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Analysis" sheetId="2" r:id="rId5"/>
  </sheets>
  <definedNames>
    <definedName hidden="1" localSheetId="0" name="_xlnm._FilterDatabase">'2024'!$A$2:$U$242</definedName>
  </definedNames>
  <calcPr/>
</workbook>
</file>

<file path=xl/sharedStrings.xml><?xml version="1.0" encoding="utf-8"?>
<sst xmlns="http://schemas.openxmlformats.org/spreadsheetml/2006/main" count="289" uniqueCount="201">
  <si>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</si>
  <si>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</si>
  <si>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</si>
  <si>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</si>
  <si>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</si>
  <si>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</si>
  <si>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</si>
  <si>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</si>
  <si>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No. of Trades in 4 years</t>
  </si>
  <si>
    <t>Profit</t>
  </si>
  <si>
    <t>Profit %</t>
  </si>
  <si>
    <t>Profit Factor</t>
  </si>
  <si>
    <t>BUY</t>
  </si>
  <si>
    <t>SELL</t>
  </si>
  <si>
    <t>CLOSE BUY</t>
  </si>
  <si>
    <t>CLOSE SELL</t>
  </si>
  <si>
    <t>Open</t>
  </si>
  <si>
    <t>Price</t>
  </si>
  <si>
    <t>Close</t>
  </si>
  <si>
    <t>Current</t>
  </si>
  <si>
    <t>Status</t>
  </si>
  <si>
    <t>Result</t>
  </si>
  <si>
    <t>Profit Trades</t>
  </si>
  <si>
    <t>Change</t>
  </si>
  <si>
    <t>Shares</t>
  </si>
  <si>
    <t>DXCM</t>
  </si>
  <si>
    <t>CAG</t>
  </si>
  <si>
    <t>CDNS</t>
  </si>
  <si>
    <t>WRB</t>
  </si>
  <si>
    <t>DVA</t>
  </si>
  <si>
    <t>MTCH</t>
  </si>
  <si>
    <t>DGX</t>
  </si>
  <si>
    <t>D</t>
  </si>
  <si>
    <t>ES</t>
  </si>
  <si>
    <t>EVRG</t>
  </si>
  <si>
    <t>LHX</t>
  </si>
  <si>
    <t>OXY</t>
  </si>
  <si>
    <t>PEG</t>
  </si>
  <si>
    <t>ECL</t>
  </si>
  <si>
    <t>EXC</t>
  </si>
  <si>
    <t>FE</t>
  </si>
  <si>
    <t>GL</t>
  </si>
  <si>
    <t>MS</t>
  </si>
  <si>
    <t>EMN</t>
  </si>
  <si>
    <t>IFF</t>
  </si>
  <si>
    <t>JKHY</t>
  </si>
  <si>
    <t>JNJ</t>
  </si>
  <si>
    <t>PEP</t>
  </si>
  <si>
    <t>WAT</t>
  </si>
  <si>
    <t>DIS</t>
  </si>
  <si>
    <t>AMGN</t>
  </si>
  <si>
    <t>BDX</t>
  </si>
  <si>
    <t>CFG</t>
  </si>
  <si>
    <t>DVN</t>
  </si>
  <si>
    <t>PAYC</t>
  </si>
  <si>
    <t>APD</t>
  </si>
  <si>
    <t>BAC</t>
  </si>
  <si>
    <t>BKNG</t>
  </si>
  <si>
    <t>OGN</t>
  </si>
  <si>
    <t>WDAY</t>
  </si>
  <si>
    <t>CMI</t>
  </si>
  <si>
    <t>LIN</t>
  </si>
  <si>
    <t>MMM</t>
  </si>
  <si>
    <t>ROST</t>
  </si>
  <si>
    <t>SPG</t>
  </si>
  <si>
    <t>NTRS</t>
  </si>
  <si>
    <t>AXON</t>
  </si>
  <si>
    <t>WDC</t>
  </si>
  <si>
    <t>AON</t>
  </si>
  <si>
    <t>XOM</t>
  </si>
  <si>
    <t>GD</t>
  </si>
  <si>
    <t>NWS</t>
  </si>
  <si>
    <t>WST</t>
  </si>
  <si>
    <t>MKTX</t>
  </si>
  <si>
    <t>HOLX</t>
  </si>
  <si>
    <t>MRNA</t>
  </si>
  <si>
    <t>PANW</t>
  </si>
  <si>
    <t>NOC</t>
  </si>
  <si>
    <t>ANET</t>
  </si>
  <si>
    <t>PM</t>
  </si>
  <si>
    <t>CAH</t>
  </si>
  <si>
    <t>CHD</t>
  </si>
  <si>
    <t>MO</t>
  </si>
  <si>
    <t>NKE</t>
  </si>
  <si>
    <t>RCL</t>
  </si>
  <si>
    <t>BEN</t>
  </si>
  <si>
    <t>FIS</t>
  </si>
  <si>
    <t>BBY</t>
  </si>
  <si>
    <t>LVS</t>
  </si>
  <si>
    <t>MOH</t>
  </si>
  <si>
    <t>BG</t>
  </si>
  <si>
    <t>ICE</t>
  </si>
  <si>
    <t>TDY</t>
  </si>
  <si>
    <t>ACN</t>
  </si>
  <si>
    <t>ADBE</t>
  </si>
  <si>
    <t>ABNB</t>
  </si>
  <si>
    <t>UNP</t>
  </si>
  <si>
    <t>SBAC</t>
  </si>
  <si>
    <t>INTC</t>
  </si>
  <si>
    <t>NRG</t>
  </si>
  <si>
    <t>SLB</t>
  </si>
  <si>
    <t>CRWD</t>
  </si>
  <si>
    <t>HAL</t>
  </si>
  <si>
    <t>PRU</t>
  </si>
  <si>
    <t>AAPL</t>
  </si>
  <si>
    <t>MAR</t>
  </si>
  <si>
    <t>VRSN</t>
  </si>
  <si>
    <t>ABBV</t>
  </si>
  <si>
    <t>PAYX</t>
  </si>
  <si>
    <t>TRMB</t>
  </si>
  <si>
    <t>CVX</t>
  </si>
  <si>
    <t>CRM</t>
  </si>
  <si>
    <t>MRK</t>
  </si>
  <si>
    <t>CCI</t>
  </si>
  <si>
    <t>CMCSA</t>
  </si>
  <si>
    <t>DLR</t>
  </si>
  <si>
    <t>LMT</t>
  </si>
  <si>
    <t>VTR</t>
  </si>
  <si>
    <t>WFC</t>
  </si>
  <si>
    <t>EXR</t>
  </si>
  <si>
    <t>GIS</t>
  </si>
  <si>
    <t>SYF</t>
  </si>
  <si>
    <t>NEE</t>
  </si>
  <si>
    <t>CPB</t>
  </si>
  <si>
    <t>PG</t>
  </si>
  <si>
    <t>VLO</t>
  </si>
  <si>
    <t>GOOGL</t>
  </si>
  <si>
    <t>CME</t>
  </si>
  <si>
    <t>SNPS</t>
  </si>
  <si>
    <t>AIZ</t>
  </si>
  <si>
    <t>COST</t>
  </si>
  <si>
    <t>GOOG</t>
  </si>
  <si>
    <t>VRTX</t>
  </si>
  <si>
    <t>ZS</t>
  </si>
  <si>
    <t>UNH</t>
  </si>
  <si>
    <t>CNC</t>
  </si>
  <si>
    <t>IBM</t>
  </si>
  <si>
    <t>NUE</t>
  </si>
  <si>
    <t>ADSK</t>
  </si>
  <si>
    <t>FDX</t>
  </si>
  <si>
    <t>NVDA</t>
  </si>
  <si>
    <t>BA</t>
  </si>
  <si>
    <t>BR</t>
  </si>
  <si>
    <t>C</t>
  </si>
  <si>
    <t>CTVA</t>
  </si>
  <si>
    <t>GS</t>
  </si>
  <si>
    <t>HWM</t>
  </si>
  <si>
    <t>IR</t>
  </si>
  <si>
    <t>MTB</t>
  </si>
  <si>
    <t>PNC</t>
  </si>
  <si>
    <t>STT</t>
  </si>
  <si>
    <t>TFX</t>
  </si>
  <si>
    <t>ZION</t>
  </si>
  <si>
    <t>BIIB</t>
  </si>
  <si>
    <t>BLK</t>
  </si>
  <si>
    <t>CSCO</t>
  </si>
  <si>
    <t>EXPE</t>
  </si>
  <si>
    <t>IDXX</t>
  </si>
  <si>
    <t>KEYS</t>
  </si>
  <si>
    <t>PPG</t>
  </si>
  <si>
    <t>PSA</t>
  </si>
  <si>
    <t>CLX</t>
  </si>
  <si>
    <t>DAL</t>
  </si>
  <si>
    <t>DOV</t>
  </si>
  <si>
    <t>EMR</t>
  </si>
  <si>
    <t>MAA</t>
  </si>
  <si>
    <t>PFE</t>
  </si>
  <si>
    <t>UAL</t>
  </si>
  <si>
    <t>PLD</t>
  </si>
  <si>
    <t>ALK</t>
  </si>
  <si>
    <t>BXP</t>
  </si>
  <si>
    <t>WMT</t>
  </si>
  <si>
    <t>AVGO</t>
  </si>
  <si>
    <t>GILD</t>
  </si>
  <si>
    <t>HRL</t>
  </si>
  <si>
    <t>KMB</t>
  </si>
  <si>
    <t>NWSA</t>
  </si>
  <si>
    <t>WMB</t>
  </si>
  <si>
    <t>PSX</t>
  </si>
  <si>
    <t>STLD</t>
  </si>
  <si>
    <t>MKC</t>
  </si>
  <si>
    <t>INCY</t>
  </si>
  <si>
    <t>KDP</t>
  </si>
  <si>
    <t>REGN</t>
  </si>
  <si>
    <t>KMX</t>
  </si>
  <si>
    <t>ADI</t>
  </si>
  <si>
    <t>ASML</t>
  </si>
  <si>
    <t>FDS</t>
  </si>
  <si>
    <t>LRCX</t>
  </si>
  <si>
    <t>MPWR</t>
  </si>
  <si>
    <t>CTAS</t>
  </si>
  <si>
    <t>IQV</t>
  </si>
  <si>
    <t>LOW</t>
  </si>
  <si>
    <t>PODD</t>
  </si>
  <si>
    <t>BX</t>
  </si>
  <si>
    <t>CBRE</t>
  </si>
  <si>
    <t>ENPH</t>
  </si>
  <si>
    <t>IRM</t>
  </si>
  <si>
    <t>NDSN</t>
  </si>
  <si>
    <t>Total Profit</t>
  </si>
  <si>
    <t>Profit % /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</si>
</sst>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0;\(#,##0.00\)"/>
    <numFmt numFmtId="165" formatCode="yyyy/M/d"/>
    <numFmt numFmtId="166" formatCode="dd&quot;/&quot;mm"/>
    <numFmt numFmtId="167" formatCode="0.0000"/>
    <numFmt numFmtId="168" formatCode="0.000"/>
    <numFmt numFmtId="169" formatCode="yyyy/m/d"/>
    <numFmt numFmtId="170" formatCode="#,##0.00;(#,##0.00)"/>
    <numFmt numFmtId="171" formatCode="yyyy/M/d am/pm h:mm:ss"/>
    <numFmt numFmtId="172" formatCode="yyyy/mm/dd"/>
  </numFmts>
  <fonts count="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Consolas"/>
    </font>
    <font>
      <b/>
      <color rgb="FFC53929"/>
      <name val="Arial"/>
    </font>
    <font>
      <b/>
      <color rgb="FF0B8043"/>
      <name val="Arial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" xfId="0" applyAlignment="1" applyFill="1" applyFont="1" applyNumberFormat="1">
      <alignment horizontal="center" vertical="bottom"/>
    </xf>
    <xf borderId="0" fillId="2" fontId="2" numFmtId="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5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2" fontId="1" numFmtId="0" xfId="0" applyAlignment="1" applyFont="1">
      <alignment vertical="bottom"/>
    </xf>
    <xf borderId="0" fillId="2" fontId="1" numFmtId="1" xfId="0" applyAlignment="1" applyFont="1" applyNumberFormat="1">
      <alignment horizontal="center" vertical="bottom"/>
    </xf>
    <xf borderId="0" fillId="2" fontId="1" numFmtId="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3" fontId="4" numFmtId="166" xfId="0" applyAlignment="1" applyFont="1" applyNumberFormat="1">
      <alignment horizontal="center" vertical="bottom"/>
    </xf>
    <xf borderId="0" fillId="3" fontId="1" numFmtId="0" xfId="0" applyAlignment="1" applyFont="1">
      <alignment horizontal="center" vertical="bottom"/>
    </xf>
    <xf borderId="0" fillId="4" fontId="5" numFmtId="166" xfId="0" applyAlignment="1" applyFont="1" applyNumberFormat="1">
      <alignment horizontal="center" vertical="bottom"/>
    </xf>
    <xf borderId="0" fillId="4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6" fontId="2" numFmtId="164" xfId="0" applyAlignment="1" applyFill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3" fontId="5" numFmtId="166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7" fontId="2" numFmtId="164" xfId="0" applyAlignment="1" applyFill="1" applyFont="1" applyNumberFormat="1">
      <alignment horizontal="center" vertical="bottom"/>
    </xf>
    <xf borderId="0" fillId="0" fontId="1" numFmtId="167" xfId="0" applyAlignment="1" applyFont="1" applyNumberFormat="1">
      <alignment vertical="bottom"/>
    </xf>
    <xf borderId="0" fillId="0" fontId="1" numFmtId="168" xfId="0" applyAlignment="1" applyFont="1" applyNumberFormat="1">
      <alignment vertical="bottom"/>
    </xf>
    <xf borderId="0" fillId="0" fontId="6" numFmtId="168" xfId="0" applyFont="1" applyNumberFormat="1"/>
    <xf borderId="0" fillId="0" fontId="1" numFmtId="164" xfId="0" applyAlignment="1" applyFont="1" applyNumberFormat="1">
      <alignment horizontal="center" vertical="bottom"/>
    </xf>
    <xf borderId="0" fillId="0" fontId="1" numFmtId="169" xfId="0" applyAlignment="1" applyFont="1" applyNumberFormat="1">
      <alignment horizontal="center" vertical="bottom"/>
    </xf>
    <xf borderId="0" fillId="0" fontId="3" numFmtId="169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" numFmtId="166" xfId="0" applyAlignment="1" applyFont="1" applyNumberFormat="1">
      <alignment vertical="bottom"/>
    </xf>
    <xf borderId="0" fillId="0" fontId="1" numFmtId="166" xfId="0" applyAlignment="1" applyFont="1" applyNumberFormat="1">
      <alignment horizontal="center" vertical="bottom"/>
    </xf>
    <xf borderId="0" fillId="4" fontId="1" numFmtId="166" xfId="0" applyAlignment="1" applyFont="1" applyNumberFormat="1">
      <alignment vertical="bottom"/>
    </xf>
    <xf borderId="0" fillId="8" fontId="1" numFmtId="0" xfId="0" applyAlignment="1" applyFill="1" applyFont="1">
      <alignment horizontal="center" vertical="bottom"/>
    </xf>
    <xf borderId="0" fillId="6" fontId="2" numFmtId="170" xfId="0" applyAlignment="1" applyFont="1" applyNumberFormat="1">
      <alignment horizontal="center" vertical="bottom"/>
    </xf>
    <xf borderId="0" fillId="0" fontId="1" numFmtId="171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3" numFmtId="172" xfId="0" applyAlignment="1" applyFont="1" applyNumberFormat="1">
      <alignment horizontal="center" vertical="bottom"/>
    </xf>
    <xf borderId="0" fillId="0" fontId="1" numFmtId="172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5">
    <dxf>
      <font>
        <b/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 outlineLevelCol="1"/>
  <cols>
    <col customWidth="1" min="1" max="1" width="12.63"/>
    <col customWidth="1" min="2" max="9" width="12.63" outlineLevel="1"/>
    <col customWidth="1" min="23" max="23" width="14.63"/>
    <col customWidth="1" min="25" max="25" width="15.13"/>
    <col customWidth="1" min="26" max="26" width="15.63"/>
  </cols>
  <sheetData>
    <row r="1" ht="12.75" hidden="1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/>
      <c r="J1" s="6"/>
      <c r="K1" s="6"/>
      <c r="L1" s="7"/>
      <c r="M1" s="7"/>
      <c r="N1" s="8"/>
      <c r="O1" s="5"/>
      <c r="P1" s="5"/>
      <c r="Q1" s="9"/>
      <c r="R1" s="5"/>
      <c r="S1" s="5"/>
      <c r="T1" s="10">
        <v>1000.0</v>
      </c>
      <c r="U1" s="11"/>
      <c r="V1" s="12"/>
      <c r="W1" s="12"/>
      <c r="X1" s="12"/>
      <c r="Y1" s="12"/>
      <c r="Z1" s="12"/>
    </row>
    <row r="2" ht="12.75" customHeight="1">
      <c r="A2" s="1"/>
      <c r="B2" s="2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4" t="s">
        <v>13</v>
      </c>
      <c r="H2" s="4" t="s">
        <v>14</v>
      </c>
      <c r="I2" s="13" t="s">
        <v>15</v>
      </c>
      <c r="J2" s="14" t="s">
        <v>16</v>
      </c>
      <c r="K2" s="14" t="s">
        <v>17</v>
      </c>
      <c r="L2" s="15" t="s">
        <v>18</v>
      </c>
      <c r="M2" s="15" t="s">
        <v>17</v>
      </c>
      <c r="N2" s="16" t="s">
        <v>19</v>
      </c>
      <c r="O2" s="13" t="s">
        <v>20</v>
      </c>
      <c r="P2" s="13" t="s">
        <v>21</v>
      </c>
      <c r="Q2" s="17" t="s">
        <v>9</v>
      </c>
      <c r="R2" s="13" t="s">
        <v>22</v>
      </c>
      <c r="S2" s="13" t="s">
        <v>23</v>
      </c>
      <c r="T2" s="18" t="s">
        <v>24</v>
      </c>
      <c r="U2" s="11"/>
      <c r="V2" s="12"/>
      <c r="W2" s="1"/>
      <c r="X2" s="1"/>
      <c r="Y2" s="1"/>
      <c r="Z2" s="12"/>
    </row>
    <row r="3" ht="13.5" hidden="1" customHeight="1">
      <c r="A3" s="19" t="s">
        <v>25</v>
      </c>
      <c r="B3" s="20">
        <v>16.0</v>
      </c>
      <c r="C3" s="21">
        <v>105.058</v>
      </c>
      <c r="D3" s="21">
        <v>25.0</v>
      </c>
      <c r="E3" s="21">
        <v>1.312</v>
      </c>
      <c r="F3" s="22"/>
      <c r="G3" s="23">
        <v>45129.0</v>
      </c>
      <c r="H3" s="24"/>
      <c r="I3" s="25">
        <v>45148.0</v>
      </c>
      <c r="J3" s="26">
        <f t="shared" ref="J3:J91" si="1">if(isblank(F3:G3),,if(counta(F3)=0,G3,F3))</f>
        <v>45129</v>
      </c>
      <c r="K3" s="27">
        <f>IFERROR(__xludf.DUMMYFUNCTION("if(isblank(J3),,index(googlefinance(A3,K$2,J3-1),2,2))"),130.6)</f>
        <v>130.6</v>
      </c>
      <c r="L3" s="28">
        <f t="shared" ref="L3:L242" si="2">if(isblank(H3:I3),,if(counta(H3)=0,I3,H3))</f>
        <v>45148</v>
      </c>
      <c r="M3" s="29">
        <f>IFERROR(__xludf.DUMMYFUNCTION("if(isblank(L3),, index(googlefinance(A3,M$2,L3-1),2,2))"),110.96)</f>
        <v>110.96</v>
      </c>
      <c r="N3" s="30">
        <f>IFERROR(__xludf.DUMMYFUNCTION("if(isblank(A3),,googlefinance(A3))"),123.98)</f>
        <v>123.98</v>
      </c>
      <c r="O3" s="31" t="str">
        <f t="shared" ref="O3:O27" si="3">IF(ISBLANK(J3),,IF(ISBLANK(L3),"Ongoing","Completed"))</f>
        <v>Completed</v>
      </c>
      <c r="P3" s="32" t="str">
        <f t="shared" ref="P3:P261" si="4">IF(ISBLANK(A3),,IF(AND(COUNTA(F3)=1,S3&gt;0),"Profit",IF(AND(COUNTA(G3)=1,S3&lt;0),"Profit","Loss")))</f>
        <v>Profit</v>
      </c>
      <c r="Q3" s="33">
        <f t="shared" ref="Q3:Q261" si="5">IF(ISBLANK(T3),,IF(P3="Profit",IF(S3&lt;0,T3*-S3,T3*S3),IF(S3&gt;0,T3*-S3,T3*S3)))</f>
        <v>137.48</v>
      </c>
      <c r="R3" s="31" t="b">
        <f t="shared" ref="R3:R261" si="6">IF($Q3&gt;0, TRUE, FALSE)</f>
        <v>1</v>
      </c>
      <c r="S3" s="34">
        <f t="shared" ref="S3:S27" si="7">IF(ISBLANK(J3),,IF(ISBLANK(L3),N3-K3,M3-K3))</f>
        <v>-19.64</v>
      </c>
      <c r="T3" s="10">
        <f t="shared" ref="T3:T261" si="8">IF(ISBLANK(J3),,ROUNDDOWN(T$1/K3,0))</f>
        <v>7</v>
      </c>
      <c r="U3" s="11"/>
      <c r="V3" s="12"/>
      <c r="W3" s="12"/>
      <c r="X3" s="12"/>
      <c r="Y3" s="12"/>
      <c r="Z3" s="12"/>
    </row>
    <row r="4" ht="13.5" hidden="1" customHeight="1">
      <c r="A4" s="19" t="s">
        <v>26</v>
      </c>
      <c r="B4" s="35">
        <v>13.0</v>
      </c>
      <c r="C4" s="10">
        <v>132.82</v>
      </c>
      <c r="D4" s="10">
        <v>53.846</v>
      </c>
      <c r="E4" s="10">
        <v>1.966</v>
      </c>
      <c r="F4" s="23">
        <v>45131.0</v>
      </c>
      <c r="G4" s="22"/>
      <c r="H4" s="25">
        <v>45138.0</v>
      </c>
      <c r="I4" s="24"/>
      <c r="J4" s="36">
        <f t="shared" si="1"/>
        <v>45131</v>
      </c>
      <c r="K4" s="27">
        <f>IFERROR(__xludf.DUMMYFUNCTION("if(isblank(J4),,index(googlefinance(A4,K$2,J4-1),2,2))"),33.26)</f>
        <v>33.26</v>
      </c>
      <c r="L4" s="37">
        <f t="shared" si="2"/>
        <v>45138</v>
      </c>
      <c r="M4" s="29">
        <f>IFERROR(__xludf.DUMMYFUNCTION("if(isblank(L4),, index(googlefinance(A4,M$2,L4-1),2,2))"),32.81)</f>
        <v>32.81</v>
      </c>
      <c r="N4" s="30">
        <f>IFERROR(__xludf.DUMMYFUNCTION("if(isblank(A4),,googlefinance(A4))"),28.21)</f>
        <v>28.21</v>
      </c>
      <c r="O4" s="31" t="str">
        <f t="shared" si="3"/>
        <v>Completed</v>
      </c>
      <c r="P4" s="38" t="str">
        <f t="shared" si="4"/>
        <v>Loss</v>
      </c>
      <c r="Q4" s="39">
        <f t="shared" si="5"/>
        <v>-13.5</v>
      </c>
      <c r="R4" s="31" t="b">
        <f t="shared" si="6"/>
        <v>0</v>
      </c>
      <c r="S4" s="34">
        <f t="shared" si="7"/>
        <v>-0.45</v>
      </c>
      <c r="T4" s="10">
        <f t="shared" si="8"/>
        <v>30</v>
      </c>
      <c r="U4" s="11"/>
      <c r="V4" s="12"/>
      <c r="W4" s="12"/>
      <c r="X4" s="12"/>
      <c r="Y4" s="12"/>
      <c r="Z4" s="12"/>
    </row>
    <row r="5" ht="13.5" hidden="1" customHeight="1">
      <c r="A5" s="19" t="s">
        <v>27</v>
      </c>
      <c r="B5" s="20">
        <v>10.0</v>
      </c>
      <c r="C5" s="21">
        <v>29.92</v>
      </c>
      <c r="D5" s="21">
        <v>40.0</v>
      </c>
      <c r="E5" s="21">
        <v>1.18</v>
      </c>
      <c r="F5" s="22"/>
      <c r="G5" s="23">
        <v>45131.0</v>
      </c>
      <c r="H5" s="24"/>
      <c r="I5" s="25">
        <v>45159.0</v>
      </c>
      <c r="J5" s="26">
        <f t="shared" si="1"/>
        <v>45131</v>
      </c>
      <c r="K5" s="27">
        <f>IFERROR(__xludf.DUMMYFUNCTION("if(isblank(J5),,index(googlefinance(A5,K$2,J5-1),2,2))"),241.27)</f>
        <v>241.27</v>
      </c>
      <c r="L5" s="28">
        <f t="shared" si="2"/>
        <v>45159</v>
      </c>
      <c r="M5" s="29">
        <f>IFERROR(__xludf.DUMMYFUNCTION("if(isblank(L5),, index(googlefinance(A5,M$2,L5-1),2,2))"),225.0)</f>
        <v>225</v>
      </c>
      <c r="N5" s="30">
        <f>IFERROR(__xludf.DUMMYFUNCTION("if(isblank(A5),,googlefinance(A5))"),252.71)</f>
        <v>252.71</v>
      </c>
      <c r="O5" s="31" t="str">
        <f t="shared" si="3"/>
        <v>Completed</v>
      </c>
      <c r="P5" s="32" t="str">
        <f t="shared" si="4"/>
        <v>Profit</v>
      </c>
      <c r="Q5" s="33">
        <f t="shared" si="5"/>
        <v>65.08</v>
      </c>
      <c r="R5" s="31" t="b">
        <f t="shared" si="6"/>
        <v>1</v>
      </c>
      <c r="S5" s="34">
        <f t="shared" si="7"/>
        <v>-16.27</v>
      </c>
      <c r="T5" s="10">
        <f t="shared" si="8"/>
        <v>4</v>
      </c>
      <c r="U5" s="11"/>
      <c r="V5" s="12"/>
      <c r="W5" s="5"/>
      <c r="X5" s="12"/>
      <c r="Y5" s="12"/>
      <c r="Z5" s="12"/>
    </row>
    <row r="6" ht="13.5" hidden="1" customHeight="1">
      <c r="A6" s="19" t="s">
        <v>28</v>
      </c>
      <c r="B6" s="20">
        <v>11.0</v>
      </c>
      <c r="C6" s="21">
        <v>100.773</v>
      </c>
      <c r="D6" s="21">
        <v>27.273</v>
      </c>
      <c r="E6" s="21">
        <v>1.665</v>
      </c>
      <c r="F6" s="22"/>
      <c r="G6" s="23">
        <v>45131.0</v>
      </c>
      <c r="H6" s="24"/>
      <c r="I6" s="25">
        <v>45134.0</v>
      </c>
      <c r="J6" s="26">
        <f t="shared" si="1"/>
        <v>45131</v>
      </c>
      <c r="K6" s="27">
        <f>IFERROR(__xludf.DUMMYFUNCTION("if(isblank(J6),,index(googlefinance(A6,K$2,J6-1),2,2))"),61.32)</f>
        <v>61.32</v>
      </c>
      <c r="L6" s="28">
        <f t="shared" si="2"/>
        <v>45134</v>
      </c>
      <c r="M6" s="29">
        <f>IFERROR(__xludf.DUMMYFUNCTION("if(isblank(L6),, index(googlefinance(A6,M$2,L6-1),2,2))"),61.77)</f>
        <v>61.77</v>
      </c>
      <c r="N6" s="30">
        <f>IFERROR(__xludf.DUMMYFUNCTION("if(isblank(A6),,googlefinance(A6))"),74.36)</f>
        <v>74.36</v>
      </c>
      <c r="O6" s="31" t="str">
        <f t="shared" si="3"/>
        <v>Completed</v>
      </c>
      <c r="P6" s="38" t="str">
        <f t="shared" si="4"/>
        <v>Loss</v>
      </c>
      <c r="Q6" s="39">
        <f t="shared" si="5"/>
        <v>-7.2</v>
      </c>
      <c r="R6" s="31" t="b">
        <f t="shared" si="6"/>
        <v>0</v>
      </c>
      <c r="S6" s="34">
        <f t="shared" si="7"/>
        <v>0.45</v>
      </c>
      <c r="T6" s="10">
        <f t="shared" si="8"/>
        <v>16</v>
      </c>
      <c r="U6" s="11"/>
      <c r="V6" s="12"/>
      <c r="W6" s="12"/>
      <c r="X6" s="40"/>
      <c r="Y6" s="41"/>
      <c r="Z6" s="41"/>
      <c r="AA6" s="42"/>
    </row>
    <row r="7" ht="13.5" hidden="1" customHeight="1">
      <c r="A7" s="19" t="s">
        <v>29</v>
      </c>
      <c r="B7" s="20">
        <v>5.0</v>
      </c>
      <c r="C7" s="21">
        <v>74.93</v>
      </c>
      <c r="D7" s="21">
        <v>40.0</v>
      </c>
      <c r="E7" s="21">
        <v>2.047</v>
      </c>
      <c r="F7" s="22"/>
      <c r="G7" s="23">
        <v>45132.0</v>
      </c>
      <c r="H7" s="24"/>
      <c r="I7" s="25">
        <v>45139.0</v>
      </c>
      <c r="J7" s="26">
        <f t="shared" si="1"/>
        <v>45132</v>
      </c>
      <c r="K7" s="27">
        <f>IFERROR(__xludf.DUMMYFUNCTION("if(isblank(J7),,index(googlefinance(A7,K$2,J7-1),2,2))"),102.1)</f>
        <v>102.1</v>
      </c>
      <c r="L7" s="28">
        <f t="shared" si="2"/>
        <v>45139</v>
      </c>
      <c r="M7" s="29">
        <f>IFERROR(__xludf.DUMMYFUNCTION("if(isblank(L7),, index(googlefinance(A7,M$2,L7-1),2,2))"),101.99)</f>
        <v>101.99</v>
      </c>
      <c r="N7" s="30">
        <f>IFERROR(__xludf.DUMMYFUNCTION("if(isblank(A7),,googlefinance(A7))"),107.24)</f>
        <v>107.24</v>
      </c>
      <c r="O7" s="31" t="str">
        <f t="shared" si="3"/>
        <v>Completed</v>
      </c>
      <c r="P7" s="32" t="str">
        <f t="shared" si="4"/>
        <v>Profit</v>
      </c>
      <c r="Q7" s="33">
        <f t="shared" si="5"/>
        <v>0.99</v>
      </c>
      <c r="R7" s="31" t="b">
        <f t="shared" si="6"/>
        <v>1</v>
      </c>
      <c r="S7" s="34">
        <f t="shared" si="7"/>
        <v>-0.11</v>
      </c>
      <c r="T7" s="10">
        <f t="shared" si="8"/>
        <v>9</v>
      </c>
      <c r="U7" s="11"/>
      <c r="V7" s="12"/>
      <c r="W7" s="12"/>
      <c r="X7" s="12"/>
      <c r="Y7" s="12"/>
      <c r="Z7" s="12"/>
    </row>
    <row r="8" ht="13.5" hidden="1" customHeight="1">
      <c r="A8" s="19" t="s">
        <v>30</v>
      </c>
      <c r="B8" s="20">
        <v>15.0</v>
      </c>
      <c r="C8" s="21">
        <v>177.385</v>
      </c>
      <c r="D8" s="21">
        <v>33.333</v>
      </c>
      <c r="E8" s="21">
        <v>1.386</v>
      </c>
      <c r="F8" s="22"/>
      <c r="G8" s="23">
        <v>45132.0</v>
      </c>
      <c r="H8" s="24"/>
      <c r="I8" s="25">
        <v>45138.0</v>
      </c>
      <c r="J8" s="26">
        <f t="shared" si="1"/>
        <v>45132</v>
      </c>
      <c r="K8" s="27">
        <f>IFERROR(__xludf.DUMMYFUNCTION("if(isblank(J8),,index(googlefinance(A8,K$2,J8-1),2,2))"),45.6)</f>
        <v>45.6</v>
      </c>
      <c r="L8" s="28">
        <f t="shared" si="2"/>
        <v>45138</v>
      </c>
      <c r="M8" s="29">
        <f>IFERROR(__xludf.DUMMYFUNCTION("if(isblank(L8),, index(googlefinance(A8,M$2,L8-1),2,2))"),46.51)</f>
        <v>46.51</v>
      </c>
      <c r="N8" s="30">
        <f>IFERROR(__xludf.DUMMYFUNCTION("if(isblank(A8),,googlefinance(A8))"),36.68)</f>
        <v>36.68</v>
      </c>
      <c r="O8" s="31" t="str">
        <f t="shared" si="3"/>
        <v>Completed</v>
      </c>
      <c r="P8" s="38" t="str">
        <f t="shared" si="4"/>
        <v>Loss</v>
      </c>
      <c r="Q8" s="39">
        <f t="shared" si="5"/>
        <v>-19.11</v>
      </c>
      <c r="R8" s="31" t="b">
        <f t="shared" si="6"/>
        <v>0</v>
      </c>
      <c r="S8" s="34">
        <f t="shared" si="7"/>
        <v>0.91</v>
      </c>
      <c r="T8" s="10">
        <f t="shared" si="8"/>
        <v>21</v>
      </c>
      <c r="U8" s="11"/>
      <c r="V8" s="12"/>
      <c r="W8" s="12"/>
      <c r="X8" s="12"/>
      <c r="Y8" s="12"/>
      <c r="Z8" s="12"/>
    </row>
    <row r="9" ht="13.5" hidden="1" customHeight="1">
      <c r="A9" s="19" t="s">
        <v>31</v>
      </c>
      <c r="B9" s="20">
        <v>15.0</v>
      </c>
      <c r="C9" s="21">
        <v>443.86</v>
      </c>
      <c r="D9" s="21">
        <v>60.0</v>
      </c>
      <c r="E9" s="21">
        <v>3.937</v>
      </c>
      <c r="F9" s="22"/>
      <c r="G9" s="23">
        <v>45133.0</v>
      </c>
      <c r="H9" s="24"/>
      <c r="I9" s="25">
        <v>45156.0</v>
      </c>
      <c r="J9" s="26">
        <f t="shared" si="1"/>
        <v>45133</v>
      </c>
      <c r="K9" s="27">
        <f>IFERROR(__xludf.DUMMYFUNCTION("if(isblank(J9),,index(googlefinance(A9,K$2,J9-1),2,2))"),144.92)</f>
        <v>144.92</v>
      </c>
      <c r="L9" s="28">
        <f t="shared" si="2"/>
        <v>45156</v>
      </c>
      <c r="M9" s="29">
        <f>IFERROR(__xludf.DUMMYFUNCTION("if(isblank(L9),, index(googlefinance(A9,M$2,L9-1),2,2))"),132.24)</f>
        <v>132.24</v>
      </c>
      <c r="N9" s="30">
        <f>IFERROR(__xludf.DUMMYFUNCTION("if(isblank(A9),,googlefinance(A9))"),141.98)</f>
        <v>141.98</v>
      </c>
      <c r="O9" s="31" t="str">
        <f t="shared" si="3"/>
        <v>Completed</v>
      </c>
      <c r="P9" s="32" t="str">
        <f t="shared" si="4"/>
        <v>Profit</v>
      </c>
      <c r="Q9" s="33">
        <f t="shared" si="5"/>
        <v>76.08</v>
      </c>
      <c r="R9" s="31" t="b">
        <f t="shared" si="6"/>
        <v>1</v>
      </c>
      <c r="S9" s="34">
        <f t="shared" si="7"/>
        <v>-12.68</v>
      </c>
      <c r="T9" s="10">
        <f t="shared" si="8"/>
        <v>6</v>
      </c>
      <c r="U9" s="11"/>
      <c r="V9" s="12"/>
      <c r="W9" s="12"/>
      <c r="X9" s="12"/>
      <c r="Y9" s="12"/>
      <c r="Z9" s="12"/>
    </row>
    <row r="10" ht="13.5" hidden="1" customHeight="1">
      <c r="A10" s="19" t="s">
        <v>32</v>
      </c>
      <c r="B10" s="20">
        <v>7.0</v>
      </c>
      <c r="C10" s="21">
        <v>58.15</v>
      </c>
      <c r="D10" s="21">
        <v>42.857</v>
      </c>
      <c r="E10" s="21">
        <v>1.871</v>
      </c>
      <c r="F10" s="22"/>
      <c r="G10" s="23">
        <v>45134.0</v>
      </c>
      <c r="H10" s="24"/>
      <c r="I10" s="25">
        <v>45163.0</v>
      </c>
      <c r="J10" s="26">
        <f t="shared" si="1"/>
        <v>45134</v>
      </c>
      <c r="K10" s="27">
        <f>IFERROR(__xludf.DUMMYFUNCTION("if(isblank(J10),,index(googlefinance(A10,K$2,J10-1),2,2))"),54.45)</f>
        <v>54.45</v>
      </c>
      <c r="L10" s="28">
        <f t="shared" si="2"/>
        <v>45163</v>
      </c>
      <c r="M10" s="29">
        <f>IFERROR(__xludf.DUMMYFUNCTION("if(isblank(L10),, index(googlefinance(A10,M$2,L10-1),2,2))"),48.07)</f>
        <v>48.07</v>
      </c>
      <c r="N10" s="30">
        <f>IFERROR(__xludf.DUMMYFUNCTION("if(isblank(A10),,googlefinance(A10))"),49.04)</f>
        <v>49.04</v>
      </c>
      <c r="O10" s="31" t="str">
        <f t="shared" si="3"/>
        <v>Completed</v>
      </c>
      <c r="P10" s="32" t="str">
        <f t="shared" si="4"/>
        <v>Profit</v>
      </c>
      <c r="Q10" s="33">
        <f t="shared" si="5"/>
        <v>114.84</v>
      </c>
      <c r="R10" s="31" t="b">
        <f t="shared" si="6"/>
        <v>1</v>
      </c>
      <c r="S10" s="34">
        <f t="shared" si="7"/>
        <v>-6.38</v>
      </c>
      <c r="T10" s="10">
        <f t="shared" si="8"/>
        <v>18</v>
      </c>
      <c r="U10" s="11"/>
      <c r="V10" s="12"/>
      <c r="W10" s="12"/>
      <c r="X10" s="12"/>
      <c r="Y10" s="12"/>
      <c r="Z10" s="12"/>
    </row>
    <row r="11" ht="13.5" hidden="1" customHeight="1">
      <c r="A11" s="19" t="s">
        <v>33</v>
      </c>
      <c r="B11" s="20">
        <v>10.0</v>
      </c>
      <c r="C11" s="21">
        <v>24.11</v>
      </c>
      <c r="D11" s="21">
        <v>40.0</v>
      </c>
      <c r="E11" s="21">
        <v>1.28</v>
      </c>
      <c r="F11" s="22"/>
      <c r="G11" s="23">
        <v>45134.0</v>
      </c>
      <c r="H11" s="24"/>
      <c r="I11" s="25">
        <v>45161.0</v>
      </c>
      <c r="J11" s="26">
        <f t="shared" si="1"/>
        <v>45134</v>
      </c>
      <c r="K11" s="27">
        <f>IFERROR(__xludf.DUMMYFUNCTION("if(isblank(J11),,index(googlefinance(A11,K$2,J11-1),2,2))"),73.62)</f>
        <v>73.62</v>
      </c>
      <c r="L11" s="28">
        <f t="shared" si="2"/>
        <v>45161</v>
      </c>
      <c r="M11" s="29">
        <f>IFERROR(__xludf.DUMMYFUNCTION("if(isblank(L11),, index(googlefinance(A11,M$2,L11-1),2,2))"),63.87)</f>
        <v>63.87</v>
      </c>
      <c r="N11" s="30">
        <f>IFERROR(__xludf.DUMMYFUNCTION("if(isblank(A11),,googlefinance(A11))"),62.07)</f>
        <v>62.07</v>
      </c>
      <c r="O11" s="31" t="str">
        <f t="shared" si="3"/>
        <v>Completed</v>
      </c>
      <c r="P11" s="32" t="str">
        <f t="shared" si="4"/>
        <v>Profit</v>
      </c>
      <c r="Q11" s="33">
        <f t="shared" si="5"/>
        <v>126.75</v>
      </c>
      <c r="R11" s="31" t="b">
        <f t="shared" si="6"/>
        <v>1</v>
      </c>
      <c r="S11" s="34">
        <f t="shared" si="7"/>
        <v>-9.75</v>
      </c>
      <c r="T11" s="10">
        <f t="shared" si="8"/>
        <v>13</v>
      </c>
      <c r="U11" s="11"/>
      <c r="V11" s="12"/>
      <c r="W11" s="12"/>
      <c r="X11" s="12"/>
      <c r="Y11" s="12"/>
      <c r="Z11" s="12"/>
    </row>
    <row r="12" ht="13.5" hidden="1" customHeight="1">
      <c r="A12" s="19" t="s">
        <v>34</v>
      </c>
      <c r="B12" s="20">
        <v>11.0</v>
      </c>
      <c r="C12" s="21">
        <v>296.91</v>
      </c>
      <c r="D12" s="21">
        <v>36.364</v>
      </c>
      <c r="E12" s="21">
        <v>3.592</v>
      </c>
      <c r="F12" s="22"/>
      <c r="G12" s="23">
        <v>45134.0</v>
      </c>
      <c r="H12" s="24"/>
      <c r="I12" s="25">
        <v>45160.0</v>
      </c>
      <c r="J12" s="26">
        <f t="shared" si="1"/>
        <v>45134</v>
      </c>
      <c r="K12" s="27">
        <f>IFERROR(__xludf.DUMMYFUNCTION("if(isblank(J12),,index(googlefinance(A12,K$2,J12-1),2,2))"),61.32)</f>
        <v>61.32</v>
      </c>
      <c r="L12" s="28">
        <f t="shared" si="2"/>
        <v>45160</v>
      </c>
      <c r="M12" s="29">
        <f>IFERROR(__xludf.DUMMYFUNCTION("if(isblank(L12),, index(googlefinance(A12,M$2,L12-1),2,2))"),56.08)</f>
        <v>56.08</v>
      </c>
      <c r="N12" s="30">
        <f>IFERROR(__xludf.DUMMYFUNCTION("if(isblank(A12),,googlefinance(A12))"),53.7)</f>
        <v>53.7</v>
      </c>
      <c r="O12" s="31" t="str">
        <f t="shared" si="3"/>
        <v>Completed</v>
      </c>
      <c r="P12" s="32" t="str">
        <f t="shared" si="4"/>
        <v>Profit</v>
      </c>
      <c r="Q12" s="33">
        <f t="shared" si="5"/>
        <v>83.84</v>
      </c>
      <c r="R12" s="31" t="b">
        <f t="shared" si="6"/>
        <v>1</v>
      </c>
      <c r="S12" s="34">
        <f t="shared" si="7"/>
        <v>-5.24</v>
      </c>
      <c r="T12" s="10">
        <f t="shared" si="8"/>
        <v>16</v>
      </c>
      <c r="U12" s="11"/>
      <c r="V12" s="12"/>
      <c r="W12" s="12"/>
      <c r="X12" s="12"/>
      <c r="Y12" s="12"/>
      <c r="Z12" s="12"/>
    </row>
    <row r="13" ht="13.5" hidden="1" customHeight="1">
      <c r="A13" s="19" t="s">
        <v>35</v>
      </c>
      <c r="B13" s="20">
        <v>9.0</v>
      </c>
      <c r="C13" s="21">
        <v>209.86</v>
      </c>
      <c r="D13" s="21">
        <v>55.556</v>
      </c>
      <c r="E13" s="21">
        <v>10.729</v>
      </c>
      <c r="F13" s="22"/>
      <c r="G13" s="23">
        <v>45134.0</v>
      </c>
      <c r="H13" s="24"/>
      <c r="I13" s="25">
        <v>45149.0</v>
      </c>
      <c r="J13" s="26">
        <f t="shared" si="1"/>
        <v>45134</v>
      </c>
      <c r="K13" s="27">
        <f>IFERROR(__xludf.DUMMYFUNCTION("if(isblank(J13),,index(googlefinance(A13,K$2,J13-1),2,2))"),202.56)</f>
        <v>202.56</v>
      </c>
      <c r="L13" s="28">
        <f t="shared" si="2"/>
        <v>45149</v>
      </c>
      <c r="M13" s="29">
        <f>IFERROR(__xludf.DUMMYFUNCTION("if(isblank(L13),, index(googlefinance(A13,M$2,L13-1),2,2))"),186.41)</f>
        <v>186.41</v>
      </c>
      <c r="N13" s="30">
        <f>IFERROR(__xludf.DUMMYFUNCTION("if(isblank(A13),,googlefinance(A13))"),205.21)</f>
        <v>205.21</v>
      </c>
      <c r="O13" s="31" t="str">
        <f t="shared" si="3"/>
        <v>Completed</v>
      </c>
      <c r="P13" s="32" t="str">
        <f t="shared" si="4"/>
        <v>Profit</v>
      </c>
      <c r="Q13" s="33">
        <f t="shared" si="5"/>
        <v>64.6</v>
      </c>
      <c r="R13" s="31" t="b">
        <f t="shared" si="6"/>
        <v>1</v>
      </c>
      <c r="S13" s="34">
        <f t="shared" si="7"/>
        <v>-16.15</v>
      </c>
      <c r="T13" s="10">
        <f t="shared" si="8"/>
        <v>4</v>
      </c>
      <c r="U13" s="11"/>
      <c r="V13" s="12"/>
      <c r="W13" s="12"/>
      <c r="X13" s="12"/>
      <c r="Y13" s="12"/>
      <c r="Z13" s="12"/>
    </row>
    <row r="14" ht="13.5" hidden="1" customHeight="1">
      <c r="A14" s="19" t="s">
        <v>36</v>
      </c>
      <c r="B14" s="20">
        <v>5.0</v>
      </c>
      <c r="C14" s="21">
        <v>635.86</v>
      </c>
      <c r="D14" s="21">
        <v>60.0</v>
      </c>
      <c r="E14" s="21">
        <v>6.215</v>
      </c>
      <c r="F14" s="22"/>
      <c r="G14" s="23">
        <v>45134.0</v>
      </c>
      <c r="H14" s="24"/>
      <c r="I14" s="25">
        <v>45138.0</v>
      </c>
      <c r="J14" s="26">
        <f t="shared" si="1"/>
        <v>45134</v>
      </c>
      <c r="K14" s="27">
        <f>IFERROR(__xludf.DUMMYFUNCTION("if(isblank(J14),,index(googlefinance(A14,K$2,J14-1),2,2))"),62.85)</f>
        <v>62.85</v>
      </c>
      <c r="L14" s="28">
        <f t="shared" si="2"/>
        <v>45138</v>
      </c>
      <c r="M14" s="29">
        <f>IFERROR(__xludf.DUMMYFUNCTION("if(isblank(L14),, index(googlefinance(A14,M$2,L14-1),2,2))"),63.13)</f>
        <v>63.13</v>
      </c>
      <c r="N14" s="30">
        <f>IFERROR(__xludf.DUMMYFUNCTION("if(isblank(A14),,googlefinance(A14))"),58.94)</f>
        <v>58.94</v>
      </c>
      <c r="O14" s="31" t="str">
        <f t="shared" si="3"/>
        <v>Completed</v>
      </c>
      <c r="P14" s="38" t="str">
        <f t="shared" si="4"/>
        <v>Loss</v>
      </c>
      <c r="Q14" s="39">
        <f t="shared" si="5"/>
        <v>-4.2</v>
      </c>
      <c r="R14" s="31" t="b">
        <f t="shared" si="6"/>
        <v>0</v>
      </c>
      <c r="S14" s="34">
        <f t="shared" si="7"/>
        <v>0.28</v>
      </c>
      <c r="T14" s="10">
        <f t="shared" si="8"/>
        <v>15</v>
      </c>
      <c r="U14" s="11"/>
      <c r="V14" s="12"/>
      <c r="W14" s="12"/>
      <c r="X14" s="12"/>
      <c r="Y14" s="12"/>
      <c r="Z14" s="12"/>
    </row>
    <row r="15" ht="13.5" hidden="1" customHeight="1">
      <c r="A15" s="19" t="s">
        <v>37</v>
      </c>
      <c r="B15" s="20">
        <v>9.0</v>
      </c>
      <c r="C15" s="21">
        <v>114.54</v>
      </c>
      <c r="D15" s="21">
        <v>44.444</v>
      </c>
      <c r="E15" s="21">
        <v>2.623</v>
      </c>
      <c r="F15" s="22"/>
      <c r="G15" s="23">
        <v>45134.0</v>
      </c>
      <c r="H15" s="24"/>
      <c r="I15" s="25">
        <v>45154.0</v>
      </c>
      <c r="J15" s="26">
        <f t="shared" si="1"/>
        <v>45134</v>
      </c>
      <c r="K15" s="27">
        <f>IFERROR(__xludf.DUMMYFUNCTION("if(isblank(J15),,index(googlefinance(A15,K$2,J15-1),2,2))"),64.92)</f>
        <v>64.92</v>
      </c>
      <c r="L15" s="28">
        <f t="shared" si="2"/>
        <v>45154</v>
      </c>
      <c r="M15" s="29">
        <f>IFERROR(__xludf.DUMMYFUNCTION("if(isblank(L15),, index(googlefinance(A15,M$2,L15-1),2,2))"),59.43)</f>
        <v>59.43</v>
      </c>
      <c r="N15" s="30">
        <f>IFERROR(__xludf.DUMMYFUNCTION("if(isblank(A15),,googlefinance(A15))"),61.73)</f>
        <v>61.73</v>
      </c>
      <c r="O15" s="31" t="str">
        <f t="shared" si="3"/>
        <v>Completed</v>
      </c>
      <c r="P15" s="32" t="str">
        <f t="shared" si="4"/>
        <v>Profit</v>
      </c>
      <c r="Q15" s="33">
        <f t="shared" si="5"/>
        <v>82.35</v>
      </c>
      <c r="R15" s="31" t="b">
        <f t="shared" si="6"/>
        <v>1</v>
      </c>
      <c r="S15" s="34">
        <f t="shared" si="7"/>
        <v>-5.49</v>
      </c>
      <c r="T15" s="10">
        <f t="shared" si="8"/>
        <v>15</v>
      </c>
      <c r="U15" s="11"/>
      <c r="V15" s="12"/>
      <c r="W15" s="12"/>
      <c r="X15" s="12"/>
      <c r="Y15" s="12"/>
      <c r="Z15" s="12"/>
    </row>
    <row r="16" ht="13.5" hidden="1" customHeight="1">
      <c r="A16" s="19" t="s">
        <v>38</v>
      </c>
      <c r="B16" s="20">
        <v>8.0</v>
      </c>
      <c r="C16" s="21">
        <v>75.36</v>
      </c>
      <c r="D16" s="21">
        <v>50.0</v>
      </c>
      <c r="E16" s="21">
        <v>3.193</v>
      </c>
      <c r="F16" s="22"/>
      <c r="G16" s="23">
        <v>45135.0</v>
      </c>
      <c r="H16" s="24"/>
      <c r="I16" s="25">
        <v>45146.0</v>
      </c>
      <c r="J16" s="26">
        <f t="shared" si="1"/>
        <v>45135</v>
      </c>
      <c r="K16" s="27">
        <f>IFERROR(__xludf.DUMMYFUNCTION("if(isblank(J16),,index(googlefinance(A16,K$2,J16-1),2,2))"),183.83)</f>
        <v>183.83</v>
      </c>
      <c r="L16" s="28">
        <f t="shared" si="2"/>
        <v>45146</v>
      </c>
      <c r="M16" s="29">
        <f>IFERROR(__xludf.DUMMYFUNCTION("if(isblank(L16),, index(googlefinance(A16,M$2,L16-1),2,2))"),184.51)</f>
        <v>184.51</v>
      </c>
      <c r="N16" s="30">
        <f>IFERROR(__xludf.DUMMYFUNCTION("if(isblank(A16),,googlefinance(A16))"),195.25)</f>
        <v>195.25</v>
      </c>
      <c r="O16" s="31" t="str">
        <f t="shared" si="3"/>
        <v>Completed</v>
      </c>
      <c r="P16" s="38" t="str">
        <f t="shared" si="4"/>
        <v>Loss</v>
      </c>
      <c r="Q16" s="39">
        <f t="shared" si="5"/>
        <v>-3.4</v>
      </c>
      <c r="R16" s="31" t="b">
        <f t="shared" si="6"/>
        <v>0</v>
      </c>
      <c r="S16" s="34">
        <f t="shared" si="7"/>
        <v>0.68</v>
      </c>
      <c r="T16" s="10">
        <f t="shared" si="8"/>
        <v>5</v>
      </c>
      <c r="U16" s="11"/>
      <c r="V16" s="12"/>
      <c r="W16" s="12"/>
      <c r="X16" s="12"/>
      <c r="Y16" s="12"/>
      <c r="Z16" s="12"/>
    </row>
    <row r="17" ht="13.5" hidden="1" customHeight="1">
      <c r="A17" s="19" t="s">
        <v>39</v>
      </c>
      <c r="B17" s="20">
        <v>12.0</v>
      </c>
      <c r="C17" s="21">
        <v>23.164</v>
      </c>
      <c r="D17" s="21">
        <v>33.333</v>
      </c>
      <c r="E17" s="21">
        <v>1.13</v>
      </c>
      <c r="F17" s="22"/>
      <c r="G17" s="23">
        <v>45135.0</v>
      </c>
      <c r="H17" s="24"/>
      <c r="I17" s="25">
        <v>45160.0</v>
      </c>
      <c r="J17" s="26">
        <f t="shared" si="1"/>
        <v>45135</v>
      </c>
      <c r="K17" s="27">
        <f>IFERROR(__xludf.DUMMYFUNCTION("if(isblank(J17),,index(googlefinance(A17,K$2,J17-1),2,2))"),41.96)</f>
        <v>41.96</v>
      </c>
      <c r="L17" s="28">
        <f t="shared" si="2"/>
        <v>45160</v>
      </c>
      <c r="M17" s="29">
        <f>IFERROR(__xludf.DUMMYFUNCTION("if(isblank(L17),, index(googlefinance(A17,M$2,L17-1),2,2))"),39.74)</f>
        <v>39.74</v>
      </c>
      <c r="N17" s="30">
        <f>IFERROR(__xludf.DUMMYFUNCTION("if(isblank(A17),,googlefinance(A17))"),36.31)</f>
        <v>36.31</v>
      </c>
      <c r="O17" s="31" t="str">
        <f t="shared" si="3"/>
        <v>Completed</v>
      </c>
      <c r="P17" s="32" t="str">
        <f t="shared" si="4"/>
        <v>Profit</v>
      </c>
      <c r="Q17" s="33">
        <f t="shared" si="5"/>
        <v>51.06</v>
      </c>
      <c r="R17" s="31" t="b">
        <f t="shared" si="6"/>
        <v>1</v>
      </c>
      <c r="S17" s="34">
        <f t="shared" si="7"/>
        <v>-2.22</v>
      </c>
      <c r="T17" s="10">
        <f t="shared" si="8"/>
        <v>23</v>
      </c>
      <c r="U17" s="11"/>
      <c r="V17" s="12"/>
      <c r="W17" s="12"/>
      <c r="X17" s="12"/>
      <c r="Y17" s="12"/>
      <c r="Z17" s="12"/>
    </row>
    <row r="18" ht="13.5" hidden="1" customHeight="1">
      <c r="A18" s="19" t="s">
        <v>40</v>
      </c>
      <c r="B18" s="20">
        <v>15.0</v>
      </c>
      <c r="C18" s="21">
        <v>79.98</v>
      </c>
      <c r="D18" s="21">
        <v>33.333</v>
      </c>
      <c r="E18" s="21">
        <v>1.558</v>
      </c>
      <c r="F18" s="22"/>
      <c r="G18" s="23">
        <v>45135.0</v>
      </c>
      <c r="H18" s="24"/>
      <c r="I18" s="25">
        <v>45149.0</v>
      </c>
      <c r="J18" s="26">
        <f t="shared" si="1"/>
        <v>45135</v>
      </c>
      <c r="K18" s="27">
        <f>IFERROR(__xludf.DUMMYFUNCTION("if(isblank(J18),,index(googlefinance(A18,K$2,J18-1),2,2))"),39.24)</f>
        <v>39.24</v>
      </c>
      <c r="L18" s="28">
        <f t="shared" si="2"/>
        <v>45149</v>
      </c>
      <c r="M18" s="29">
        <f>IFERROR(__xludf.DUMMYFUNCTION("if(isblank(L18),, index(googlefinance(A18,M$2,L18-1),2,2))"),36.3)</f>
        <v>36.3</v>
      </c>
      <c r="N18" s="30">
        <f>IFERROR(__xludf.DUMMYFUNCTION("if(isblank(A18),,googlefinance(A18))"),38.13)</f>
        <v>38.13</v>
      </c>
      <c r="O18" s="31" t="str">
        <f t="shared" si="3"/>
        <v>Completed</v>
      </c>
      <c r="P18" s="32" t="str">
        <f t="shared" si="4"/>
        <v>Profit</v>
      </c>
      <c r="Q18" s="33">
        <f t="shared" si="5"/>
        <v>73.5</v>
      </c>
      <c r="R18" s="31" t="b">
        <f t="shared" si="6"/>
        <v>1</v>
      </c>
      <c r="S18" s="34">
        <f t="shared" si="7"/>
        <v>-2.94</v>
      </c>
      <c r="T18" s="10">
        <f t="shared" si="8"/>
        <v>25</v>
      </c>
      <c r="U18" s="11"/>
      <c r="V18" s="12"/>
      <c r="W18" s="12"/>
      <c r="X18" s="12"/>
      <c r="Y18" s="12"/>
      <c r="Z18" s="12"/>
    </row>
    <row r="19" ht="13.5" hidden="1" customHeight="1">
      <c r="A19" s="19" t="s">
        <v>41</v>
      </c>
      <c r="B19" s="20">
        <v>14.0</v>
      </c>
      <c r="C19" s="21">
        <v>77.58</v>
      </c>
      <c r="D19" s="21">
        <v>21.429</v>
      </c>
      <c r="E19" s="21">
        <v>1.301</v>
      </c>
      <c r="F19" s="22"/>
      <c r="G19" s="23">
        <v>45135.0</v>
      </c>
      <c r="H19" s="24"/>
      <c r="I19" s="25">
        <v>45140.0</v>
      </c>
      <c r="J19" s="26">
        <f t="shared" si="1"/>
        <v>45135</v>
      </c>
      <c r="K19" s="27">
        <f>IFERROR(__xludf.DUMMYFUNCTION("if(isblank(J19),,index(googlefinance(A19,K$2,J19-1),2,2))"),111.13)</f>
        <v>111.13</v>
      </c>
      <c r="L19" s="28">
        <f t="shared" si="2"/>
        <v>45140</v>
      </c>
      <c r="M19" s="29">
        <f>IFERROR(__xludf.DUMMYFUNCTION("if(isblank(L19),, index(googlefinance(A19,M$2,L19-1),2,2))"),112.57)</f>
        <v>112.57</v>
      </c>
      <c r="N19" s="30">
        <f>IFERROR(__xludf.DUMMYFUNCTION("if(isblank(A19),,googlefinance(A19))"),122.28)</f>
        <v>122.28</v>
      </c>
      <c r="O19" s="31" t="str">
        <f t="shared" si="3"/>
        <v>Completed</v>
      </c>
      <c r="P19" s="38" t="str">
        <f t="shared" si="4"/>
        <v>Loss</v>
      </c>
      <c r="Q19" s="39">
        <f t="shared" si="5"/>
        <v>-11.52</v>
      </c>
      <c r="R19" s="31" t="b">
        <f t="shared" si="6"/>
        <v>0</v>
      </c>
      <c r="S19" s="34">
        <f t="shared" si="7"/>
        <v>1.44</v>
      </c>
      <c r="T19" s="10">
        <f t="shared" si="8"/>
        <v>8</v>
      </c>
      <c r="U19" s="11"/>
      <c r="V19" s="12"/>
      <c r="W19" s="12"/>
      <c r="X19" s="12"/>
      <c r="Y19" s="12"/>
      <c r="Z19" s="12"/>
    </row>
    <row r="20" ht="13.5" hidden="1" customHeight="1">
      <c r="A20" s="19" t="s">
        <v>42</v>
      </c>
      <c r="B20" s="20">
        <v>10.0</v>
      </c>
      <c r="C20" s="21">
        <v>222.96</v>
      </c>
      <c r="D20" s="21">
        <v>20.0</v>
      </c>
      <c r="E20" s="21">
        <v>2.118</v>
      </c>
      <c r="F20" s="22"/>
      <c r="G20" s="23">
        <v>45135.0</v>
      </c>
      <c r="H20" s="24"/>
      <c r="I20" s="25">
        <v>45160.0</v>
      </c>
      <c r="J20" s="26">
        <f t="shared" si="1"/>
        <v>45135</v>
      </c>
      <c r="K20" s="27">
        <f>IFERROR(__xludf.DUMMYFUNCTION("if(isblank(J20),,index(googlefinance(A20,K$2,J20-1),2,2))"),92.75)</f>
        <v>92.75</v>
      </c>
      <c r="L20" s="28">
        <f t="shared" si="2"/>
        <v>45160</v>
      </c>
      <c r="M20" s="29">
        <f>IFERROR(__xludf.DUMMYFUNCTION("if(isblank(L20),, index(googlefinance(A20,M$2,L20-1),2,2))"),84.25)</f>
        <v>84.25</v>
      </c>
      <c r="N20" s="30">
        <f>IFERROR(__xludf.DUMMYFUNCTION("if(isblank(A20),,googlefinance(A20))"),93.24)</f>
        <v>93.24</v>
      </c>
      <c r="O20" s="31" t="str">
        <f t="shared" si="3"/>
        <v>Completed</v>
      </c>
      <c r="P20" s="32" t="str">
        <f t="shared" si="4"/>
        <v>Profit</v>
      </c>
      <c r="Q20" s="33">
        <f t="shared" si="5"/>
        <v>85</v>
      </c>
      <c r="R20" s="31" t="b">
        <f t="shared" si="6"/>
        <v>1</v>
      </c>
      <c r="S20" s="34">
        <f t="shared" si="7"/>
        <v>-8.5</v>
      </c>
      <c r="T20" s="10">
        <f t="shared" si="8"/>
        <v>10</v>
      </c>
      <c r="U20" s="11"/>
      <c r="V20" s="12"/>
      <c r="W20" s="12"/>
      <c r="X20" s="12"/>
      <c r="Y20" s="12"/>
      <c r="Z20" s="12"/>
    </row>
    <row r="21" ht="13.5" hidden="1" customHeight="1">
      <c r="A21" s="19" t="s">
        <v>43</v>
      </c>
      <c r="B21" s="20">
        <v>13.0</v>
      </c>
      <c r="C21" s="21">
        <v>248.03</v>
      </c>
      <c r="D21" s="21">
        <v>53.846</v>
      </c>
      <c r="E21" s="21">
        <v>3.281</v>
      </c>
      <c r="F21" s="22"/>
      <c r="G21" s="23">
        <v>45138.0</v>
      </c>
      <c r="H21" s="24"/>
      <c r="I21" s="25">
        <v>45148.0</v>
      </c>
      <c r="J21" s="26">
        <f t="shared" si="1"/>
        <v>45138</v>
      </c>
      <c r="K21" s="27">
        <f>IFERROR(__xludf.DUMMYFUNCTION("if(isblank(J21),,index(googlefinance(A21,K$2,J21-1),2,2))"),85.58)</f>
        <v>85.58</v>
      </c>
      <c r="L21" s="28">
        <f t="shared" si="2"/>
        <v>45148</v>
      </c>
      <c r="M21" s="29">
        <f>IFERROR(__xludf.DUMMYFUNCTION("if(isblank(L21),, index(googlefinance(A21,M$2,L21-1),2,2))"),84.37)</f>
        <v>84.37</v>
      </c>
      <c r="N21" s="30">
        <f>IFERROR(__xludf.DUMMYFUNCTION("if(isblank(A21),,googlefinance(A21))"),89.19)</f>
        <v>89.19</v>
      </c>
      <c r="O21" s="31" t="str">
        <f t="shared" si="3"/>
        <v>Completed</v>
      </c>
      <c r="P21" s="32" t="str">
        <f t="shared" si="4"/>
        <v>Profit</v>
      </c>
      <c r="Q21" s="33">
        <f t="shared" si="5"/>
        <v>13.31</v>
      </c>
      <c r="R21" s="31" t="b">
        <f t="shared" si="6"/>
        <v>1</v>
      </c>
      <c r="S21" s="34">
        <f t="shared" si="7"/>
        <v>-1.21</v>
      </c>
      <c r="T21" s="10">
        <f t="shared" si="8"/>
        <v>11</v>
      </c>
      <c r="U21" s="11"/>
      <c r="V21" s="12"/>
      <c r="W21" s="12"/>
      <c r="X21" s="12"/>
      <c r="Y21" s="12"/>
      <c r="Z21" s="12"/>
    </row>
    <row r="22" ht="13.5" hidden="1" customHeight="1">
      <c r="A22" s="19" t="s">
        <v>44</v>
      </c>
      <c r="B22" s="20">
        <v>11.0</v>
      </c>
      <c r="C22" s="21">
        <v>58.04</v>
      </c>
      <c r="D22" s="21">
        <v>45.455</v>
      </c>
      <c r="E22" s="21">
        <v>1.426</v>
      </c>
      <c r="F22" s="22"/>
      <c r="G22" s="23">
        <v>45138.0</v>
      </c>
      <c r="H22" s="24"/>
      <c r="I22" s="25">
        <v>45160.0</v>
      </c>
      <c r="J22" s="26">
        <f t="shared" si="1"/>
        <v>45138</v>
      </c>
      <c r="K22" s="27">
        <f>IFERROR(__xludf.DUMMYFUNCTION("if(isblank(J22),,index(googlefinance(A22,K$2,J22-1),2,2))"),84.61)</f>
        <v>84.61</v>
      </c>
      <c r="L22" s="28">
        <f t="shared" si="2"/>
        <v>45160</v>
      </c>
      <c r="M22" s="29">
        <f>IFERROR(__xludf.DUMMYFUNCTION("if(isblank(L22),, index(googlefinance(A22,M$2,L22-1),2,2))"),64.57)</f>
        <v>64.57</v>
      </c>
      <c r="N22" s="30">
        <f>IFERROR(__xludf.DUMMYFUNCTION("if(isblank(A22),,googlefinance(A22))"),79.97)</f>
        <v>79.97</v>
      </c>
      <c r="O22" s="31" t="str">
        <f t="shared" si="3"/>
        <v>Completed</v>
      </c>
      <c r="P22" s="32" t="str">
        <f t="shared" si="4"/>
        <v>Profit</v>
      </c>
      <c r="Q22" s="33">
        <f t="shared" si="5"/>
        <v>220.44</v>
      </c>
      <c r="R22" s="31" t="b">
        <f t="shared" si="6"/>
        <v>1</v>
      </c>
      <c r="S22" s="34">
        <f t="shared" si="7"/>
        <v>-20.04</v>
      </c>
      <c r="T22" s="10">
        <f t="shared" si="8"/>
        <v>11</v>
      </c>
      <c r="U22" s="11"/>
      <c r="V22" s="12"/>
      <c r="W22" s="12"/>
      <c r="X22" s="12"/>
      <c r="Y22" s="12"/>
      <c r="Z22" s="12"/>
    </row>
    <row r="23" ht="13.5" hidden="1" customHeight="1">
      <c r="A23" s="19" t="s">
        <v>45</v>
      </c>
      <c r="B23" s="20">
        <v>7.0</v>
      </c>
      <c r="C23" s="21">
        <v>32.79</v>
      </c>
      <c r="D23" s="21">
        <v>28.571</v>
      </c>
      <c r="E23" s="21">
        <v>1.339</v>
      </c>
      <c r="F23" s="22"/>
      <c r="G23" s="23">
        <v>45138.0</v>
      </c>
      <c r="H23" s="24"/>
      <c r="I23" s="25">
        <v>45139.0</v>
      </c>
      <c r="J23" s="26">
        <f t="shared" si="1"/>
        <v>45138</v>
      </c>
      <c r="K23" s="27">
        <f>IFERROR(__xludf.DUMMYFUNCTION("if(isblank(J23),,index(googlefinance(A23,K$2,J23-1),2,2))"),167.57)</f>
        <v>167.57</v>
      </c>
      <c r="L23" s="28">
        <f t="shared" si="2"/>
        <v>45139</v>
      </c>
      <c r="M23" s="29">
        <f>IFERROR(__xludf.DUMMYFUNCTION("if(isblank(L23),, index(googlefinance(A23,M$2,L23-1),2,2))"),167.57)</f>
        <v>167.57</v>
      </c>
      <c r="N23" s="30">
        <f>IFERROR(__xludf.DUMMYFUNCTION("if(isblank(A23),,googlefinance(A23))"),166.72)</f>
        <v>166.72</v>
      </c>
      <c r="O23" s="31" t="str">
        <f t="shared" si="3"/>
        <v>Completed</v>
      </c>
      <c r="P23" s="38" t="str">
        <f t="shared" si="4"/>
        <v>Loss</v>
      </c>
      <c r="Q23" s="43">
        <f t="shared" si="5"/>
        <v>0</v>
      </c>
      <c r="R23" s="31" t="b">
        <f t="shared" si="6"/>
        <v>0</v>
      </c>
      <c r="S23" s="34">
        <f t="shared" si="7"/>
        <v>0</v>
      </c>
      <c r="T23" s="10">
        <f t="shared" si="8"/>
        <v>5</v>
      </c>
      <c r="U23" s="11"/>
      <c r="V23" s="12"/>
      <c r="W23" s="12"/>
      <c r="X23" s="12"/>
      <c r="Y23" s="12"/>
      <c r="Z23" s="12"/>
    </row>
    <row r="24" ht="13.5" hidden="1" customHeight="1">
      <c r="A24" s="19" t="s">
        <v>46</v>
      </c>
      <c r="B24" s="20">
        <v>8.0</v>
      </c>
      <c r="C24" s="21">
        <v>94.1</v>
      </c>
      <c r="D24" s="21">
        <v>62.5</v>
      </c>
      <c r="E24" s="21">
        <v>3.937</v>
      </c>
      <c r="F24" s="22"/>
      <c r="G24" s="23">
        <v>45138.0</v>
      </c>
      <c r="H24" s="24"/>
      <c r="I24" s="25">
        <v>45145.0</v>
      </c>
      <c r="J24" s="26">
        <f t="shared" si="1"/>
        <v>45138</v>
      </c>
      <c r="K24" s="27">
        <f>IFERROR(__xludf.DUMMYFUNCTION("if(isblank(J24),,index(googlefinance(A24,K$2,J24-1),2,2))"),167.53)</f>
        <v>167.53</v>
      </c>
      <c r="L24" s="28">
        <f t="shared" si="2"/>
        <v>45145</v>
      </c>
      <c r="M24" s="29">
        <f>IFERROR(__xludf.DUMMYFUNCTION("if(isblank(L24),, index(googlefinance(A24,M$2,L24-1),2,2))"),173.1)</f>
        <v>173.1</v>
      </c>
      <c r="N24" s="30">
        <f>IFERROR(__xludf.DUMMYFUNCTION("if(isblank(A24),,googlefinance(A24))"),161.13)</f>
        <v>161.13</v>
      </c>
      <c r="O24" s="31" t="str">
        <f t="shared" si="3"/>
        <v>Completed</v>
      </c>
      <c r="P24" s="38" t="str">
        <f t="shared" si="4"/>
        <v>Loss</v>
      </c>
      <c r="Q24" s="39">
        <f t="shared" si="5"/>
        <v>-27.85</v>
      </c>
      <c r="R24" s="31" t="b">
        <f t="shared" si="6"/>
        <v>0</v>
      </c>
      <c r="S24" s="34">
        <f t="shared" si="7"/>
        <v>5.57</v>
      </c>
      <c r="T24" s="10">
        <f t="shared" si="8"/>
        <v>5</v>
      </c>
      <c r="U24" s="11"/>
      <c r="V24" s="12"/>
      <c r="W24" s="12"/>
      <c r="X24" s="12"/>
      <c r="Y24" s="12"/>
      <c r="Z24" s="12"/>
    </row>
    <row r="25" ht="13.5" hidden="1" customHeight="1">
      <c r="A25" s="19" t="s">
        <v>47</v>
      </c>
      <c r="B25" s="20">
        <v>8.0</v>
      </c>
      <c r="C25" s="21">
        <v>95.79</v>
      </c>
      <c r="D25" s="21">
        <v>50.0</v>
      </c>
      <c r="E25" s="21">
        <v>2.758</v>
      </c>
      <c r="F25" s="22"/>
      <c r="G25" s="23">
        <v>45138.0</v>
      </c>
      <c r="H25" s="24"/>
      <c r="I25" s="25">
        <v>45161.0</v>
      </c>
      <c r="J25" s="26">
        <f t="shared" si="1"/>
        <v>45138</v>
      </c>
      <c r="K25" s="27">
        <f>IFERROR(__xludf.DUMMYFUNCTION("if(isblank(J25),,index(googlefinance(A25,K$2,J25-1),2,2))"),187.46)</f>
        <v>187.46</v>
      </c>
      <c r="L25" s="28">
        <f t="shared" si="2"/>
        <v>45161</v>
      </c>
      <c r="M25" s="29">
        <f>IFERROR(__xludf.DUMMYFUNCTION("if(isblank(L25),, index(googlefinance(A25,M$2,L25-1),2,2))"),175.7)</f>
        <v>175.7</v>
      </c>
      <c r="N25" s="30">
        <f>IFERROR(__xludf.DUMMYFUNCTION("if(isblank(A25),,googlefinance(A25))"),168.94)</f>
        <v>168.94</v>
      </c>
      <c r="O25" s="31" t="str">
        <f t="shared" si="3"/>
        <v>Completed</v>
      </c>
      <c r="P25" s="32" t="str">
        <f t="shared" si="4"/>
        <v>Profit</v>
      </c>
      <c r="Q25" s="33">
        <f t="shared" si="5"/>
        <v>58.8</v>
      </c>
      <c r="R25" s="31" t="b">
        <f t="shared" si="6"/>
        <v>1</v>
      </c>
      <c r="S25" s="34">
        <f t="shared" si="7"/>
        <v>-11.76</v>
      </c>
      <c r="T25" s="10">
        <f t="shared" si="8"/>
        <v>5</v>
      </c>
      <c r="U25" s="11"/>
      <c r="V25" s="12"/>
      <c r="W25" s="12"/>
      <c r="X25" s="12"/>
      <c r="Y25" s="12"/>
      <c r="Z25" s="12"/>
    </row>
    <row r="26" ht="13.5" hidden="1" customHeight="1">
      <c r="A26" s="19" t="s">
        <v>48</v>
      </c>
      <c r="B26" s="20">
        <v>12.0</v>
      </c>
      <c r="C26" s="21">
        <v>411.01</v>
      </c>
      <c r="D26" s="21">
        <v>50.0</v>
      </c>
      <c r="E26" s="21">
        <v>3.885</v>
      </c>
      <c r="F26" s="22"/>
      <c r="G26" s="23">
        <v>45138.0</v>
      </c>
      <c r="H26" s="24"/>
      <c r="I26" s="25">
        <v>45140.0</v>
      </c>
      <c r="J26" s="26">
        <f t="shared" si="1"/>
        <v>45138</v>
      </c>
      <c r="K26" s="27">
        <f>IFERROR(__xludf.DUMMYFUNCTION("if(isblank(J26),,index(googlefinance(A26,K$2,J26-1),2,2))"),276.21)</f>
        <v>276.21</v>
      </c>
      <c r="L26" s="28">
        <f t="shared" si="2"/>
        <v>45140</v>
      </c>
      <c r="M26" s="29">
        <f>IFERROR(__xludf.DUMMYFUNCTION("if(isblank(L26),, index(googlefinance(A26,M$2,L26-1),2,2))"),274.4)</f>
        <v>274.4</v>
      </c>
      <c r="N26" s="30">
        <f>IFERROR(__xludf.DUMMYFUNCTION("if(isblank(A26),,googlefinance(A26))"),305.07)</f>
        <v>305.07</v>
      </c>
      <c r="O26" s="31" t="str">
        <f t="shared" si="3"/>
        <v>Completed</v>
      </c>
      <c r="P26" s="32" t="str">
        <f t="shared" si="4"/>
        <v>Profit</v>
      </c>
      <c r="Q26" s="33">
        <f t="shared" si="5"/>
        <v>5.43</v>
      </c>
      <c r="R26" s="31" t="b">
        <f t="shared" si="6"/>
        <v>1</v>
      </c>
      <c r="S26" s="34">
        <f t="shared" si="7"/>
        <v>-1.81</v>
      </c>
      <c r="T26" s="10">
        <f t="shared" si="8"/>
        <v>3</v>
      </c>
      <c r="U26" s="11"/>
      <c r="V26" s="12"/>
      <c r="W26" s="12"/>
      <c r="X26" s="12"/>
      <c r="Y26" s="12"/>
      <c r="Z26" s="12"/>
    </row>
    <row r="27" ht="13.5" hidden="1" customHeight="1">
      <c r="A27" s="1" t="s">
        <v>49</v>
      </c>
      <c r="B27" s="35">
        <v>10.0</v>
      </c>
      <c r="C27" s="10">
        <v>120.55</v>
      </c>
      <c r="D27" s="10">
        <v>30.0</v>
      </c>
      <c r="E27" s="10">
        <v>1.66</v>
      </c>
      <c r="F27" s="23">
        <v>45139.0</v>
      </c>
      <c r="G27" s="22"/>
      <c r="H27" s="25">
        <v>45140.0</v>
      </c>
      <c r="I27" s="24"/>
      <c r="J27" s="36">
        <f t="shared" si="1"/>
        <v>45139</v>
      </c>
      <c r="K27" s="27" t="str">
        <f>IFERROR(__xludf.DUMMYFUNCTION("if(isblank(J27),,index(googlefinance(A27,K$2,J27-1),2,2))"),"#N/A")</f>
        <v>#N/A</v>
      </c>
      <c r="L27" s="37">
        <f t="shared" si="2"/>
        <v>45140</v>
      </c>
      <c r="M27" s="29">
        <f>IFERROR(__xludf.DUMMYFUNCTION("if(isblank(L27),, index(googlefinance(A27,M$2,L27-1),2,2))"),89.03)</f>
        <v>89.03</v>
      </c>
      <c r="N27" s="30">
        <f>IFERROR(__xludf.DUMMYFUNCTION("if(isblank(A27),,googlefinance(A27))"),90.9)</f>
        <v>90.9</v>
      </c>
      <c r="O27" s="31" t="str">
        <f t="shared" si="3"/>
        <v>Completed</v>
      </c>
      <c r="P27" s="32" t="str">
        <f t="shared" si="4"/>
        <v>#N/A</v>
      </c>
      <c r="Q27" s="33" t="str">
        <f t="shared" si="5"/>
        <v>#N/A</v>
      </c>
      <c r="R27" s="31" t="str">
        <f t="shared" si="6"/>
        <v>#N/A</v>
      </c>
      <c r="S27" s="34" t="str">
        <f t="shared" si="7"/>
        <v>#N/A</v>
      </c>
      <c r="T27" s="10" t="str">
        <f t="shared" si="8"/>
        <v>#N/A</v>
      </c>
      <c r="U27" s="11"/>
      <c r="V27" s="12"/>
      <c r="W27" s="12"/>
      <c r="X27" s="12"/>
      <c r="Y27" s="12"/>
      <c r="Z27" s="12"/>
    </row>
    <row r="28" ht="13.5" hidden="1" customHeight="1">
      <c r="A28" s="1" t="s">
        <v>50</v>
      </c>
      <c r="B28" s="35">
        <v>6.0</v>
      </c>
      <c r="C28" s="10">
        <v>163.28</v>
      </c>
      <c r="D28" s="10">
        <v>66.667</v>
      </c>
      <c r="E28" s="10">
        <v>3.738</v>
      </c>
      <c r="F28" s="22"/>
      <c r="G28" s="23">
        <v>45140.0</v>
      </c>
      <c r="H28" s="24"/>
      <c r="I28" s="25">
        <v>45142.0</v>
      </c>
      <c r="J28" s="26">
        <f t="shared" si="1"/>
        <v>45140</v>
      </c>
      <c r="K28" s="27">
        <f>IFERROR(__xludf.DUMMYFUNCTION("if(isblank(J28),,index(googlefinance(A28,K$2,J28-1),2,2))"),232.12)</f>
        <v>232.12</v>
      </c>
      <c r="L28" s="28">
        <f t="shared" si="2"/>
        <v>45142</v>
      </c>
      <c r="M28" s="29">
        <f>IFERROR(__xludf.DUMMYFUNCTION("if(isblank(L28),, index(googlefinance(A28,M$2,L28-1),2,2))"),230.7)</f>
        <v>230.7</v>
      </c>
      <c r="N28" s="30">
        <f>IFERROR(__xludf.DUMMYFUNCTION("if(isblank(A28),"""",googlefinance(A28))"),303.0)</f>
        <v>303</v>
      </c>
      <c r="O28" s="31" t="str">
        <f t="shared" ref="O28:O44" si="9">IF(ISBLANK(J28),"",IF(ISBLANK(L28),"Ongoing","Completed"))</f>
        <v>Completed</v>
      </c>
      <c r="P28" s="32" t="str">
        <f t="shared" si="4"/>
        <v>Profit</v>
      </c>
      <c r="Q28" s="33">
        <f t="shared" si="5"/>
        <v>5.68</v>
      </c>
      <c r="R28" s="31" t="b">
        <f t="shared" si="6"/>
        <v>1</v>
      </c>
      <c r="S28" s="34">
        <f t="shared" ref="S28:S44" si="10">IF(ISBLANK(J28),"",IF(ISBLANK(L28),N28-K28,M28-K28))</f>
        <v>-1.42</v>
      </c>
      <c r="T28" s="10">
        <f t="shared" si="8"/>
        <v>4</v>
      </c>
      <c r="U28" s="11"/>
      <c r="V28" s="12"/>
      <c r="W28" s="12"/>
      <c r="X28" s="12"/>
      <c r="Y28" s="12"/>
      <c r="Z28" s="12"/>
    </row>
    <row r="29" ht="13.5" hidden="1" customHeight="1">
      <c r="A29" s="1" t="s">
        <v>51</v>
      </c>
      <c r="B29" s="35">
        <v>11.0</v>
      </c>
      <c r="C29" s="10">
        <v>240.087</v>
      </c>
      <c r="D29" s="10">
        <v>45.455</v>
      </c>
      <c r="E29" s="10">
        <v>3.45</v>
      </c>
      <c r="F29" s="22"/>
      <c r="G29" s="23">
        <v>45140.0</v>
      </c>
      <c r="H29" s="24"/>
      <c r="I29" s="25">
        <v>45146.0</v>
      </c>
      <c r="J29" s="26">
        <f t="shared" si="1"/>
        <v>45140</v>
      </c>
      <c r="K29" s="27">
        <f>IFERROR(__xludf.DUMMYFUNCTION("if(isblank(J29),,index(googlefinance(A29,K$2,J29-1),2,2))"),278.54)</f>
        <v>278.54</v>
      </c>
      <c r="L29" s="28">
        <f t="shared" si="2"/>
        <v>45146</v>
      </c>
      <c r="M29" s="29">
        <f>IFERROR(__xludf.DUMMYFUNCTION("if(isblank(L29),, index(googlefinance(A29,M$2,L29-1),2,2))"),275.22)</f>
        <v>275.22</v>
      </c>
      <c r="N29" s="30">
        <f>IFERROR(__xludf.DUMMYFUNCTION("if(isblank(A29),"""",googlefinance(A29))"),242.09)</f>
        <v>242.09</v>
      </c>
      <c r="O29" s="31" t="str">
        <f t="shared" si="9"/>
        <v>Completed</v>
      </c>
      <c r="P29" s="32" t="str">
        <f t="shared" si="4"/>
        <v>Profit</v>
      </c>
      <c r="Q29" s="33">
        <f t="shared" si="5"/>
        <v>9.96</v>
      </c>
      <c r="R29" s="31" t="b">
        <f t="shared" si="6"/>
        <v>1</v>
      </c>
      <c r="S29" s="34">
        <f t="shared" si="10"/>
        <v>-3.32</v>
      </c>
      <c r="T29" s="10">
        <f t="shared" si="8"/>
        <v>3</v>
      </c>
      <c r="U29" s="11"/>
      <c r="V29" s="12"/>
      <c r="W29" s="12"/>
      <c r="X29" s="12"/>
      <c r="Y29" s="12"/>
      <c r="Z29" s="12"/>
    </row>
    <row r="30" ht="13.5" hidden="1" customHeight="1">
      <c r="A30" s="1" t="s">
        <v>52</v>
      </c>
      <c r="B30" s="35">
        <v>8.0</v>
      </c>
      <c r="C30" s="10">
        <v>200.98</v>
      </c>
      <c r="D30" s="10">
        <v>62.5</v>
      </c>
      <c r="E30" s="10">
        <v>3.462</v>
      </c>
      <c r="F30" s="22"/>
      <c r="G30" s="23">
        <v>45140.0</v>
      </c>
      <c r="H30" s="24"/>
      <c r="I30" s="25">
        <v>45167.0</v>
      </c>
      <c r="J30" s="26">
        <f t="shared" si="1"/>
        <v>45140</v>
      </c>
      <c r="K30" s="27">
        <f>IFERROR(__xludf.DUMMYFUNCTION("if(isblank(J30),,index(googlefinance(A30,K$2,J30-1),2,2))"),31.1)</f>
        <v>31.1</v>
      </c>
      <c r="L30" s="28">
        <f t="shared" si="2"/>
        <v>45167</v>
      </c>
      <c r="M30" s="29">
        <f>IFERROR(__xludf.DUMMYFUNCTION("if(isblank(L30),, index(googlefinance(A30,M$2,L30-1),2,2))"),27.37)</f>
        <v>27.37</v>
      </c>
      <c r="N30" s="30">
        <f>IFERROR(__xludf.DUMMYFUNCTION("if(isblank(A30),"""",googlefinance(A30))"),33.37)</f>
        <v>33.37</v>
      </c>
      <c r="O30" s="31" t="str">
        <f t="shared" si="9"/>
        <v>Completed</v>
      </c>
      <c r="P30" s="32" t="str">
        <f t="shared" si="4"/>
        <v>Profit</v>
      </c>
      <c r="Q30" s="33">
        <f t="shared" si="5"/>
        <v>119.36</v>
      </c>
      <c r="R30" s="31" t="b">
        <f t="shared" si="6"/>
        <v>1</v>
      </c>
      <c r="S30" s="34">
        <f t="shared" si="10"/>
        <v>-3.73</v>
      </c>
      <c r="T30" s="10">
        <f t="shared" si="8"/>
        <v>32</v>
      </c>
      <c r="U30" s="11"/>
      <c r="V30" s="12"/>
      <c r="W30" s="12"/>
      <c r="X30" s="12"/>
      <c r="Y30" s="12"/>
      <c r="Z30" s="12"/>
    </row>
    <row r="31" ht="13.5" hidden="1" customHeight="1">
      <c r="A31" s="1" t="s">
        <v>53</v>
      </c>
      <c r="B31" s="35">
        <v>7.0</v>
      </c>
      <c r="C31" s="10">
        <v>257.38</v>
      </c>
      <c r="D31" s="10">
        <v>28.571</v>
      </c>
      <c r="E31" s="10">
        <v>3.065</v>
      </c>
      <c r="F31" s="22"/>
      <c r="G31" s="23">
        <v>45140.0</v>
      </c>
      <c r="H31" s="24"/>
      <c r="I31" s="25">
        <v>45156.0</v>
      </c>
      <c r="J31" s="26">
        <f t="shared" si="1"/>
        <v>45140</v>
      </c>
      <c r="K31" s="27">
        <f>IFERROR(__xludf.DUMMYFUNCTION("if(isblank(J31),,index(googlefinance(A31,K$2,J31-1),2,2))"),53.68)</f>
        <v>53.68</v>
      </c>
      <c r="L31" s="28">
        <f t="shared" si="2"/>
        <v>45156</v>
      </c>
      <c r="M31" s="29">
        <f>IFERROR(__xludf.DUMMYFUNCTION("if(isblank(L31),, index(googlefinance(A31,M$2,L31-1),2,2))"),49.06)</f>
        <v>49.06</v>
      </c>
      <c r="N31" s="30">
        <f>IFERROR(__xludf.DUMMYFUNCTION("if(isblank(A31),"""",googlefinance(A31))"),45.94)</f>
        <v>45.94</v>
      </c>
      <c r="O31" s="31" t="str">
        <f t="shared" si="9"/>
        <v>Completed</v>
      </c>
      <c r="P31" s="32" t="str">
        <f t="shared" si="4"/>
        <v>Profit</v>
      </c>
      <c r="Q31" s="33">
        <f t="shared" si="5"/>
        <v>83.16</v>
      </c>
      <c r="R31" s="31" t="b">
        <f t="shared" si="6"/>
        <v>1</v>
      </c>
      <c r="S31" s="34">
        <f t="shared" si="10"/>
        <v>-4.62</v>
      </c>
      <c r="T31" s="10">
        <f t="shared" si="8"/>
        <v>18</v>
      </c>
      <c r="U31" s="11"/>
      <c r="V31" s="12"/>
      <c r="W31" s="12"/>
      <c r="X31" s="12"/>
      <c r="Y31" s="12"/>
      <c r="Z31" s="12"/>
    </row>
    <row r="32" ht="13.5" hidden="1" customHeight="1">
      <c r="A32" s="1" t="s">
        <v>54</v>
      </c>
      <c r="B32" s="35">
        <v>12.0</v>
      </c>
      <c r="C32" s="10">
        <v>131.94</v>
      </c>
      <c r="D32" s="10">
        <v>33.333</v>
      </c>
      <c r="E32" s="10">
        <v>1.553</v>
      </c>
      <c r="F32" s="22"/>
      <c r="G32" s="23">
        <v>45140.0</v>
      </c>
      <c r="H32" s="24"/>
      <c r="I32" s="25">
        <v>45160.0</v>
      </c>
      <c r="J32" s="26">
        <f t="shared" si="1"/>
        <v>45140</v>
      </c>
      <c r="K32" s="27">
        <f>IFERROR(__xludf.DUMMYFUNCTION("if(isblank(J32),,index(googlefinance(A32,K$2,J32-1),2,2))"),370.78)</f>
        <v>370.78</v>
      </c>
      <c r="L32" s="28">
        <f t="shared" si="2"/>
        <v>45160</v>
      </c>
      <c r="M32" s="29">
        <f>IFERROR(__xludf.DUMMYFUNCTION("if(isblank(L32),, index(googlefinance(A32,M$2,L32-1),2,2))"),283.65)</f>
        <v>283.65</v>
      </c>
      <c r="N32" s="30">
        <f>IFERROR(__xludf.DUMMYFUNCTION("if(isblank(A32),"""",googlefinance(A32))"),197.15)</f>
        <v>197.15</v>
      </c>
      <c r="O32" s="31" t="str">
        <f t="shared" si="9"/>
        <v>Completed</v>
      </c>
      <c r="P32" s="32" t="str">
        <f t="shared" si="4"/>
        <v>Profit</v>
      </c>
      <c r="Q32" s="33">
        <f t="shared" si="5"/>
        <v>174.26</v>
      </c>
      <c r="R32" s="31" t="b">
        <f t="shared" si="6"/>
        <v>1</v>
      </c>
      <c r="S32" s="34">
        <f t="shared" si="10"/>
        <v>-87.13</v>
      </c>
      <c r="T32" s="10">
        <f t="shared" si="8"/>
        <v>2</v>
      </c>
      <c r="U32" s="11"/>
      <c r="V32" s="12"/>
      <c r="W32" s="12"/>
      <c r="X32" s="12"/>
      <c r="Y32" s="12"/>
      <c r="Z32" s="12"/>
    </row>
    <row r="33" ht="13.5" hidden="1" customHeight="1">
      <c r="A33" s="19" t="s">
        <v>55</v>
      </c>
      <c r="B33" s="20">
        <v>11.0</v>
      </c>
      <c r="C33" s="21">
        <v>135.88</v>
      </c>
      <c r="D33" s="21">
        <v>45.455</v>
      </c>
      <c r="E33" s="21">
        <v>2.27</v>
      </c>
      <c r="F33" s="22"/>
      <c r="G33" s="23">
        <v>45141.0</v>
      </c>
      <c r="H33" s="24"/>
      <c r="I33" s="25">
        <v>45152.0</v>
      </c>
      <c r="J33" s="26">
        <f t="shared" si="1"/>
        <v>45141</v>
      </c>
      <c r="K33" s="27">
        <f>IFERROR(__xludf.DUMMYFUNCTION("if(isblank(J33),,index(googlefinance(A33,K$2,J33-1),2,2))"),299.32)</f>
        <v>299.32</v>
      </c>
      <c r="L33" s="28">
        <f t="shared" si="2"/>
        <v>45152</v>
      </c>
      <c r="M33" s="29">
        <f>IFERROR(__xludf.DUMMYFUNCTION("if(isblank(L33),, index(googlefinance(A33,M$2,L33-1),2,2))"),290.73)</f>
        <v>290.73</v>
      </c>
      <c r="N33" s="30">
        <f>IFERROR(__xludf.DUMMYFUNCTION("if(isblank(A33),"""",googlefinance(A33))"),270.15)</f>
        <v>270.15</v>
      </c>
      <c r="O33" s="31" t="str">
        <f t="shared" si="9"/>
        <v>Completed</v>
      </c>
      <c r="P33" s="32" t="str">
        <f t="shared" si="4"/>
        <v>Profit</v>
      </c>
      <c r="Q33" s="33">
        <f t="shared" si="5"/>
        <v>25.77</v>
      </c>
      <c r="R33" s="31" t="b">
        <f t="shared" si="6"/>
        <v>1</v>
      </c>
      <c r="S33" s="34">
        <f t="shared" si="10"/>
        <v>-8.59</v>
      </c>
      <c r="T33" s="10">
        <f t="shared" si="8"/>
        <v>3</v>
      </c>
      <c r="U33" s="11"/>
      <c r="V33" s="12"/>
      <c r="W33" s="12"/>
      <c r="X33" s="12"/>
      <c r="Y33" s="12"/>
      <c r="Z33" s="12"/>
    </row>
    <row r="34" ht="13.5" hidden="1" customHeight="1">
      <c r="A34" s="19" t="s">
        <v>56</v>
      </c>
      <c r="B34" s="20">
        <v>12.0</v>
      </c>
      <c r="C34" s="21">
        <v>246.07</v>
      </c>
      <c r="D34" s="21">
        <v>50.0</v>
      </c>
      <c r="E34" s="21">
        <v>2.485</v>
      </c>
      <c r="F34" s="22"/>
      <c r="G34" s="23">
        <v>45141.0</v>
      </c>
      <c r="H34" s="24"/>
      <c r="I34" s="25">
        <v>45145.0</v>
      </c>
      <c r="J34" s="26">
        <f t="shared" si="1"/>
        <v>45141</v>
      </c>
      <c r="K34" s="27">
        <f>IFERROR(__xludf.DUMMYFUNCTION("if(isblank(J34),,index(googlefinance(A34,K$2,J34-1),2,2))"),31.19)</f>
        <v>31.19</v>
      </c>
      <c r="L34" s="28">
        <f t="shared" si="2"/>
        <v>45145</v>
      </c>
      <c r="M34" s="29">
        <f>IFERROR(__xludf.DUMMYFUNCTION("if(isblank(L34),, index(googlefinance(A34,M$2,L34-1),2,2))"),31.88)</f>
        <v>31.88</v>
      </c>
      <c r="N34" s="30">
        <f>IFERROR(__xludf.DUMMYFUNCTION("if(isblank(A34),"""",googlefinance(A34))"),34.43)</f>
        <v>34.43</v>
      </c>
      <c r="O34" s="31" t="str">
        <f t="shared" si="9"/>
        <v>Completed</v>
      </c>
      <c r="P34" s="38" t="str">
        <f t="shared" si="4"/>
        <v>Loss</v>
      </c>
      <c r="Q34" s="39">
        <f t="shared" si="5"/>
        <v>-22.08</v>
      </c>
      <c r="R34" s="31" t="b">
        <f t="shared" si="6"/>
        <v>0</v>
      </c>
      <c r="S34" s="34">
        <f t="shared" si="10"/>
        <v>0.69</v>
      </c>
      <c r="T34" s="10">
        <f t="shared" si="8"/>
        <v>32</v>
      </c>
      <c r="U34" s="11"/>
      <c r="V34" s="12"/>
      <c r="W34" s="12"/>
      <c r="X34" s="12"/>
      <c r="Y34" s="12"/>
      <c r="Z34" s="12"/>
    </row>
    <row r="35" ht="13.5" hidden="1" customHeight="1">
      <c r="A35" s="19" t="s">
        <v>57</v>
      </c>
      <c r="B35" s="20">
        <v>15.0</v>
      </c>
      <c r="C35" s="21">
        <v>8.22</v>
      </c>
      <c r="D35" s="21">
        <v>13.333</v>
      </c>
      <c r="E35" s="21">
        <v>1.07</v>
      </c>
      <c r="F35" s="22"/>
      <c r="G35" s="23">
        <v>45141.0</v>
      </c>
      <c r="H35" s="24"/>
      <c r="I35" s="25">
        <v>45142.0</v>
      </c>
      <c r="J35" s="26">
        <f t="shared" si="1"/>
        <v>45141</v>
      </c>
      <c r="K35" s="27">
        <f>IFERROR(__xludf.DUMMYFUNCTION("if(isblank(J35),,index(googlefinance(A35,K$2,J35-1),2,2))"),2884.92)</f>
        <v>2884.92</v>
      </c>
      <c r="L35" s="28">
        <f t="shared" si="2"/>
        <v>45142</v>
      </c>
      <c r="M35" s="29">
        <f>IFERROR(__xludf.DUMMYFUNCTION("if(isblank(L35),, index(googlefinance(A35,M$2,L35-1),2,2))"),2839.91)</f>
        <v>2839.91</v>
      </c>
      <c r="N35" s="30">
        <f>IFERROR(__xludf.DUMMYFUNCTION("if(isblank(A35),"""",googlefinance(A35))"),3408.14)</f>
        <v>3408.14</v>
      </c>
      <c r="O35" s="31" t="str">
        <f t="shared" si="9"/>
        <v>Completed</v>
      </c>
      <c r="P35" s="32" t="str">
        <f t="shared" si="4"/>
        <v>Profit</v>
      </c>
      <c r="Q35" s="43">
        <f t="shared" si="5"/>
        <v>0</v>
      </c>
      <c r="R35" s="31" t="b">
        <f t="shared" si="6"/>
        <v>0</v>
      </c>
      <c r="S35" s="34">
        <f t="shared" si="10"/>
        <v>-45.01</v>
      </c>
      <c r="T35" s="10">
        <f t="shared" si="8"/>
        <v>0</v>
      </c>
      <c r="U35" s="11"/>
      <c r="V35" s="12"/>
      <c r="W35" s="12"/>
      <c r="X35" s="12"/>
      <c r="Y35" s="12"/>
      <c r="Z35" s="12"/>
    </row>
    <row r="36" ht="13.5" hidden="1" customHeight="1">
      <c r="A36" s="19" t="s">
        <v>58</v>
      </c>
      <c r="B36" s="20">
        <v>4.0</v>
      </c>
      <c r="C36" s="21">
        <v>101.86</v>
      </c>
      <c r="D36" s="21">
        <v>75.0</v>
      </c>
      <c r="E36" s="21">
        <v>8.884</v>
      </c>
      <c r="F36" s="22"/>
      <c r="G36" s="23">
        <v>45141.0</v>
      </c>
      <c r="H36" s="24"/>
      <c r="I36" s="25">
        <v>45145.0</v>
      </c>
      <c r="J36" s="26">
        <f t="shared" si="1"/>
        <v>45141</v>
      </c>
      <c r="K36" s="27">
        <f>IFERROR(__xludf.DUMMYFUNCTION("if(isblank(J36),,index(googlefinance(A36,K$2,J36-1),2,2))"),21.81)</f>
        <v>21.81</v>
      </c>
      <c r="L36" s="28">
        <f t="shared" si="2"/>
        <v>45145</v>
      </c>
      <c r="M36" s="29">
        <f>IFERROR(__xludf.DUMMYFUNCTION("if(isblank(L36),, index(googlefinance(A36,M$2,L36-1),2,2))"),21.8)</f>
        <v>21.8</v>
      </c>
      <c r="N36" s="30">
        <f>IFERROR(__xludf.DUMMYFUNCTION("if(isblank(A36),"""",googlefinance(A36))"),14.41)</f>
        <v>14.41</v>
      </c>
      <c r="O36" s="31" t="str">
        <f t="shared" si="9"/>
        <v>Completed</v>
      </c>
      <c r="P36" s="32" t="str">
        <f t="shared" si="4"/>
        <v>Profit</v>
      </c>
      <c r="Q36" s="33">
        <f t="shared" si="5"/>
        <v>0.45</v>
      </c>
      <c r="R36" s="31" t="b">
        <f t="shared" si="6"/>
        <v>1</v>
      </c>
      <c r="S36" s="34">
        <f t="shared" si="10"/>
        <v>-0.01</v>
      </c>
      <c r="T36" s="10">
        <f t="shared" si="8"/>
        <v>45</v>
      </c>
      <c r="U36" s="11"/>
      <c r="V36" s="12"/>
      <c r="W36" s="12"/>
      <c r="X36" s="12"/>
      <c r="Y36" s="12"/>
      <c r="Z36" s="12"/>
    </row>
    <row r="37" ht="13.5" hidden="1" customHeight="1">
      <c r="A37" s="19" t="s">
        <v>59</v>
      </c>
      <c r="B37" s="20">
        <v>14.0</v>
      </c>
      <c r="C37" s="21">
        <v>182.42</v>
      </c>
      <c r="D37" s="21">
        <v>35.714</v>
      </c>
      <c r="E37" s="21">
        <v>1.589</v>
      </c>
      <c r="F37" s="22"/>
      <c r="G37" s="23">
        <v>45141.0</v>
      </c>
      <c r="H37" s="24"/>
      <c r="I37" s="25">
        <v>45153.0</v>
      </c>
      <c r="J37" s="26">
        <f t="shared" si="1"/>
        <v>45141</v>
      </c>
      <c r="K37" s="27">
        <f>IFERROR(__xludf.DUMMYFUNCTION("if(isblank(J37),,index(googlefinance(A37,K$2,J37-1),2,2))"),229.22)</f>
        <v>229.22</v>
      </c>
      <c r="L37" s="28">
        <f t="shared" si="2"/>
        <v>45153</v>
      </c>
      <c r="M37" s="29">
        <f>IFERROR(__xludf.DUMMYFUNCTION("if(isblank(L37),, index(googlefinance(A37,M$2,L37-1),2,2))"),228.11)</f>
        <v>228.11</v>
      </c>
      <c r="N37" s="30">
        <f>IFERROR(__xludf.DUMMYFUNCTION("if(isblank(A37),"""",googlefinance(A37))"),265.8)</f>
        <v>265.8</v>
      </c>
      <c r="O37" s="31" t="str">
        <f t="shared" si="9"/>
        <v>Completed</v>
      </c>
      <c r="P37" s="32" t="str">
        <f t="shared" si="4"/>
        <v>Profit</v>
      </c>
      <c r="Q37" s="33">
        <f t="shared" si="5"/>
        <v>4.44</v>
      </c>
      <c r="R37" s="31" t="b">
        <f t="shared" si="6"/>
        <v>1</v>
      </c>
      <c r="S37" s="34">
        <f t="shared" si="10"/>
        <v>-1.11</v>
      </c>
      <c r="T37" s="10">
        <f t="shared" si="8"/>
        <v>4</v>
      </c>
      <c r="U37" s="11"/>
      <c r="V37" s="12"/>
      <c r="W37" s="12"/>
      <c r="X37" s="12"/>
      <c r="Y37" s="12"/>
      <c r="Z37" s="12"/>
    </row>
    <row r="38" ht="13.5" hidden="1" customHeight="1">
      <c r="A38" s="19" t="s">
        <v>60</v>
      </c>
      <c r="B38" s="20">
        <v>10.0</v>
      </c>
      <c r="C38" s="21">
        <v>213.99</v>
      </c>
      <c r="D38" s="21">
        <v>40.0</v>
      </c>
      <c r="E38" s="21">
        <v>2.261</v>
      </c>
      <c r="F38" s="22"/>
      <c r="G38" s="23">
        <v>45142.0</v>
      </c>
      <c r="H38" s="24"/>
      <c r="I38" s="25">
        <v>45167.0</v>
      </c>
      <c r="J38" s="26">
        <f t="shared" si="1"/>
        <v>45142</v>
      </c>
      <c r="K38" s="27">
        <f>IFERROR(__xludf.DUMMYFUNCTION("if(isblank(J38),,index(googlefinance(A38,K$2,J38-1),2,2))"),242.64)</f>
        <v>242.64</v>
      </c>
      <c r="L38" s="28">
        <f t="shared" si="2"/>
        <v>45167</v>
      </c>
      <c r="M38" s="29">
        <f>IFERROR(__xludf.DUMMYFUNCTION("if(isblank(L38),, index(googlefinance(A38,M$2,L38-1),2,2))"),232.62)</f>
        <v>232.62</v>
      </c>
      <c r="N38" s="30">
        <f>IFERROR(__xludf.DUMMYFUNCTION("if(isblank(A38),"""",googlefinance(A38))"),238.16)</f>
        <v>238.16</v>
      </c>
      <c r="O38" s="31" t="str">
        <f t="shared" si="9"/>
        <v>Completed</v>
      </c>
      <c r="P38" s="32" t="str">
        <f t="shared" si="4"/>
        <v>Profit</v>
      </c>
      <c r="Q38" s="33">
        <f t="shared" si="5"/>
        <v>40.08</v>
      </c>
      <c r="R38" s="31" t="b">
        <f t="shared" si="6"/>
        <v>1</v>
      </c>
      <c r="S38" s="34">
        <f t="shared" si="10"/>
        <v>-10.02</v>
      </c>
      <c r="T38" s="10">
        <f t="shared" si="8"/>
        <v>4</v>
      </c>
      <c r="U38" s="11"/>
      <c r="V38" s="12"/>
      <c r="W38" s="12"/>
      <c r="X38" s="12"/>
      <c r="Y38" s="12"/>
      <c r="Z38" s="12"/>
    </row>
    <row r="39" ht="13.5" hidden="1" customHeight="1">
      <c r="A39" s="19" t="s">
        <v>61</v>
      </c>
      <c r="B39" s="20">
        <v>9.0</v>
      </c>
      <c r="C39" s="21">
        <v>74.16</v>
      </c>
      <c r="D39" s="21">
        <v>33.333</v>
      </c>
      <c r="E39" s="21">
        <v>1.426</v>
      </c>
      <c r="F39" s="22"/>
      <c r="G39" s="23">
        <v>45142.0</v>
      </c>
      <c r="H39" s="24"/>
      <c r="I39" s="25">
        <v>45163.0</v>
      </c>
      <c r="J39" s="26">
        <f t="shared" si="1"/>
        <v>45142</v>
      </c>
      <c r="K39" s="27">
        <f>IFERROR(__xludf.DUMMYFUNCTION("if(isblank(J39),,index(googlefinance(A39,K$2,J39-1),2,2))"),380.75)</f>
        <v>380.75</v>
      </c>
      <c r="L39" s="28">
        <f t="shared" si="2"/>
        <v>45163</v>
      </c>
      <c r="M39" s="29">
        <f>IFERROR(__xludf.DUMMYFUNCTION("if(isblank(L39),, index(googlefinance(A39,M$2,L39-1),2,2))"),377.94)</f>
        <v>377.94</v>
      </c>
      <c r="N39" s="30">
        <f>IFERROR(__xludf.DUMMYFUNCTION("if(isblank(A39),"""",googlefinance(A39))"),409.12)</f>
        <v>409.12</v>
      </c>
      <c r="O39" s="31" t="str">
        <f t="shared" si="9"/>
        <v>Completed</v>
      </c>
      <c r="P39" s="32" t="str">
        <f t="shared" si="4"/>
        <v>Profit</v>
      </c>
      <c r="Q39" s="33">
        <f t="shared" si="5"/>
        <v>5.62</v>
      </c>
      <c r="R39" s="31" t="b">
        <f t="shared" si="6"/>
        <v>1</v>
      </c>
      <c r="S39" s="34">
        <f t="shared" si="10"/>
        <v>-2.81</v>
      </c>
      <c r="T39" s="10">
        <f t="shared" si="8"/>
        <v>2</v>
      </c>
      <c r="U39" s="11"/>
      <c r="V39" s="12"/>
      <c r="W39" s="12"/>
      <c r="X39" s="12"/>
      <c r="Y39" s="12"/>
      <c r="Z39" s="12"/>
    </row>
    <row r="40" ht="13.5" hidden="1" customHeight="1">
      <c r="A40" s="19" t="s">
        <v>62</v>
      </c>
      <c r="B40" s="20">
        <v>5.0</v>
      </c>
      <c r="C40" s="21">
        <v>186.41</v>
      </c>
      <c r="D40" s="21">
        <v>60.0</v>
      </c>
      <c r="E40" s="21">
        <v>6.275</v>
      </c>
      <c r="F40" s="22"/>
      <c r="G40" s="23">
        <v>45142.0</v>
      </c>
      <c r="H40" s="24"/>
      <c r="I40" s="25">
        <v>45166.0</v>
      </c>
      <c r="J40" s="26">
        <f t="shared" si="1"/>
        <v>45142</v>
      </c>
      <c r="K40" s="27">
        <f>IFERROR(__xludf.DUMMYFUNCTION("if(isblank(J40),,index(googlefinance(A40,K$2,J40-1),2,2))"),107.19)</f>
        <v>107.19</v>
      </c>
      <c r="L40" s="28">
        <f t="shared" si="2"/>
        <v>45166</v>
      </c>
      <c r="M40" s="29">
        <f>IFERROR(__xludf.DUMMYFUNCTION("if(isblank(L40),, index(googlefinance(A40,M$2,L40-1),2,2))"),104.12)</f>
        <v>104.12</v>
      </c>
      <c r="N40" s="30">
        <f>IFERROR(__xludf.DUMMYFUNCTION("if(isblank(A40),"""",googlefinance(A40))"),108.59)</f>
        <v>108.59</v>
      </c>
      <c r="O40" s="31" t="str">
        <f t="shared" si="9"/>
        <v>Completed</v>
      </c>
      <c r="P40" s="32" t="str">
        <f t="shared" si="4"/>
        <v>Profit</v>
      </c>
      <c r="Q40" s="33">
        <f t="shared" si="5"/>
        <v>27.63</v>
      </c>
      <c r="R40" s="31" t="b">
        <f t="shared" si="6"/>
        <v>1</v>
      </c>
      <c r="S40" s="34">
        <f t="shared" si="10"/>
        <v>-3.07</v>
      </c>
      <c r="T40" s="10">
        <f t="shared" si="8"/>
        <v>9</v>
      </c>
      <c r="U40" s="11"/>
      <c r="V40" s="12"/>
      <c r="W40" s="12"/>
      <c r="X40" s="12"/>
      <c r="Y40" s="12"/>
      <c r="Z40" s="12"/>
    </row>
    <row r="41" ht="13.5" hidden="1" customHeight="1">
      <c r="A41" s="19" t="s">
        <v>63</v>
      </c>
      <c r="B41" s="20">
        <v>9.0</v>
      </c>
      <c r="C41" s="21">
        <v>11.2</v>
      </c>
      <c r="D41" s="21">
        <v>33.333</v>
      </c>
      <c r="E41" s="21">
        <v>1.051</v>
      </c>
      <c r="F41" s="22"/>
      <c r="G41" s="23">
        <v>45142.0</v>
      </c>
      <c r="H41" s="24"/>
      <c r="I41" s="25">
        <v>45148.0</v>
      </c>
      <c r="J41" s="26">
        <f t="shared" si="1"/>
        <v>45142</v>
      </c>
      <c r="K41" s="27">
        <f>IFERROR(__xludf.DUMMYFUNCTION("if(isblank(J41),,index(googlefinance(A41,K$2,J41-1),2,2))"),112.59)</f>
        <v>112.59</v>
      </c>
      <c r="L41" s="28">
        <f t="shared" si="2"/>
        <v>45148</v>
      </c>
      <c r="M41" s="29">
        <f>IFERROR(__xludf.DUMMYFUNCTION("if(isblank(L41),, index(googlefinance(A41,M$2,L41-1),2,2))"),113.03)</f>
        <v>113.03</v>
      </c>
      <c r="N41" s="30">
        <f>IFERROR(__xludf.DUMMYFUNCTION("if(isblank(A41),"""",googlefinance(A41))"),134.5)</f>
        <v>134.5</v>
      </c>
      <c r="O41" s="31" t="str">
        <f t="shared" si="9"/>
        <v>Completed</v>
      </c>
      <c r="P41" s="38" t="str">
        <f t="shared" si="4"/>
        <v>Loss</v>
      </c>
      <c r="Q41" s="39">
        <f t="shared" si="5"/>
        <v>-3.52</v>
      </c>
      <c r="R41" s="31" t="b">
        <f t="shared" si="6"/>
        <v>0</v>
      </c>
      <c r="S41" s="34">
        <f t="shared" si="10"/>
        <v>0.44</v>
      </c>
      <c r="T41" s="10">
        <f t="shared" si="8"/>
        <v>8</v>
      </c>
      <c r="U41" s="11"/>
      <c r="V41" s="12"/>
      <c r="W41" s="12"/>
      <c r="X41" s="12"/>
      <c r="Y41" s="12"/>
      <c r="Z41" s="12"/>
    </row>
    <row r="42" ht="13.5" hidden="1" customHeight="1">
      <c r="A42" s="1" t="s">
        <v>64</v>
      </c>
      <c r="B42" s="35">
        <v>12.0</v>
      </c>
      <c r="C42" s="10">
        <v>66.82</v>
      </c>
      <c r="D42" s="10">
        <v>33.333</v>
      </c>
      <c r="E42" s="10">
        <v>1.251</v>
      </c>
      <c r="F42" s="22"/>
      <c r="G42" s="23">
        <v>45145.0</v>
      </c>
      <c r="H42" s="24"/>
      <c r="I42" s="25">
        <v>45167.0</v>
      </c>
      <c r="J42" s="26">
        <f t="shared" si="1"/>
        <v>45145</v>
      </c>
      <c r="K42" s="27">
        <f>IFERROR(__xludf.DUMMYFUNCTION("if(isblank(J42),,index(googlefinance(A42,K$2,J42-1),2,2))"),119.66)</f>
        <v>119.66</v>
      </c>
      <c r="L42" s="28">
        <f t="shared" si="2"/>
        <v>45167</v>
      </c>
      <c r="M42" s="29">
        <f>IFERROR(__xludf.DUMMYFUNCTION("if(isblank(L42),, index(googlefinance(A42,M$2,L42-1),2,2))"),111.67)</f>
        <v>111.67</v>
      </c>
      <c r="N42" s="30">
        <f>IFERROR(__xludf.DUMMYFUNCTION("if(isblank(A42),"""",googlefinance(A42))"),140.65)</f>
        <v>140.65</v>
      </c>
      <c r="O42" s="31" t="str">
        <f t="shared" si="9"/>
        <v>Completed</v>
      </c>
      <c r="P42" s="32" t="str">
        <f t="shared" si="4"/>
        <v>Profit</v>
      </c>
      <c r="Q42" s="33">
        <f t="shared" si="5"/>
        <v>63.92</v>
      </c>
      <c r="R42" s="31" t="b">
        <f t="shared" si="6"/>
        <v>1</v>
      </c>
      <c r="S42" s="34">
        <f t="shared" si="10"/>
        <v>-7.99</v>
      </c>
      <c r="T42" s="10">
        <f t="shared" si="8"/>
        <v>8</v>
      </c>
      <c r="U42" s="11"/>
      <c r="V42" s="12"/>
      <c r="W42" s="12"/>
      <c r="X42" s="12"/>
      <c r="Y42" s="12"/>
      <c r="Z42" s="12"/>
    </row>
    <row r="43" ht="13.5" hidden="1" customHeight="1">
      <c r="A43" s="1" t="s">
        <v>65</v>
      </c>
      <c r="B43" s="35">
        <v>8.0</v>
      </c>
      <c r="C43" s="10">
        <v>51.13</v>
      </c>
      <c r="D43" s="10">
        <v>62.5</v>
      </c>
      <c r="E43" s="10">
        <v>1.525</v>
      </c>
      <c r="F43" s="22"/>
      <c r="G43" s="23">
        <v>45146.0</v>
      </c>
      <c r="H43" s="24"/>
      <c r="I43" s="25">
        <v>45148.0</v>
      </c>
      <c r="J43" s="26">
        <f t="shared" si="1"/>
        <v>45146</v>
      </c>
      <c r="K43" s="27">
        <f>IFERROR(__xludf.DUMMYFUNCTION("if(isblank(J43),,index(googlefinance(A43,K$2,J43-1),2,2))"),80.85)</f>
        <v>80.85</v>
      </c>
      <c r="L43" s="28">
        <f t="shared" si="2"/>
        <v>45148</v>
      </c>
      <c r="M43" s="29">
        <f>IFERROR(__xludf.DUMMYFUNCTION("if(isblank(L43),, index(googlefinance(A43,M$2,L43-1),2,2))"),79.0)</f>
        <v>79</v>
      </c>
      <c r="N43" s="30">
        <f>IFERROR(__xludf.DUMMYFUNCTION("if(isblank(A43),"""",googlefinance(A43))"),83.47)</f>
        <v>83.47</v>
      </c>
      <c r="O43" s="31" t="str">
        <f t="shared" si="9"/>
        <v>Completed</v>
      </c>
      <c r="P43" s="32" t="str">
        <f t="shared" si="4"/>
        <v>Profit</v>
      </c>
      <c r="Q43" s="33">
        <f t="shared" si="5"/>
        <v>22.2</v>
      </c>
      <c r="R43" s="31" t="b">
        <f t="shared" si="6"/>
        <v>1</v>
      </c>
      <c r="S43" s="34">
        <f t="shared" si="10"/>
        <v>-1.85</v>
      </c>
      <c r="T43" s="10">
        <f t="shared" si="8"/>
        <v>12</v>
      </c>
      <c r="U43" s="11"/>
      <c r="V43" s="12"/>
      <c r="W43" s="12"/>
      <c r="X43" s="12"/>
      <c r="Y43" s="12"/>
      <c r="Z43" s="12"/>
    </row>
    <row r="44" ht="13.5" hidden="1" customHeight="1">
      <c r="A44" s="19" t="s">
        <v>66</v>
      </c>
      <c r="B44" s="20">
        <v>14.0</v>
      </c>
      <c r="C44" s="21">
        <v>270.59</v>
      </c>
      <c r="D44" s="21">
        <v>28.571</v>
      </c>
      <c r="E44" s="21">
        <v>2.043</v>
      </c>
      <c r="F44" s="23">
        <v>45147.0</v>
      </c>
      <c r="G44" s="22"/>
      <c r="H44" s="25">
        <v>45155.0</v>
      </c>
      <c r="I44" s="24"/>
      <c r="J44" s="36">
        <f t="shared" si="1"/>
        <v>45147</v>
      </c>
      <c r="K44" s="27">
        <f>IFERROR(__xludf.DUMMYFUNCTION("if(isblank(J44),,index(googlefinance(A44,K$2,J44-1),2,2))"),175.73)</f>
        <v>175.73</v>
      </c>
      <c r="L44" s="37">
        <f t="shared" si="2"/>
        <v>45155</v>
      </c>
      <c r="M44" s="29">
        <f>IFERROR(__xludf.DUMMYFUNCTION("if(isblank(L44),, index(googlefinance(A44,M$2,L44-1),2,2))"),200.78)</f>
        <v>200.78</v>
      </c>
      <c r="N44" s="30">
        <f>IFERROR(__xludf.DUMMYFUNCTION("if(isblank(A44),"""",googlefinance(A44))"),244.21)</f>
        <v>244.21</v>
      </c>
      <c r="O44" s="31" t="str">
        <f t="shared" si="9"/>
        <v>Completed</v>
      </c>
      <c r="P44" s="32" t="str">
        <f t="shared" si="4"/>
        <v>Profit</v>
      </c>
      <c r="Q44" s="33">
        <f t="shared" si="5"/>
        <v>125.25</v>
      </c>
      <c r="R44" s="31" t="b">
        <f t="shared" si="6"/>
        <v>1</v>
      </c>
      <c r="S44" s="34">
        <f t="shared" si="10"/>
        <v>25.05</v>
      </c>
      <c r="T44" s="10">
        <f t="shared" si="8"/>
        <v>5</v>
      </c>
      <c r="U44" s="11"/>
      <c r="V44" s="12"/>
      <c r="W44" s="12"/>
      <c r="X44" s="12"/>
      <c r="Y44" s="12"/>
      <c r="Z44" s="12"/>
    </row>
    <row r="45" ht="13.5" hidden="1" customHeight="1">
      <c r="A45" s="19" t="s">
        <v>67</v>
      </c>
      <c r="B45" s="20">
        <v>11.0</v>
      </c>
      <c r="C45" s="21">
        <v>223.54</v>
      </c>
      <c r="D45" s="21">
        <v>45.455</v>
      </c>
      <c r="E45" s="21">
        <v>1.701</v>
      </c>
      <c r="F45" s="22"/>
      <c r="G45" s="23">
        <v>45149.0</v>
      </c>
      <c r="H45" s="24"/>
      <c r="I45" s="25">
        <v>45166.0</v>
      </c>
      <c r="J45" s="26">
        <f t="shared" si="1"/>
        <v>45149</v>
      </c>
      <c r="K45" s="27">
        <f>IFERROR(__xludf.DUMMYFUNCTION("if(isblank(J45),,index(googlefinance(A45,K$2,J45-1),2,2))"),42.15)</f>
        <v>42.15</v>
      </c>
      <c r="L45" s="28">
        <f t="shared" si="2"/>
        <v>45166</v>
      </c>
      <c r="M45" s="29">
        <f>IFERROR(__xludf.DUMMYFUNCTION("if(isblank(L45),, index(googlefinance(A45,M$2,L45-1),2,2))"),41.41)</f>
        <v>41.41</v>
      </c>
      <c r="N45" s="30">
        <f>IFERROR(__xludf.DUMMYFUNCTION("if(isblank(A45),,googlefinance(A45))"),50.05)</f>
        <v>50.05</v>
      </c>
      <c r="O45" s="31" t="str">
        <f t="shared" ref="O45:O261" si="11">IF(ISBLANK(J45),,IF(ISBLANK(L45),"Ongoing","Completed"))</f>
        <v>Completed</v>
      </c>
      <c r="P45" s="32" t="str">
        <f t="shared" si="4"/>
        <v>Profit</v>
      </c>
      <c r="Q45" s="33">
        <f t="shared" si="5"/>
        <v>17.02</v>
      </c>
      <c r="R45" s="31" t="b">
        <f t="shared" si="6"/>
        <v>1</v>
      </c>
      <c r="S45" s="34">
        <f t="shared" ref="S45:S261" si="12">IF(ISBLANK(J45),,IF(ISBLANK(L45),N45-K45,M45-K45))</f>
        <v>-0.74</v>
      </c>
      <c r="T45" s="10">
        <f t="shared" si="8"/>
        <v>23</v>
      </c>
      <c r="U45" s="11"/>
      <c r="V45" s="12"/>
      <c r="W45" s="12"/>
      <c r="X45" s="12"/>
      <c r="Y45" s="12"/>
      <c r="Z45" s="12"/>
    </row>
    <row r="46" ht="13.5" hidden="1" customHeight="1">
      <c r="A46" s="19" t="s">
        <v>68</v>
      </c>
      <c r="B46" s="20">
        <v>17.0</v>
      </c>
      <c r="C46" s="21">
        <v>236.46</v>
      </c>
      <c r="D46" s="21">
        <v>41.176</v>
      </c>
      <c r="E46" s="21">
        <v>1.943</v>
      </c>
      <c r="F46" s="23">
        <v>45152.0</v>
      </c>
      <c r="G46" s="22"/>
      <c r="H46" s="25">
        <v>45155.0</v>
      </c>
      <c r="I46" s="24"/>
      <c r="J46" s="36">
        <f t="shared" si="1"/>
        <v>45152</v>
      </c>
      <c r="K46" s="27">
        <f>IFERROR(__xludf.DUMMYFUNCTION("if(isblank(J46),,index(googlefinance(A46,K$2,J46-1),2,2))"),322.26)</f>
        <v>322.26</v>
      </c>
      <c r="L46" s="37">
        <f t="shared" si="2"/>
        <v>45155</v>
      </c>
      <c r="M46" s="29">
        <f>IFERROR(__xludf.DUMMYFUNCTION("if(isblank(L46),, index(googlefinance(A46,M$2,L46-1),2,2))"),321.28)</f>
        <v>321.28</v>
      </c>
      <c r="N46" s="30">
        <f>IFERROR(__xludf.DUMMYFUNCTION("if(isblank(A46),,googlefinance(A46))"),289.59)</f>
        <v>289.59</v>
      </c>
      <c r="O46" s="31" t="str">
        <f t="shared" si="11"/>
        <v>Completed</v>
      </c>
      <c r="P46" s="38" t="str">
        <f t="shared" si="4"/>
        <v>Loss</v>
      </c>
      <c r="Q46" s="39">
        <f t="shared" si="5"/>
        <v>-2.94</v>
      </c>
      <c r="R46" s="31" t="b">
        <f t="shared" si="6"/>
        <v>0</v>
      </c>
      <c r="S46" s="34">
        <f t="shared" si="12"/>
        <v>-0.98</v>
      </c>
      <c r="T46" s="10">
        <f t="shared" si="8"/>
        <v>3</v>
      </c>
      <c r="U46" s="11"/>
      <c r="V46" s="12"/>
      <c r="W46" s="12"/>
      <c r="X46" s="12"/>
      <c r="Y46" s="12"/>
      <c r="Z46" s="12"/>
    </row>
    <row r="47" ht="13.5" hidden="1" customHeight="1">
      <c r="A47" s="19" t="s">
        <v>28</v>
      </c>
      <c r="B47" s="20">
        <v>11.0</v>
      </c>
      <c r="C47" s="21">
        <v>81.893</v>
      </c>
      <c r="D47" s="21">
        <v>27.273</v>
      </c>
      <c r="E47" s="21">
        <v>1.481</v>
      </c>
      <c r="F47" s="22"/>
      <c r="G47" s="23">
        <v>45153.0</v>
      </c>
      <c r="H47" s="24"/>
      <c r="I47" s="25">
        <v>45167.0</v>
      </c>
      <c r="J47" s="26">
        <f t="shared" si="1"/>
        <v>45153</v>
      </c>
      <c r="K47" s="27">
        <f>IFERROR(__xludf.DUMMYFUNCTION("if(isblank(J47),,index(googlefinance(A47,K$2,J47-1),2,2))"),63.8)</f>
        <v>63.8</v>
      </c>
      <c r="L47" s="28">
        <f t="shared" si="2"/>
        <v>45167</v>
      </c>
      <c r="M47" s="29">
        <f>IFERROR(__xludf.DUMMYFUNCTION("if(isblank(L47),, index(googlefinance(A47,M$2,L47-1),2,2))"),61.28)</f>
        <v>61.28</v>
      </c>
      <c r="N47" s="30">
        <f>IFERROR(__xludf.DUMMYFUNCTION("if(isblank(A47),,googlefinance(A47))"),74.36)</f>
        <v>74.36</v>
      </c>
      <c r="O47" s="31" t="str">
        <f t="shared" si="11"/>
        <v>Completed</v>
      </c>
      <c r="P47" s="32" t="str">
        <f t="shared" si="4"/>
        <v>Profit</v>
      </c>
      <c r="Q47" s="33">
        <f t="shared" si="5"/>
        <v>37.8</v>
      </c>
      <c r="R47" s="31" t="b">
        <f t="shared" si="6"/>
        <v>1</v>
      </c>
      <c r="S47" s="34">
        <f t="shared" si="12"/>
        <v>-2.52</v>
      </c>
      <c r="T47" s="10">
        <f t="shared" si="8"/>
        <v>15</v>
      </c>
      <c r="U47" s="11"/>
      <c r="V47" s="12"/>
      <c r="W47" s="12"/>
      <c r="X47" s="12"/>
      <c r="Y47" s="12"/>
      <c r="Z47" s="12"/>
    </row>
    <row r="48" ht="13.5" hidden="1" customHeight="1">
      <c r="A48" s="19" t="s">
        <v>68</v>
      </c>
      <c r="B48" s="20">
        <v>17.0</v>
      </c>
      <c r="C48" s="21">
        <v>236.46</v>
      </c>
      <c r="D48" s="21">
        <v>41.176</v>
      </c>
      <c r="E48" s="21">
        <v>1.943</v>
      </c>
      <c r="F48" s="23">
        <v>45154.0</v>
      </c>
      <c r="G48" s="22"/>
      <c r="H48" s="25">
        <v>45155.0</v>
      </c>
      <c r="I48" s="24"/>
      <c r="J48" s="36">
        <f t="shared" si="1"/>
        <v>45154</v>
      </c>
      <c r="K48" s="27">
        <f>IFERROR(__xludf.DUMMYFUNCTION("if(isblank(J48),,index(googlefinance(A48,K$2,J48-1),2,2))"),317.55)</f>
        <v>317.55</v>
      </c>
      <c r="L48" s="37">
        <f t="shared" si="2"/>
        <v>45155</v>
      </c>
      <c r="M48" s="29">
        <f>IFERROR(__xludf.DUMMYFUNCTION("if(isblank(L48),, index(googlefinance(A48,M$2,L48-1),2,2))"),321.28)</f>
        <v>321.28</v>
      </c>
      <c r="N48" s="30">
        <f>IFERROR(__xludf.DUMMYFUNCTION("if(isblank(A48),,googlefinance(A48))"),289.59)</f>
        <v>289.59</v>
      </c>
      <c r="O48" s="31" t="str">
        <f t="shared" si="11"/>
        <v>Completed</v>
      </c>
      <c r="P48" s="32" t="str">
        <f t="shared" si="4"/>
        <v>Profit</v>
      </c>
      <c r="Q48" s="33">
        <f t="shared" si="5"/>
        <v>11.19</v>
      </c>
      <c r="R48" s="31" t="b">
        <f t="shared" si="6"/>
        <v>1</v>
      </c>
      <c r="S48" s="34">
        <f t="shared" si="12"/>
        <v>3.73</v>
      </c>
      <c r="T48" s="10">
        <f t="shared" si="8"/>
        <v>3</v>
      </c>
      <c r="U48" s="11"/>
      <c r="V48" s="12"/>
      <c r="W48" s="12"/>
      <c r="X48" s="12"/>
      <c r="Y48" s="12"/>
      <c r="Z48" s="12"/>
    </row>
    <row r="49" ht="13.5" hidden="1" customHeight="1">
      <c r="A49" s="19" t="s">
        <v>69</v>
      </c>
      <c r="B49" s="20">
        <v>7.0</v>
      </c>
      <c r="C49" s="21">
        <v>103.4</v>
      </c>
      <c r="D49" s="21">
        <v>42.857</v>
      </c>
      <c r="E49" s="21">
        <v>1.976</v>
      </c>
      <c r="F49" s="22"/>
      <c r="G49" s="23">
        <v>45154.0</v>
      </c>
      <c r="H49" s="24"/>
      <c r="I49" s="25">
        <v>45156.0</v>
      </c>
      <c r="J49" s="26">
        <f t="shared" si="1"/>
        <v>45154</v>
      </c>
      <c r="K49" s="27">
        <f>IFERROR(__xludf.DUMMYFUNCTION("if(isblank(J49),,index(googlefinance(A49,K$2,J49-1),2,2))"),108.16)</f>
        <v>108.16</v>
      </c>
      <c r="L49" s="28">
        <f t="shared" si="2"/>
        <v>45156</v>
      </c>
      <c r="M49" s="29">
        <f>IFERROR(__xludf.DUMMYFUNCTION("if(isblank(L49),, index(googlefinance(A49,M$2,L49-1),2,2))"),108.4)</f>
        <v>108.4</v>
      </c>
      <c r="N49" s="30">
        <f>IFERROR(__xludf.DUMMYFUNCTION("if(isblank(A49),,googlefinance(A49))"),102.63)</f>
        <v>102.63</v>
      </c>
      <c r="O49" s="31" t="str">
        <f t="shared" si="11"/>
        <v>Completed</v>
      </c>
      <c r="P49" s="38" t="str">
        <f t="shared" si="4"/>
        <v>Loss</v>
      </c>
      <c r="Q49" s="39">
        <f t="shared" si="5"/>
        <v>-2.16</v>
      </c>
      <c r="R49" s="31" t="b">
        <f t="shared" si="6"/>
        <v>0</v>
      </c>
      <c r="S49" s="34">
        <f t="shared" si="12"/>
        <v>0.24</v>
      </c>
      <c r="T49" s="10">
        <f t="shared" si="8"/>
        <v>9</v>
      </c>
      <c r="U49" s="11"/>
      <c r="V49" s="12"/>
      <c r="W49" s="12"/>
      <c r="X49" s="12"/>
      <c r="Y49" s="12"/>
      <c r="Z49" s="12"/>
    </row>
    <row r="50" ht="13.5" hidden="1" customHeight="1">
      <c r="A50" s="19" t="s">
        <v>70</v>
      </c>
      <c r="B50" s="20">
        <v>9.0</v>
      </c>
      <c r="C50" s="21">
        <v>13.44</v>
      </c>
      <c r="D50" s="21">
        <v>55.556</v>
      </c>
      <c r="E50" s="21">
        <v>1.185</v>
      </c>
      <c r="F50" s="22"/>
      <c r="G50" s="23">
        <v>45155.0</v>
      </c>
      <c r="H50" s="24"/>
      <c r="I50" s="25">
        <v>45166.0</v>
      </c>
      <c r="J50" s="26">
        <f t="shared" si="1"/>
        <v>45155</v>
      </c>
      <c r="K50" s="27">
        <f>IFERROR(__xludf.DUMMYFUNCTION("if(isblank(J50),,index(googlefinance(A50,K$2,J50-1),2,2))"),223.59)</f>
        <v>223.59</v>
      </c>
      <c r="L50" s="28">
        <f t="shared" si="2"/>
        <v>45166</v>
      </c>
      <c r="M50" s="29">
        <f>IFERROR(__xludf.DUMMYFUNCTION("if(isblank(L50),, index(googlefinance(A50,M$2,L50-1),2,2))"),225.35)</f>
        <v>225.35</v>
      </c>
      <c r="N50" s="30">
        <f>IFERROR(__xludf.DUMMYFUNCTION("if(isblank(A50),,googlefinance(A50))"),253.9)</f>
        <v>253.9</v>
      </c>
      <c r="O50" s="31" t="str">
        <f t="shared" si="11"/>
        <v>Completed</v>
      </c>
      <c r="P50" s="38" t="str">
        <f t="shared" si="4"/>
        <v>Loss</v>
      </c>
      <c r="Q50" s="39">
        <f t="shared" si="5"/>
        <v>-7.04</v>
      </c>
      <c r="R50" s="31" t="b">
        <f t="shared" si="6"/>
        <v>0</v>
      </c>
      <c r="S50" s="34">
        <f t="shared" si="12"/>
        <v>1.76</v>
      </c>
      <c r="T50" s="10">
        <f t="shared" si="8"/>
        <v>4</v>
      </c>
      <c r="U50" s="11"/>
      <c r="V50" s="12"/>
      <c r="W50" s="12"/>
      <c r="X50" s="12"/>
      <c r="Y50" s="12"/>
      <c r="Z50" s="12"/>
    </row>
    <row r="51" ht="13.5" hidden="1" customHeight="1">
      <c r="A51" s="19" t="s">
        <v>71</v>
      </c>
      <c r="B51" s="20">
        <v>10.0</v>
      </c>
      <c r="C51" s="21">
        <v>144.06</v>
      </c>
      <c r="D51" s="21">
        <v>10.0</v>
      </c>
      <c r="E51" s="21">
        <v>1.788</v>
      </c>
      <c r="F51" s="22"/>
      <c r="G51" s="23">
        <v>45155.0</v>
      </c>
      <c r="H51" s="24"/>
      <c r="I51" s="25">
        <v>45166.0</v>
      </c>
      <c r="J51" s="26">
        <f t="shared" si="1"/>
        <v>45155</v>
      </c>
      <c r="K51" s="27">
        <f>IFERROR(__xludf.DUMMYFUNCTION("if(isblank(J51),,index(googlefinance(A51,K$2,J51-1),2,2))"),21.59)</f>
        <v>21.59</v>
      </c>
      <c r="L51" s="28">
        <f t="shared" si="2"/>
        <v>45166</v>
      </c>
      <c r="M51" s="29">
        <f>IFERROR(__xludf.DUMMYFUNCTION("if(isblank(L51),, index(googlefinance(A51,M$2,L51-1),2,2))"),21.32)</f>
        <v>21.32</v>
      </c>
      <c r="N51" s="30">
        <f>IFERROR(__xludf.DUMMYFUNCTION("if(isblank(A51),,googlefinance(A51))"),25.58)</f>
        <v>25.58</v>
      </c>
      <c r="O51" s="31" t="str">
        <f t="shared" si="11"/>
        <v>Completed</v>
      </c>
      <c r="P51" s="32" t="str">
        <f t="shared" si="4"/>
        <v>Profit</v>
      </c>
      <c r="Q51" s="33">
        <f t="shared" si="5"/>
        <v>12.42</v>
      </c>
      <c r="R51" s="31" t="b">
        <f t="shared" si="6"/>
        <v>1</v>
      </c>
      <c r="S51" s="34">
        <f t="shared" si="12"/>
        <v>-0.27</v>
      </c>
      <c r="T51" s="10">
        <f t="shared" si="8"/>
        <v>46</v>
      </c>
      <c r="U51" s="11"/>
      <c r="V51" s="12"/>
      <c r="W51" s="12"/>
      <c r="X51" s="12"/>
      <c r="Y51" s="12"/>
      <c r="Z51" s="12"/>
    </row>
    <row r="52" ht="13.5" hidden="1" customHeight="1">
      <c r="A52" s="19" t="s">
        <v>36</v>
      </c>
      <c r="B52" s="20">
        <v>5.0</v>
      </c>
      <c r="C52" s="21">
        <v>635.86</v>
      </c>
      <c r="D52" s="21">
        <v>60.0</v>
      </c>
      <c r="E52" s="21">
        <v>6.215</v>
      </c>
      <c r="F52" s="22"/>
      <c r="G52" s="23">
        <v>45155.0</v>
      </c>
      <c r="H52" s="24"/>
      <c r="I52" s="25">
        <v>45156.0</v>
      </c>
      <c r="J52" s="26">
        <f t="shared" si="1"/>
        <v>45155</v>
      </c>
      <c r="K52" s="27">
        <f>IFERROR(__xludf.DUMMYFUNCTION("if(isblank(J52),,index(googlefinance(A52,K$2,J52-1),2,2))"),62.55)</f>
        <v>62.55</v>
      </c>
      <c r="L52" s="28">
        <f t="shared" si="2"/>
        <v>45156</v>
      </c>
      <c r="M52" s="29">
        <f>IFERROR(__xludf.DUMMYFUNCTION("if(isblank(L52),, index(googlefinance(A52,M$2,L52-1),2,2))"),63.16)</f>
        <v>63.16</v>
      </c>
      <c r="N52" s="30">
        <f>IFERROR(__xludf.DUMMYFUNCTION("if(isblank(A52),,googlefinance(A52))"),58.94)</f>
        <v>58.94</v>
      </c>
      <c r="O52" s="31" t="str">
        <f t="shared" si="11"/>
        <v>Completed</v>
      </c>
      <c r="P52" s="38" t="str">
        <f t="shared" si="4"/>
        <v>Loss</v>
      </c>
      <c r="Q52" s="39">
        <f t="shared" si="5"/>
        <v>-9.15</v>
      </c>
      <c r="R52" s="31" t="b">
        <f t="shared" si="6"/>
        <v>0</v>
      </c>
      <c r="S52" s="34">
        <f t="shared" si="12"/>
        <v>0.61</v>
      </c>
      <c r="T52" s="10">
        <f t="shared" si="8"/>
        <v>15</v>
      </c>
      <c r="U52" s="11"/>
      <c r="V52" s="12"/>
      <c r="W52" s="12"/>
      <c r="X52" s="12"/>
      <c r="Y52" s="12"/>
      <c r="Z52" s="12"/>
    </row>
    <row r="53" ht="13.5" hidden="1" customHeight="1">
      <c r="A53" s="19" t="s">
        <v>72</v>
      </c>
      <c r="B53" s="20">
        <v>7.0</v>
      </c>
      <c r="C53" s="21">
        <v>203.73</v>
      </c>
      <c r="D53" s="21">
        <v>42.857</v>
      </c>
      <c r="E53" s="21">
        <v>2.662</v>
      </c>
      <c r="F53" s="22"/>
      <c r="G53" s="23">
        <v>45155.0</v>
      </c>
      <c r="H53" s="24"/>
      <c r="I53" s="25">
        <v>45163.0</v>
      </c>
      <c r="J53" s="26">
        <f t="shared" si="1"/>
        <v>45155</v>
      </c>
      <c r="K53" s="27">
        <f>IFERROR(__xludf.DUMMYFUNCTION("if(isblank(J53),,index(googlefinance(A53,K$2,J53-1),2,2))"),397.49)</f>
        <v>397.49</v>
      </c>
      <c r="L53" s="28">
        <f t="shared" si="2"/>
        <v>45163</v>
      </c>
      <c r="M53" s="29">
        <f>IFERROR(__xludf.DUMMYFUNCTION("if(isblank(L53),, index(googlefinance(A53,M$2,L53-1),2,2))"),391.72)</f>
        <v>391.72</v>
      </c>
      <c r="N53" s="30">
        <f>IFERROR(__xludf.DUMMYFUNCTION("if(isblank(A53),,googlefinance(A53))"),339.48)</f>
        <v>339.48</v>
      </c>
      <c r="O53" s="31" t="str">
        <f t="shared" si="11"/>
        <v>Completed</v>
      </c>
      <c r="P53" s="32" t="str">
        <f t="shared" si="4"/>
        <v>Profit</v>
      </c>
      <c r="Q53" s="33">
        <f t="shared" si="5"/>
        <v>11.54</v>
      </c>
      <c r="R53" s="31" t="b">
        <f t="shared" si="6"/>
        <v>1</v>
      </c>
      <c r="S53" s="34">
        <f t="shared" si="12"/>
        <v>-5.77</v>
      </c>
      <c r="T53" s="10">
        <f t="shared" si="8"/>
        <v>2</v>
      </c>
      <c r="U53" s="11"/>
      <c r="V53" s="12"/>
      <c r="W53" s="12"/>
      <c r="X53" s="12"/>
      <c r="Y53" s="12"/>
      <c r="Z53" s="12"/>
    </row>
    <row r="54" ht="13.5" hidden="1" customHeight="1">
      <c r="A54" s="19" t="s">
        <v>68</v>
      </c>
      <c r="B54" s="20">
        <v>18.0</v>
      </c>
      <c r="C54" s="21">
        <v>229.62</v>
      </c>
      <c r="D54" s="21">
        <v>38.889</v>
      </c>
      <c r="E54" s="21">
        <v>1.891</v>
      </c>
      <c r="F54" s="23">
        <v>45156.0</v>
      </c>
      <c r="G54" s="22"/>
      <c r="H54" s="25">
        <v>45174.0</v>
      </c>
      <c r="I54" s="24"/>
      <c r="J54" s="36">
        <f t="shared" si="1"/>
        <v>45156</v>
      </c>
      <c r="K54" s="27">
        <f>IFERROR(__xludf.DUMMYFUNCTION("if(isblank(J54),,index(googlefinance(A54,K$2,J54-1),2,2))"),319.0)</f>
        <v>319</v>
      </c>
      <c r="L54" s="37">
        <f t="shared" si="2"/>
        <v>45174</v>
      </c>
      <c r="M54" s="29">
        <f>IFERROR(__xludf.DUMMYFUNCTION("if(isblank(L54),, index(googlefinance(A54,M$2,L54-1),2,2))"),329.45)</f>
        <v>329.45</v>
      </c>
      <c r="N54" s="30">
        <f>IFERROR(__xludf.DUMMYFUNCTION("if(isblank(A54),,googlefinance(A54))"),289.59)</f>
        <v>289.59</v>
      </c>
      <c r="O54" s="31" t="str">
        <f t="shared" si="11"/>
        <v>Completed</v>
      </c>
      <c r="P54" s="32" t="str">
        <f t="shared" si="4"/>
        <v>Profit</v>
      </c>
      <c r="Q54" s="33">
        <f t="shared" si="5"/>
        <v>31.35</v>
      </c>
      <c r="R54" s="31" t="b">
        <f t="shared" si="6"/>
        <v>1</v>
      </c>
      <c r="S54" s="34">
        <f t="shared" si="12"/>
        <v>10.45</v>
      </c>
      <c r="T54" s="10">
        <f t="shared" si="8"/>
        <v>3</v>
      </c>
      <c r="U54" s="11"/>
      <c r="V54" s="12"/>
      <c r="W54" s="12"/>
      <c r="X54" s="12"/>
      <c r="Y54" s="12"/>
      <c r="Z54" s="12"/>
    </row>
    <row r="55" ht="13.5" hidden="1" customHeight="1">
      <c r="A55" s="19" t="s">
        <v>73</v>
      </c>
      <c r="B55" s="20">
        <v>11.0</v>
      </c>
      <c r="C55" s="21">
        <v>147.97</v>
      </c>
      <c r="D55" s="21">
        <v>45.455</v>
      </c>
      <c r="E55" s="21">
        <v>1.991</v>
      </c>
      <c r="F55" s="23">
        <v>45156.0</v>
      </c>
      <c r="G55" s="22"/>
      <c r="H55" s="25">
        <v>45162.0</v>
      </c>
      <c r="I55" s="24"/>
      <c r="J55" s="36">
        <f t="shared" si="1"/>
        <v>45156</v>
      </c>
      <c r="K55" s="27">
        <f>IFERROR(__xludf.DUMMYFUNCTION("if(isblank(J55),,index(googlefinance(A55,K$2,J55-1),2,2))"),249.18)</f>
        <v>249.18</v>
      </c>
      <c r="L55" s="37">
        <f t="shared" si="2"/>
        <v>45162</v>
      </c>
      <c r="M55" s="29">
        <f>IFERROR(__xludf.DUMMYFUNCTION("if(isblank(L55),, index(googlefinance(A55,M$2,L55-1),2,2))"),250.43)</f>
        <v>250.43</v>
      </c>
      <c r="N55" s="30">
        <f>IFERROR(__xludf.DUMMYFUNCTION("if(isblank(A55),,googlefinance(A55))"),276.17)</f>
        <v>276.17</v>
      </c>
      <c r="O55" s="31" t="str">
        <f t="shared" si="11"/>
        <v>Completed</v>
      </c>
      <c r="P55" s="32" t="str">
        <f t="shared" si="4"/>
        <v>Profit</v>
      </c>
      <c r="Q55" s="33">
        <f t="shared" si="5"/>
        <v>5</v>
      </c>
      <c r="R55" s="31" t="b">
        <f t="shared" si="6"/>
        <v>1</v>
      </c>
      <c r="S55" s="34">
        <f t="shared" si="12"/>
        <v>1.25</v>
      </c>
      <c r="T55" s="10">
        <f t="shared" si="8"/>
        <v>4</v>
      </c>
      <c r="U55" s="11"/>
      <c r="V55" s="12"/>
      <c r="W55" s="12"/>
      <c r="X55" s="12"/>
      <c r="Y55" s="12"/>
      <c r="Z55" s="12"/>
    </row>
    <row r="56" ht="13.5" hidden="1" customHeight="1">
      <c r="A56" s="19" t="s">
        <v>74</v>
      </c>
      <c r="B56" s="20">
        <v>13.0</v>
      </c>
      <c r="C56" s="21">
        <v>107.36</v>
      </c>
      <c r="D56" s="21">
        <v>38.462</v>
      </c>
      <c r="E56" s="21">
        <v>1.705</v>
      </c>
      <c r="F56" s="23">
        <v>45159.0</v>
      </c>
      <c r="G56" s="22"/>
      <c r="H56" s="25">
        <v>45162.0</v>
      </c>
      <c r="I56" s="24"/>
      <c r="J56" s="36">
        <f t="shared" si="1"/>
        <v>45159</v>
      </c>
      <c r="K56" s="27">
        <f>IFERROR(__xludf.DUMMYFUNCTION("if(isblank(J56),,index(googlefinance(A56,K$2,J56-1),2,2))"),75.23)</f>
        <v>75.23</v>
      </c>
      <c r="L56" s="37">
        <f t="shared" si="2"/>
        <v>45162</v>
      </c>
      <c r="M56" s="29">
        <f>IFERROR(__xludf.DUMMYFUNCTION("if(isblank(L56),, index(googlefinance(A56,M$2,L56-1),2,2))"),75.31)</f>
        <v>75.31</v>
      </c>
      <c r="N56" s="30">
        <f>IFERROR(__xludf.DUMMYFUNCTION("if(isblank(A56),,googlefinance(A56))"),72.95)</f>
        <v>72.95</v>
      </c>
      <c r="O56" s="31" t="str">
        <f t="shared" si="11"/>
        <v>Completed</v>
      </c>
      <c r="P56" s="32" t="str">
        <f t="shared" si="4"/>
        <v>Profit</v>
      </c>
      <c r="Q56" s="33">
        <f t="shared" si="5"/>
        <v>1.04</v>
      </c>
      <c r="R56" s="31" t="b">
        <f t="shared" si="6"/>
        <v>1</v>
      </c>
      <c r="S56" s="34">
        <f t="shared" si="12"/>
        <v>0.08</v>
      </c>
      <c r="T56" s="10">
        <f t="shared" si="8"/>
        <v>13</v>
      </c>
      <c r="U56" s="11"/>
      <c r="V56" s="12"/>
      <c r="W56" s="12"/>
      <c r="X56" s="12"/>
      <c r="Y56" s="12"/>
      <c r="Z56" s="12"/>
    </row>
    <row r="57" ht="13.5" hidden="1" customHeight="1">
      <c r="A57" s="19" t="s">
        <v>75</v>
      </c>
      <c r="B57" s="20">
        <v>12.0</v>
      </c>
      <c r="C57" s="21">
        <v>265.07</v>
      </c>
      <c r="D57" s="21">
        <v>33.333</v>
      </c>
      <c r="E57" s="21">
        <v>1.821</v>
      </c>
      <c r="F57" s="23">
        <v>45159.0</v>
      </c>
      <c r="G57" s="22"/>
      <c r="H57" s="25">
        <v>45174.0</v>
      </c>
      <c r="I57" s="24"/>
      <c r="J57" s="36">
        <f t="shared" si="1"/>
        <v>45159</v>
      </c>
      <c r="K57" s="27">
        <f>IFERROR(__xludf.DUMMYFUNCTION("if(isblank(J57),,index(googlefinance(A57,K$2,J57-1),2,2))"),111.08)</f>
        <v>111.08</v>
      </c>
      <c r="L57" s="37">
        <f t="shared" si="2"/>
        <v>45174</v>
      </c>
      <c r="M57" s="29">
        <f>IFERROR(__xludf.DUMMYFUNCTION("if(isblank(L57),, index(googlefinance(A57,M$2,L57-1),2,2))"),109.36)</f>
        <v>109.36</v>
      </c>
      <c r="N57" s="30">
        <f>IFERROR(__xludf.DUMMYFUNCTION("if(isblank(A57),,googlefinance(A57))"),111.12)</f>
        <v>111.12</v>
      </c>
      <c r="O57" s="31" t="str">
        <f t="shared" si="11"/>
        <v>Completed</v>
      </c>
      <c r="P57" s="38" t="str">
        <f t="shared" si="4"/>
        <v>Loss</v>
      </c>
      <c r="Q57" s="39">
        <f t="shared" si="5"/>
        <v>-15.48</v>
      </c>
      <c r="R57" s="31" t="b">
        <f t="shared" si="6"/>
        <v>0</v>
      </c>
      <c r="S57" s="34">
        <f t="shared" si="12"/>
        <v>-1.72</v>
      </c>
      <c r="T57" s="10">
        <f t="shared" si="8"/>
        <v>9</v>
      </c>
      <c r="U57" s="11"/>
      <c r="V57" s="12"/>
      <c r="W57" s="12"/>
      <c r="X57" s="12"/>
      <c r="Y57" s="12"/>
      <c r="Z57" s="12"/>
    </row>
    <row r="58" ht="13.5" hidden="1" customHeight="1">
      <c r="A58" s="19" t="s">
        <v>76</v>
      </c>
      <c r="B58" s="20">
        <v>8.0</v>
      </c>
      <c r="C58" s="21">
        <v>765.02</v>
      </c>
      <c r="D58" s="21">
        <v>87.5</v>
      </c>
      <c r="E58" s="21">
        <v>17.97</v>
      </c>
      <c r="F58" s="23">
        <v>45159.0</v>
      </c>
      <c r="G58" s="22"/>
      <c r="H58" s="25">
        <v>45184.0</v>
      </c>
      <c r="I58" s="24"/>
      <c r="J58" s="36">
        <f t="shared" si="1"/>
        <v>45159</v>
      </c>
      <c r="K58" s="27">
        <f>IFERROR(__xludf.DUMMYFUNCTION("if(isblank(J58),,index(googlefinance(A58,K$2,J58-1),2,2))"),240.81)</f>
        <v>240.81</v>
      </c>
      <c r="L58" s="37">
        <f t="shared" si="2"/>
        <v>45184</v>
      </c>
      <c r="M58" s="29">
        <f>IFERROR(__xludf.DUMMYFUNCTION("if(isblank(L58),, index(googlefinance(A58,M$2,L58-1),2,2))"),245.82)</f>
        <v>245.82</v>
      </c>
      <c r="N58" s="30">
        <f>IFERROR(__xludf.DUMMYFUNCTION("if(isblank(A58),,googlefinance(A58))"),282.93)</f>
        <v>282.93</v>
      </c>
      <c r="O58" s="31" t="str">
        <f t="shared" si="11"/>
        <v>Completed</v>
      </c>
      <c r="P58" s="32" t="str">
        <f t="shared" si="4"/>
        <v>Profit</v>
      </c>
      <c r="Q58" s="33">
        <f t="shared" si="5"/>
        <v>20.04</v>
      </c>
      <c r="R58" s="31" t="b">
        <f t="shared" si="6"/>
        <v>1</v>
      </c>
      <c r="S58" s="34">
        <f t="shared" si="12"/>
        <v>5.01</v>
      </c>
      <c r="T58" s="10">
        <f t="shared" si="8"/>
        <v>4</v>
      </c>
      <c r="U58" s="11"/>
      <c r="V58" s="12"/>
      <c r="W58" s="12"/>
      <c r="X58" s="12"/>
      <c r="Y58" s="12"/>
      <c r="Z58" s="12"/>
    </row>
    <row r="59" ht="13.5" hidden="1" customHeight="1">
      <c r="A59" s="19" t="s">
        <v>77</v>
      </c>
      <c r="B59" s="20">
        <v>4.0</v>
      </c>
      <c r="C59" s="21">
        <v>8.11</v>
      </c>
      <c r="D59" s="21">
        <v>25.0</v>
      </c>
      <c r="E59" s="21">
        <v>1.197</v>
      </c>
      <c r="F59" s="23">
        <v>45160.0</v>
      </c>
      <c r="G59" s="22"/>
      <c r="H59" s="25">
        <v>45163.0</v>
      </c>
      <c r="I59" s="24"/>
      <c r="J59" s="36">
        <f t="shared" si="1"/>
        <v>45160</v>
      </c>
      <c r="K59" s="27">
        <f>IFERROR(__xludf.DUMMYFUNCTION("if(isblank(J59),,index(googlefinance(A59,K$2,J59-1),2,2))"),433.69)</f>
        <v>433.69</v>
      </c>
      <c r="L59" s="37">
        <f t="shared" si="2"/>
        <v>45163</v>
      </c>
      <c r="M59" s="29">
        <f>IFERROR(__xludf.DUMMYFUNCTION("if(isblank(L59),, index(googlefinance(A59,M$2,L59-1),2,2))"),432.18)</f>
        <v>432.18</v>
      </c>
      <c r="N59" s="30">
        <f>IFERROR(__xludf.DUMMYFUNCTION("if(isblank(A59),,googlefinance(A59))"),469.89)</f>
        <v>469.89</v>
      </c>
      <c r="O59" s="31" t="str">
        <f t="shared" si="11"/>
        <v>Completed</v>
      </c>
      <c r="P59" s="38" t="str">
        <f t="shared" si="4"/>
        <v>Loss</v>
      </c>
      <c r="Q59" s="39">
        <f t="shared" si="5"/>
        <v>-3.02</v>
      </c>
      <c r="R59" s="31" t="b">
        <f t="shared" si="6"/>
        <v>0</v>
      </c>
      <c r="S59" s="34">
        <f t="shared" si="12"/>
        <v>-1.51</v>
      </c>
      <c r="T59" s="10">
        <f t="shared" si="8"/>
        <v>2</v>
      </c>
      <c r="U59" s="11"/>
      <c r="V59" s="12"/>
      <c r="W59" s="12"/>
      <c r="X59" s="12"/>
      <c r="Y59" s="12"/>
      <c r="Z59" s="12"/>
    </row>
    <row r="60" ht="13.5" hidden="1" customHeight="1">
      <c r="A60" s="19" t="s">
        <v>57</v>
      </c>
      <c r="B60" s="20">
        <v>16.0</v>
      </c>
      <c r="C60" s="21">
        <v>8.22</v>
      </c>
      <c r="D60" s="21">
        <v>12.5</v>
      </c>
      <c r="E60" s="21">
        <v>1.07</v>
      </c>
      <c r="F60" s="22"/>
      <c r="G60" s="23">
        <v>45160.0</v>
      </c>
      <c r="H60" s="24"/>
      <c r="I60" s="25">
        <v>45168.0</v>
      </c>
      <c r="J60" s="26">
        <f t="shared" si="1"/>
        <v>45160</v>
      </c>
      <c r="K60" s="27">
        <f>IFERROR(__xludf.DUMMYFUNCTION("if(isblank(J60),,index(googlefinance(A60,K$2,J60-1),2,2))"),3052.0)</f>
        <v>3052</v>
      </c>
      <c r="L60" s="28">
        <f t="shared" si="2"/>
        <v>45168</v>
      </c>
      <c r="M60" s="29">
        <f>IFERROR(__xludf.DUMMYFUNCTION("if(isblank(L60),, index(googlefinance(A60,M$2,L60-1),2,2))"),3110.86)</f>
        <v>3110.86</v>
      </c>
      <c r="N60" s="30">
        <f>IFERROR(__xludf.DUMMYFUNCTION("if(isblank(A60),,googlefinance(A60))"),3408.14)</f>
        <v>3408.14</v>
      </c>
      <c r="O60" s="31" t="str">
        <f t="shared" si="11"/>
        <v>Completed</v>
      </c>
      <c r="P60" s="38" t="str">
        <f t="shared" si="4"/>
        <v>Loss</v>
      </c>
      <c r="Q60" s="43">
        <f t="shared" si="5"/>
        <v>0</v>
      </c>
      <c r="R60" s="31" t="b">
        <f t="shared" si="6"/>
        <v>0</v>
      </c>
      <c r="S60" s="34">
        <f t="shared" si="12"/>
        <v>58.86</v>
      </c>
      <c r="T60" s="10">
        <f t="shared" si="8"/>
        <v>0</v>
      </c>
      <c r="U60" s="11"/>
      <c r="V60" s="12"/>
      <c r="W60" s="12"/>
      <c r="X60" s="12"/>
      <c r="Y60" s="12"/>
      <c r="Z60" s="12"/>
    </row>
    <row r="61" ht="13.5" hidden="1" customHeight="1">
      <c r="A61" s="19" t="s">
        <v>27</v>
      </c>
      <c r="B61" s="20">
        <v>11.0</v>
      </c>
      <c r="C61" s="21">
        <v>95.0</v>
      </c>
      <c r="D61" s="21">
        <v>45.455</v>
      </c>
      <c r="E61" s="21">
        <v>1.57</v>
      </c>
      <c r="F61" s="23">
        <v>45161.0</v>
      </c>
      <c r="G61" s="22"/>
      <c r="H61" s="25">
        <v>45177.0</v>
      </c>
      <c r="I61" s="24"/>
      <c r="J61" s="36">
        <f t="shared" si="1"/>
        <v>45161</v>
      </c>
      <c r="K61" s="27">
        <f>IFERROR(__xludf.DUMMYFUNCTION("if(isblank(J61),,index(googlefinance(A61,K$2,J61-1),2,2))"),225.51)</f>
        <v>225.51</v>
      </c>
      <c r="L61" s="37">
        <f t="shared" si="2"/>
        <v>45177</v>
      </c>
      <c r="M61" s="29">
        <f>IFERROR(__xludf.DUMMYFUNCTION("if(isblank(L61),, index(googlefinance(A61,M$2,L61-1),2,2))"),241.46)</f>
        <v>241.46</v>
      </c>
      <c r="N61" s="30">
        <f>IFERROR(__xludf.DUMMYFUNCTION("if(isblank(A61),,googlefinance(A61))"),252.71)</f>
        <v>252.71</v>
      </c>
      <c r="O61" s="31" t="str">
        <f t="shared" si="11"/>
        <v>Completed</v>
      </c>
      <c r="P61" s="32" t="str">
        <f t="shared" si="4"/>
        <v>Profit</v>
      </c>
      <c r="Q61" s="33">
        <f t="shared" si="5"/>
        <v>63.8</v>
      </c>
      <c r="R61" s="31" t="b">
        <f t="shared" si="6"/>
        <v>1</v>
      </c>
      <c r="S61" s="34">
        <f t="shared" si="12"/>
        <v>15.95</v>
      </c>
      <c r="T61" s="10">
        <f t="shared" si="8"/>
        <v>4</v>
      </c>
      <c r="U61" s="11"/>
      <c r="V61" s="12"/>
      <c r="W61" s="12"/>
      <c r="X61" s="12"/>
      <c r="Y61" s="12"/>
      <c r="Z61" s="12"/>
    </row>
    <row r="62" ht="13.5" hidden="1" customHeight="1">
      <c r="A62" s="19" t="s">
        <v>78</v>
      </c>
      <c r="B62" s="20">
        <v>16.0</v>
      </c>
      <c r="C62" s="21">
        <v>393.195</v>
      </c>
      <c r="D62" s="21">
        <v>50.0</v>
      </c>
      <c r="E62" s="21">
        <v>2.532</v>
      </c>
      <c r="F62" s="22"/>
      <c r="G62" s="23">
        <v>45162.0</v>
      </c>
      <c r="H62" s="24"/>
      <c r="I62" s="25">
        <v>45167.0</v>
      </c>
      <c r="J62" s="26">
        <f t="shared" si="1"/>
        <v>45162</v>
      </c>
      <c r="K62" s="27">
        <f>IFERROR(__xludf.DUMMYFUNCTION("if(isblank(J62),,index(googlefinance(A62,K$2,J62-1),2,2))"),189.83)</f>
        <v>189.83</v>
      </c>
      <c r="L62" s="28">
        <f t="shared" si="2"/>
        <v>45167</v>
      </c>
      <c r="M62" s="29">
        <f>IFERROR(__xludf.DUMMYFUNCTION("if(isblank(L62),, index(googlefinance(A62,M$2,L62-1),2,2))"),181.96)</f>
        <v>181.96</v>
      </c>
      <c r="N62" s="30">
        <f>IFERROR(__xludf.DUMMYFUNCTION("if(isblank(A62),,googlefinance(A62))"),230.92)</f>
        <v>230.92</v>
      </c>
      <c r="O62" s="31" t="str">
        <f t="shared" si="11"/>
        <v>Completed</v>
      </c>
      <c r="P62" s="32" t="str">
        <f t="shared" si="4"/>
        <v>Profit</v>
      </c>
      <c r="Q62" s="33">
        <f t="shared" si="5"/>
        <v>39.35</v>
      </c>
      <c r="R62" s="31" t="b">
        <f t="shared" si="6"/>
        <v>1</v>
      </c>
      <c r="S62" s="34">
        <f t="shared" si="12"/>
        <v>-7.87</v>
      </c>
      <c r="T62" s="10">
        <f t="shared" si="8"/>
        <v>5</v>
      </c>
      <c r="U62" s="11"/>
      <c r="V62" s="12"/>
      <c r="W62" s="12"/>
      <c r="X62" s="12"/>
      <c r="Y62" s="12"/>
      <c r="Z62" s="12"/>
    </row>
    <row r="63" ht="13.5" hidden="1" customHeight="1">
      <c r="A63" s="19" t="s">
        <v>79</v>
      </c>
      <c r="B63" s="20">
        <v>11.0</v>
      </c>
      <c r="C63" s="21">
        <v>126.36</v>
      </c>
      <c r="D63" s="21">
        <v>36.364</v>
      </c>
      <c r="E63" s="21">
        <v>2.108</v>
      </c>
      <c r="F63" s="23">
        <v>45163.0</v>
      </c>
      <c r="G63" s="22"/>
      <c r="H63" s="25">
        <v>45174.0</v>
      </c>
      <c r="I63" s="24"/>
      <c r="J63" s="36">
        <f t="shared" si="1"/>
        <v>45163</v>
      </c>
      <c r="K63" s="27">
        <f>IFERROR(__xludf.DUMMYFUNCTION("if(isblank(J63),,index(googlefinance(A63,K$2,J63-1),2,2))"),94.08)</f>
        <v>94.08</v>
      </c>
      <c r="L63" s="37">
        <f t="shared" si="2"/>
        <v>45174</v>
      </c>
      <c r="M63" s="29">
        <f>IFERROR(__xludf.DUMMYFUNCTION("if(isblank(L63),, index(googlefinance(A63,M$2,L63-1),2,2))"),94.51)</f>
        <v>94.51</v>
      </c>
      <c r="N63" s="30">
        <f>IFERROR(__xludf.DUMMYFUNCTION("if(isblank(A63),,googlefinance(A63))"),95.3)</f>
        <v>95.3</v>
      </c>
      <c r="O63" s="31" t="str">
        <f t="shared" si="11"/>
        <v>Completed</v>
      </c>
      <c r="P63" s="32" t="str">
        <f t="shared" si="4"/>
        <v>Profit</v>
      </c>
      <c r="Q63" s="33">
        <f t="shared" si="5"/>
        <v>4.3</v>
      </c>
      <c r="R63" s="31" t="b">
        <f t="shared" si="6"/>
        <v>1</v>
      </c>
      <c r="S63" s="34">
        <f t="shared" si="12"/>
        <v>0.43</v>
      </c>
      <c r="T63" s="10">
        <f t="shared" si="8"/>
        <v>10</v>
      </c>
      <c r="U63" s="11"/>
      <c r="V63" s="12"/>
      <c r="W63" s="12"/>
      <c r="X63" s="12"/>
      <c r="Y63" s="12"/>
      <c r="Z63" s="12"/>
    </row>
    <row r="64" ht="13.5" hidden="1" customHeight="1">
      <c r="A64" s="19" t="s">
        <v>80</v>
      </c>
      <c r="B64" s="20">
        <v>13.0</v>
      </c>
      <c r="C64" s="21">
        <v>191.58</v>
      </c>
      <c r="D64" s="21">
        <v>30.769</v>
      </c>
      <c r="E64" s="21">
        <v>2.184</v>
      </c>
      <c r="F64" s="23">
        <v>45166.0</v>
      </c>
      <c r="G64" s="22"/>
      <c r="H64" s="25">
        <v>45169.0</v>
      </c>
      <c r="I64" s="24"/>
      <c r="J64" s="36">
        <f t="shared" si="1"/>
        <v>45166</v>
      </c>
      <c r="K64" s="27">
        <f>IFERROR(__xludf.DUMMYFUNCTION("if(isblank(J64),,index(googlefinance(A64,K$2,J64-1),2,2))"),89.74)</f>
        <v>89.74</v>
      </c>
      <c r="L64" s="37">
        <f t="shared" si="2"/>
        <v>45169</v>
      </c>
      <c r="M64" s="29">
        <f>IFERROR(__xludf.DUMMYFUNCTION("if(isblank(L64),, index(googlefinance(A64,M$2,L64-1),2,2))"),88.04)</f>
        <v>88.04</v>
      </c>
      <c r="N64" s="30">
        <f>IFERROR(__xludf.DUMMYFUNCTION("if(isblank(A64),,googlefinance(A64))"),105.72)</f>
        <v>105.72</v>
      </c>
      <c r="O64" s="31" t="str">
        <f t="shared" si="11"/>
        <v>Completed</v>
      </c>
      <c r="P64" s="38" t="str">
        <f t="shared" si="4"/>
        <v>Loss</v>
      </c>
      <c r="Q64" s="39">
        <f t="shared" si="5"/>
        <v>-18.7</v>
      </c>
      <c r="R64" s="31" t="b">
        <f t="shared" si="6"/>
        <v>0</v>
      </c>
      <c r="S64" s="34">
        <f t="shared" si="12"/>
        <v>-1.7</v>
      </c>
      <c r="T64" s="10">
        <f t="shared" si="8"/>
        <v>11</v>
      </c>
      <c r="U64" s="11"/>
      <c r="V64" s="12"/>
      <c r="W64" s="12"/>
      <c r="X64" s="12"/>
      <c r="Y64" s="12"/>
      <c r="Z64" s="12"/>
    </row>
    <row r="65" ht="13.5" hidden="1" customHeight="1">
      <c r="A65" s="19" t="s">
        <v>81</v>
      </c>
      <c r="B65" s="20">
        <v>7.0</v>
      </c>
      <c r="C65" s="21">
        <v>78.96</v>
      </c>
      <c r="D65" s="21">
        <v>42.857</v>
      </c>
      <c r="E65" s="21">
        <v>2.664</v>
      </c>
      <c r="F65" s="23">
        <v>45166.0</v>
      </c>
      <c r="G65" s="22"/>
      <c r="H65" s="25">
        <v>45175.0</v>
      </c>
      <c r="I65" s="24"/>
      <c r="J65" s="36">
        <f t="shared" si="1"/>
        <v>45166</v>
      </c>
      <c r="K65" s="27">
        <f>IFERROR(__xludf.DUMMYFUNCTION("if(isblank(J65),,index(googlefinance(A65,K$2,J65-1),2,2))"),94.44)</f>
        <v>94.44</v>
      </c>
      <c r="L65" s="37">
        <f t="shared" si="2"/>
        <v>45175</v>
      </c>
      <c r="M65" s="29">
        <f>IFERROR(__xludf.DUMMYFUNCTION("if(isblank(L65),, index(googlefinance(A65,M$2,L65-1),2,2))"),95.17)</f>
        <v>95.17</v>
      </c>
      <c r="N65" s="30">
        <f>IFERROR(__xludf.DUMMYFUNCTION("if(isblank(A65),,googlefinance(A65))"),93.87)</f>
        <v>93.87</v>
      </c>
      <c r="O65" s="31" t="str">
        <f t="shared" si="11"/>
        <v>Completed</v>
      </c>
      <c r="P65" s="32" t="str">
        <f t="shared" si="4"/>
        <v>Profit</v>
      </c>
      <c r="Q65" s="33">
        <f t="shared" si="5"/>
        <v>7.3</v>
      </c>
      <c r="R65" s="31" t="b">
        <f t="shared" si="6"/>
        <v>1</v>
      </c>
      <c r="S65" s="34">
        <f t="shared" si="12"/>
        <v>0.73</v>
      </c>
      <c r="T65" s="10">
        <f t="shared" si="8"/>
        <v>10</v>
      </c>
      <c r="U65" s="11"/>
      <c r="V65" s="12"/>
      <c r="W65" s="12"/>
      <c r="X65" s="12"/>
      <c r="Y65" s="12"/>
      <c r="Z65" s="12"/>
    </row>
    <row r="66" ht="13.5" hidden="1" customHeight="1">
      <c r="A66" s="19" t="s">
        <v>82</v>
      </c>
      <c r="B66" s="20">
        <v>10.0</v>
      </c>
      <c r="C66" s="21">
        <v>111.25</v>
      </c>
      <c r="D66" s="21">
        <v>50.0</v>
      </c>
      <c r="E66" s="21">
        <v>2.119</v>
      </c>
      <c r="F66" s="23">
        <v>45166.0</v>
      </c>
      <c r="G66" s="22"/>
      <c r="H66" s="25">
        <v>45175.0</v>
      </c>
      <c r="I66" s="24"/>
      <c r="J66" s="36">
        <f t="shared" si="1"/>
        <v>45166</v>
      </c>
      <c r="K66" s="27">
        <f>IFERROR(__xludf.DUMMYFUNCTION("if(isblank(J66),,index(googlefinance(A66,K$2,J66-1),2,2))"),43.97)</f>
        <v>43.97</v>
      </c>
      <c r="L66" s="37">
        <f t="shared" si="2"/>
        <v>45175</v>
      </c>
      <c r="M66" s="29">
        <f>IFERROR(__xludf.DUMMYFUNCTION("if(isblank(L66),, index(googlefinance(A66,M$2,L66-1),2,2))"),44.09)</f>
        <v>44.09</v>
      </c>
      <c r="N66" s="30">
        <f>IFERROR(__xludf.DUMMYFUNCTION("if(isblank(A66),,googlefinance(A66))"),41.49)</f>
        <v>41.49</v>
      </c>
      <c r="O66" s="31" t="str">
        <f t="shared" si="11"/>
        <v>Completed</v>
      </c>
      <c r="P66" s="32" t="str">
        <f t="shared" si="4"/>
        <v>Profit</v>
      </c>
      <c r="Q66" s="33">
        <f t="shared" si="5"/>
        <v>2.64</v>
      </c>
      <c r="R66" s="31" t="b">
        <f t="shared" si="6"/>
        <v>1</v>
      </c>
      <c r="S66" s="34">
        <f t="shared" si="12"/>
        <v>0.12</v>
      </c>
      <c r="T66" s="10">
        <f t="shared" si="8"/>
        <v>22</v>
      </c>
      <c r="U66" s="11"/>
      <c r="V66" s="12"/>
      <c r="W66" s="12"/>
      <c r="X66" s="12"/>
      <c r="Y66" s="12"/>
      <c r="Z66" s="12"/>
    </row>
    <row r="67" ht="13.5" hidden="1" customHeight="1">
      <c r="A67" s="19" t="s">
        <v>83</v>
      </c>
      <c r="B67" s="20">
        <v>9.0</v>
      </c>
      <c r="C67" s="21">
        <v>2.05</v>
      </c>
      <c r="D67" s="21">
        <v>33.333</v>
      </c>
      <c r="E67" s="21">
        <v>1.016</v>
      </c>
      <c r="F67" s="23">
        <v>45167.0</v>
      </c>
      <c r="G67" s="22"/>
      <c r="H67" s="25">
        <v>45174.0</v>
      </c>
      <c r="I67" s="24"/>
      <c r="J67" s="36">
        <f t="shared" si="1"/>
        <v>45167</v>
      </c>
      <c r="K67" s="27">
        <f>IFERROR(__xludf.DUMMYFUNCTION("if(isblank(J67),,index(googlefinance(A67,K$2,J67-1),2,2))"),99.63)</f>
        <v>99.63</v>
      </c>
      <c r="L67" s="37">
        <f t="shared" si="2"/>
        <v>45174</v>
      </c>
      <c r="M67" s="29">
        <f>IFERROR(__xludf.DUMMYFUNCTION("if(isblank(L67),, index(googlefinance(A67,M$2,L67-1),2,2))"),100.32)</f>
        <v>100.32</v>
      </c>
      <c r="N67" s="30">
        <f>IFERROR(__xludf.DUMMYFUNCTION("if(isblank(A67),,googlefinance(A67))"),102.08)</f>
        <v>102.08</v>
      </c>
      <c r="O67" s="31" t="str">
        <f t="shared" si="11"/>
        <v>Completed</v>
      </c>
      <c r="P67" s="32" t="str">
        <f t="shared" si="4"/>
        <v>Profit</v>
      </c>
      <c r="Q67" s="33">
        <f t="shared" si="5"/>
        <v>6.9</v>
      </c>
      <c r="R67" s="31" t="b">
        <f t="shared" si="6"/>
        <v>1</v>
      </c>
      <c r="S67" s="34">
        <f t="shared" si="12"/>
        <v>0.69</v>
      </c>
      <c r="T67" s="10">
        <f t="shared" si="8"/>
        <v>10</v>
      </c>
      <c r="U67" s="11"/>
      <c r="V67" s="12"/>
      <c r="W67" s="12"/>
      <c r="X67" s="12"/>
      <c r="Y67" s="12"/>
      <c r="Z67" s="12"/>
    </row>
    <row r="68" ht="13.5" hidden="1" customHeight="1">
      <c r="A68" s="19" t="s">
        <v>47</v>
      </c>
      <c r="B68" s="20">
        <v>9.0</v>
      </c>
      <c r="C68" s="21">
        <v>142.49</v>
      </c>
      <c r="D68" s="21">
        <v>55.556</v>
      </c>
      <c r="E68" s="21">
        <v>3.614</v>
      </c>
      <c r="F68" s="23">
        <v>45167.0</v>
      </c>
      <c r="G68" s="22"/>
      <c r="H68" s="25">
        <v>45169.0</v>
      </c>
      <c r="I68" s="24"/>
      <c r="J68" s="36">
        <f t="shared" si="1"/>
        <v>45167</v>
      </c>
      <c r="K68" s="27">
        <f>IFERROR(__xludf.DUMMYFUNCTION("if(isblank(J68),,index(googlefinance(A68,K$2,J68-1),2,2))"),180.25)</f>
        <v>180.25</v>
      </c>
      <c r="L68" s="37">
        <f t="shared" si="2"/>
        <v>45169</v>
      </c>
      <c r="M68" s="29">
        <f>IFERROR(__xludf.DUMMYFUNCTION("if(isblank(L68),, index(googlefinance(A68,M$2,L68-1),2,2))"),181.08)</f>
        <v>181.08</v>
      </c>
      <c r="N68" s="30">
        <f>IFERROR(__xludf.DUMMYFUNCTION("if(isblank(A68),,googlefinance(A68))"),168.94)</f>
        <v>168.94</v>
      </c>
      <c r="O68" s="31" t="str">
        <f t="shared" si="11"/>
        <v>Completed</v>
      </c>
      <c r="P68" s="32" t="str">
        <f t="shared" si="4"/>
        <v>Profit</v>
      </c>
      <c r="Q68" s="33">
        <f t="shared" si="5"/>
        <v>4.15</v>
      </c>
      <c r="R68" s="31" t="b">
        <f t="shared" si="6"/>
        <v>1</v>
      </c>
      <c r="S68" s="34">
        <f t="shared" si="12"/>
        <v>0.83</v>
      </c>
      <c r="T68" s="10">
        <f t="shared" si="8"/>
        <v>5</v>
      </c>
      <c r="U68" s="11"/>
      <c r="V68" s="12"/>
      <c r="W68" s="12"/>
      <c r="X68" s="12"/>
      <c r="Y68" s="12"/>
      <c r="Z68" s="12"/>
    </row>
    <row r="69" ht="13.5" hidden="1" customHeight="1">
      <c r="A69" s="19" t="s">
        <v>84</v>
      </c>
      <c r="B69" s="20">
        <v>8.0</v>
      </c>
      <c r="C69" s="21">
        <v>246.85</v>
      </c>
      <c r="D69" s="21">
        <v>25.0</v>
      </c>
      <c r="E69" s="21">
        <v>2.629</v>
      </c>
      <c r="F69" s="23">
        <v>45167.0</v>
      </c>
      <c r="G69" s="22"/>
      <c r="H69" s="25">
        <v>45168.0</v>
      </c>
      <c r="I69" s="24"/>
      <c r="J69" s="36">
        <f t="shared" si="1"/>
        <v>45167</v>
      </c>
      <c r="K69" s="27">
        <f>IFERROR(__xludf.DUMMYFUNCTION("if(isblank(J69),,index(googlefinance(A69,K$2,J69-1),2,2))"),98.32)</f>
        <v>98.32</v>
      </c>
      <c r="L69" s="37">
        <f t="shared" si="2"/>
        <v>45168</v>
      </c>
      <c r="M69" s="29">
        <f>IFERROR(__xludf.DUMMYFUNCTION("if(isblank(L69),, index(googlefinance(A69,M$2,L69-1),2,2))"),100.53)</f>
        <v>100.53</v>
      </c>
      <c r="N69" s="30">
        <f>IFERROR(__xludf.DUMMYFUNCTION("if(isblank(A69),,googlefinance(A69))"),122.65)</f>
        <v>122.65</v>
      </c>
      <c r="O69" s="31" t="str">
        <f t="shared" si="11"/>
        <v>Completed</v>
      </c>
      <c r="P69" s="32" t="str">
        <f t="shared" si="4"/>
        <v>Profit</v>
      </c>
      <c r="Q69" s="33">
        <f t="shared" si="5"/>
        <v>22.1</v>
      </c>
      <c r="R69" s="31" t="b">
        <f t="shared" si="6"/>
        <v>1</v>
      </c>
      <c r="S69" s="34">
        <f t="shared" si="12"/>
        <v>2.21</v>
      </c>
      <c r="T69" s="10">
        <f t="shared" si="8"/>
        <v>10</v>
      </c>
      <c r="U69" s="11"/>
      <c r="V69" s="12"/>
      <c r="W69" s="12"/>
      <c r="X69" s="12"/>
      <c r="Y69" s="12"/>
      <c r="Z69" s="12"/>
    </row>
    <row r="70" ht="13.5" hidden="1" customHeight="1">
      <c r="A70" s="19" t="s">
        <v>85</v>
      </c>
      <c r="B70" s="20">
        <v>8.0</v>
      </c>
      <c r="C70" s="21">
        <v>103.29</v>
      </c>
      <c r="D70" s="21">
        <v>50.0</v>
      </c>
      <c r="E70" s="21">
        <v>1.469</v>
      </c>
      <c r="F70" s="23">
        <v>45168.0</v>
      </c>
      <c r="G70" s="22"/>
      <c r="H70" s="25">
        <v>45174.0</v>
      </c>
      <c r="I70" s="24"/>
      <c r="J70" s="36">
        <f t="shared" si="1"/>
        <v>45168</v>
      </c>
      <c r="K70" s="27">
        <f>IFERROR(__xludf.DUMMYFUNCTION("if(isblank(J70),,index(googlefinance(A70,K$2,J70-1),2,2))"),26.52)</f>
        <v>26.52</v>
      </c>
      <c r="L70" s="37">
        <f t="shared" si="2"/>
        <v>45174</v>
      </c>
      <c r="M70" s="29">
        <f>IFERROR(__xludf.DUMMYFUNCTION("if(isblank(L70),, index(googlefinance(A70,M$2,L70-1),2,2))"),26.13)</f>
        <v>26.13</v>
      </c>
      <c r="N70" s="30">
        <f>IFERROR(__xludf.DUMMYFUNCTION("if(isblank(A70),,googlefinance(A70))"),28.88)</f>
        <v>28.88</v>
      </c>
      <c r="O70" s="31" t="str">
        <f t="shared" si="11"/>
        <v>Completed</v>
      </c>
      <c r="P70" s="38" t="str">
        <f t="shared" si="4"/>
        <v>Loss</v>
      </c>
      <c r="Q70" s="39">
        <f t="shared" si="5"/>
        <v>-14.43</v>
      </c>
      <c r="R70" s="31" t="b">
        <f t="shared" si="6"/>
        <v>0</v>
      </c>
      <c r="S70" s="34">
        <f t="shared" si="12"/>
        <v>-0.39</v>
      </c>
      <c r="T70" s="10">
        <f t="shared" si="8"/>
        <v>37</v>
      </c>
      <c r="U70" s="11"/>
      <c r="V70" s="12"/>
      <c r="W70" s="12"/>
      <c r="X70" s="12"/>
      <c r="Y70" s="12"/>
      <c r="Z70" s="12"/>
    </row>
    <row r="71" ht="13.5" hidden="1" customHeight="1">
      <c r="A71" s="19" t="s">
        <v>86</v>
      </c>
      <c r="B71" s="20">
        <v>9.0</v>
      </c>
      <c r="C71" s="21">
        <v>2.8</v>
      </c>
      <c r="D71" s="21">
        <v>22.222</v>
      </c>
      <c r="E71" s="21">
        <v>1.023</v>
      </c>
      <c r="F71" s="23">
        <v>45168.0</v>
      </c>
      <c r="G71" s="22"/>
      <c r="H71" s="25">
        <v>45174.0</v>
      </c>
      <c r="I71" s="24"/>
      <c r="J71" s="36">
        <f t="shared" si="1"/>
        <v>45168</v>
      </c>
      <c r="K71" s="27">
        <f>IFERROR(__xludf.DUMMYFUNCTION("if(isblank(J71),,index(googlefinance(A71,K$2,J71-1),2,2))"),55.72)</f>
        <v>55.72</v>
      </c>
      <c r="L71" s="37">
        <f t="shared" si="2"/>
        <v>45174</v>
      </c>
      <c r="M71" s="29">
        <f>IFERROR(__xludf.DUMMYFUNCTION("if(isblank(L71),, index(googlefinance(A71,M$2,L71-1),2,2))"),55.64)</f>
        <v>55.64</v>
      </c>
      <c r="N71" s="30">
        <f>IFERROR(__xludf.DUMMYFUNCTION("if(isblank(A71),,googlefinance(A71))"),61.41)</f>
        <v>61.41</v>
      </c>
      <c r="O71" s="31" t="str">
        <f t="shared" si="11"/>
        <v>Completed</v>
      </c>
      <c r="P71" s="38" t="str">
        <f t="shared" si="4"/>
        <v>Loss</v>
      </c>
      <c r="Q71" s="39">
        <f t="shared" si="5"/>
        <v>-1.36</v>
      </c>
      <c r="R71" s="31" t="b">
        <f t="shared" si="6"/>
        <v>0</v>
      </c>
      <c r="S71" s="34">
        <f t="shared" si="12"/>
        <v>-0.08</v>
      </c>
      <c r="T71" s="10">
        <f t="shared" si="8"/>
        <v>17</v>
      </c>
      <c r="U71" s="11"/>
      <c r="V71" s="12"/>
      <c r="W71" s="12"/>
      <c r="X71" s="12"/>
      <c r="Y71" s="12"/>
      <c r="Z71" s="12"/>
    </row>
    <row r="72" ht="13.5" hidden="1" customHeight="1">
      <c r="A72" s="19" t="s">
        <v>87</v>
      </c>
      <c r="B72" s="20">
        <v>11.0</v>
      </c>
      <c r="C72" s="21">
        <v>229.87</v>
      </c>
      <c r="D72" s="21">
        <v>54.545</v>
      </c>
      <c r="E72" s="21">
        <v>2.3</v>
      </c>
      <c r="F72" s="23">
        <v>45169.0</v>
      </c>
      <c r="G72" s="22"/>
      <c r="H72" s="25">
        <v>45174.0</v>
      </c>
      <c r="I72" s="24"/>
      <c r="J72" s="36">
        <f t="shared" si="1"/>
        <v>45169</v>
      </c>
      <c r="K72" s="27">
        <f>IFERROR(__xludf.DUMMYFUNCTION("if(isblank(J72),,index(googlefinance(A72,K$2,J72-1),2,2))"),75.93)</f>
        <v>75.93</v>
      </c>
      <c r="L72" s="37">
        <f t="shared" si="2"/>
        <v>45174</v>
      </c>
      <c r="M72" s="29">
        <f>IFERROR(__xludf.DUMMYFUNCTION("if(isblank(L72),, index(googlefinance(A72,M$2,L72-1),2,2))"),73.95)</f>
        <v>73.95</v>
      </c>
      <c r="N72" s="30">
        <f>IFERROR(__xludf.DUMMYFUNCTION("if(isblank(A72),,googlefinance(A72))"),75.83)</f>
        <v>75.83</v>
      </c>
      <c r="O72" s="31" t="str">
        <f t="shared" si="11"/>
        <v>Completed</v>
      </c>
      <c r="P72" s="38" t="str">
        <f t="shared" si="4"/>
        <v>Loss</v>
      </c>
      <c r="Q72" s="39">
        <f t="shared" si="5"/>
        <v>-25.74</v>
      </c>
      <c r="R72" s="31" t="b">
        <f t="shared" si="6"/>
        <v>0</v>
      </c>
      <c r="S72" s="34">
        <f t="shared" si="12"/>
        <v>-1.98</v>
      </c>
      <c r="T72" s="10">
        <f t="shared" si="8"/>
        <v>13</v>
      </c>
      <c r="U72" s="11"/>
      <c r="V72" s="12"/>
      <c r="W72" s="12"/>
      <c r="X72" s="12"/>
      <c r="Y72" s="12"/>
      <c r="Z72" s="12"/>
    </row>
    <row r="73" ht="13.5" hidden="1" customHeight="1">
      <c r="A73" s="19" t="s">
        <v>88</v>
      </c>
      <c r="B73" s="20">
        <v>7.0</v>
      </c>
      <c r="C73" s="21">
        <v>157.17</v>
      </c>
      <c r="D73" s="21">
        <v>57.143</v>
      </c>
      <c r="E73" s="21">
        <v>1.901</v>
      </c>
      <c r="F73" s="23">
        <v>45169.0</v>
      </c>
      <c r="G73" s="22"/>
      <c r="H73" s="25">
        <v>45174.0</v>
      </c>
      <c r="I73" s="24"/>
      <c r="J73" s="36">
        <f t="shared" si="1"/>
        <v>45169</v>
      </c>
      <c r="K73" s="27">
        <f>IFERROR(__xludf.DUMMYFUNCTION("if(isblank(J73),,index(googlefinance(A73,K$2,J73-1),2,2))"),54.91)</f>
        <v>54.91</v>
      </c>
      <c r="L73" s="37">
        <f t="shared" si="2"/>
        <v>45174</v>
      </c>
      <c r="M73" s="29">
        <f>IFERROR(__xludf.DUMMYFUNCTION("if(isblank(L73),, index(googlefinance(A73,M$2,L73-1),2,2))"),52.61)</f>
        <v>52.61</v>
      </c>
      <c r="N73" s="30">
        <f>IFERROR(__xludf.DUMMYFUNCTION("if(isblank(A73),,googlefinance(A73))"),50.81)</f>
        <v>50.81</v>
      </c>
      <c r="O73" s="31" t="str">
        <f t="shared" si="11"/>
        <v>Completed</v>
      </c>
      <c r="P73" s="38" t="str">
        <f t="shared" si="4"/>
        <v>Loss</v>
      </c>
      <c r="Q73" s="39">
        <f t="shared" si="5"/>
        <v>-41.4</v>
      </c>
      <c r="R73" s="31" t="b">
        <f t="shared" si="6"/>
        <v>0</v>
      </c>
      <c r="S73" s="34">
        <f t="shared" si="12"/>
        <v>-2.3</v>
      </c>
      <c r="T73" s="10">
        <f t="shared" si="8"/>
        <v>18</v>
      </c>
      <c r="U73" s="11"/>
      <c r="V73" s="12"/>
      <c r="W73" s="12"/>
      <c r="X73" s="12"/>
      <c r="Y73" s="12"/>
      <c r="Z73" s="12"/>
    </row>
    <row r="74" ht="13.5" hidden="1" customHeight="1">
      <c r="A74" s="19" t="s">
        <v>89</v>
      </c>
      <c r="B74" s="20">
        <v>8.0</v>
      </c>
      <c r="C74" s="21">
        <v>246.79</v>
      </c>
      <c r="D74" s="21">
        <v>50.0</v>
      </c>
      <c r="E74" s="21">
        <v>3.112</v>
      </c>
      <c r="F74" s="22"/>
      <c r="G74" s="23">
        <v>45170.0</v>
      </c>
      <c r="H74" s="24"/>
      <c r="I74" s="25">
        <v>45176.0</v>
      </c>
      <c r="J74" s="26">
        <f t="shared" si="1"/>
        <v>45170</v>
      </c>
      <c r="K74" s="27" t="str">
        <f>IFERROR(__xludf.DUMMYFUNCTION("if(isblank(J74),,index(googlefinance(A74,K$2,J74-1),2,2))"),"#N/A")</f>
        <v>#N/A</v>
      </c>
      <c r="L74" s="28">
        <f t="shared" si="2"/>
        <v>45176</v>
      </c>
      <c r="M74" s="29">
        <f>IFERROR(__xludf.DUMMYFUNCTION("if(isblank(L74),, index(googlefinance(A74,M$2,L74-1),2,2))"),310.82)</f>
        <v>310.82</v>
      </c>
      <c r="N74" s="30">
        <f>IFERROR(__xludf.DUMMYFUNCTION("if(isblank(A74),,googlefinance(A74))"),378.59)</f>
        <v>378.59</v>
      </c>
      <c r="O74" s="31" t="str">
        <f t="shared" si="11"/>
        <v>Completed</v>
      </c>
      <c r="P74" s="38" t="str">
        <f t="shared" si="4"/>
        <v>#N/A</v>
      </c>
      <c r="Q74" s="39" t="str">
        <f t="shared" si="5"/>
        <v>#N/A</v>
      </c>
      <c r="R74" s="31" t="str">
        <f t="shared" si="6"/>
        <v>#N/A</v>
      </c>
      <c r="S74" s="34" t="str">
        <f t="shared" si="12"/>
        <v>#N/A</v>
      </c>
      <c r="T74" s="10" t="str">
        <f t="shared" si="8"/>
        <v>#N/A</v>
      </c>
      <c r="U74" s="11"/>
      <c r="V74" s="12"/>
      <c r="W74" s="12"/>
      <c r="X74" s="12"/>
      <c r="Y74" s="12"/>
      <c r="Z74" s="12"/>
    </row>
    <row r="75" ht="13.5" hidden="1" customHeight="1">
      <c r="A75" s="19" t="s">
        <v>64</v>
      </c>
      <c r="B75" s="20">
        <v>13.0</v>
      </c>
      <c r="C75" s="21">
        <v>115.86</v>
      </c>
      <c r="D75" s="21">
        <v>38.462</v>
      </c>
      <c r="E75" s="21">
        <v>1.435</v>
      </c>
      <c r="F75" s="23">
        <v>45170.0</v>
      </c>
      <c r="G75" s="22"/>
      <c r="H75" s="25">
        <v>45187.0</v>
      </c>
      <c r="I75" s="24"/>
      <c r="J75" s="36">
        <f t="shared" si="1"/>
        <v>45170</v>
      </c>
      <c r="K75" s="27" t="str">
        <f>IFERROR(__xludf.DUMMYFUNCTION("if(isblank(J75),,index(googlefinance(A75,K$2,J75-1),2,2))"),"#N/A")</f>
        <v>#N/A</v>
      </c>
      <c r="L75" s="37">
        <f t="shared" si="2"/>
        <v>45187</v>
      </c>
      <c r="M75" s="29">
        <f>IFERROR(__xludf.DUMMYFUNCTION("if(isblank(L75),, index(googlefinance(A75,M$2,L75-1),2,2))"),114.25)</f>
        <v>114.25</v>
      </c>
      <c r="N75" s="30">
        <f>IFERROR(__xludf.DUMMYFUNCTION("if(isblank(A75),,googlefinance(A75))"),140.65)</f>
        <v>140.65</v>
      </c>
      <c r="O75" s="31" t="str">
        <f t="shared" si="11"/>
        <v>Completed</v>
      </c>
      <c r="P75" s="32" t="str">
        <f t="shared" si="4"/>
        <v>#N/A</v>
      </c>
      <c r="Q75" s="33" t="str">
        <f t="shared" si="5"/>
        <v>#N/A</v>
      </c>
      <c r="R75" s="31" t="str">
        <f t="shared" si="6"/>
        <v>#N/A</v>
      </c>
      <c r="S75" s="34" t="str">
        <f t="shared" si="12"/>
        <v>#N/A</v>
      </c>
      <c r="T75" s="10" t="str">
        <f t="shared" si="8"/>
        <v>#N/A</v>
      </c>
      <c r="U75" s="11"/>
      <c r="V75" s="12"/>
      <c r="W75" s="12"/>
      <c r="X75" s="12"/>
      <c r="Y75" s="12"/>
      <c r="Z75" s="12"/>
    </row>
    <row r="76" ht="13.5" hidden="1" customHeight="1">
      <c r="A76" s="19" t="s">
        <v>90</v>
      </c>
      <c r="B76" s="20">
        <v>4.0</v>
      </c>
      <c r="C76" s="21">
        <v>77.25</v>
      </c>
      <c r="D76" s="21">
        <v>25.0</v>
      </c>
      <c r="E76" s="21">
        <v>2.046</v>
      </c>
      <c r="F76" s="22"/>
      <c r="G76" s="23">
        <v>45175.0</v>
      </c>
      <c r="H76" s="24"/>
      <c r="I76" s="25">
        <v>45180.0</v>
      </c>
      <c r="J76" s="26">
        <f t="shared" si="1"/>
        <v>45175</v>
      </c>
      <c r="K76" s="27">
        <f>IFERROR(__xludf.DUMMYFUNCTION("if(isblank(J76),,index(googlefinance(A76,K$2,J76-1),2,2))"),113.09)</f>
        <v>113.09</v>
      </c>
      <c r="L76" s="28">
        <f t="shared" si="2"/>
        <v>45180</v>
      </c>
      <c r="M76" s="29">
        <f>IFERROR(__xludf.DUMMYFUNCTION("if(isblank(L76),, index(googlefinance(A76,M$2,L76-1),2,2))"),114.87)</f>
        <v>114.87</v>
      </c>
      <c r="N76" s="30">
        <f>IFERROR(__xludf.DUMMYFUNCTION("if(isblank(A76),,googlefinance(A76))"),98.02)</f>
        <v>98.02</v>
      </c>
      <c r="O76" s="31" t="str">
        <f t="shared" si="11"/>
        <v>Completed</v>
      </c>
      <c r="P76" s="38" t="str">
        <f t="shared" si="4"/>
        <v>Loss</v>
      </c>
      <c r="Q76" s="39">
        <f t="shared" si="5"/>
        <v>-14.24</v>
      </c>
      <c r="R76" s="31" t="b">
        <f t="shared" si="6"/>
        <v>0</v>
      </c>
      <c r="S76" s="34">
        <f t="shared" si="12"/>
        <v>1.78</v>
      </c>
      <c r="T76" s="10">
        <f t="shared" si="8"/>
        <v>8</v>
      </c>
      <c r="U76" s="11"/>
      <c r="V76" s="12"/>
      <c r="W76" s="12"/>
      <c r="X76" s="12"/>
      <c r="Y76" s="12"/>
      <c r="Z76" s="12"/>
    </row>
    <row r="77" ht="13.5" hidden="1" customHeight="1">
      <c r="A77" s="19" t="s">
        <v>91</v>
      </c>
      <c r="B77" s="20">
        <v>10.0</v>
      </c>
      <c r="C77" s="21">
        <v>345.79</v>
      </c>
      <c r="D77" s="21">
        <v>50.0</v>
      </c>
      <c r="E77" s="21">
        <v>3.902</v>
      </c>
      <c r="F77" s="22"/>
      <c r="G77" s="23">
        <v>45175.0</v>
      </c>
      <c r="H77" s="24"/>
      <c r="I77" s="25">
        <v>45181.0</v>
      </c>
      <c r="J77" s="26">
        <f t="shared" si="1"/>
        <v>45175</v>
      </c>
      <c r="K77" s="27">
        <f>IFERROR(__xludf.DUMMYFUNCTION("if(isblank(J77),,index(googlefinance(A77,K$2,J77-1),2,2))"),114.64)</f>
        <v>114.64</v>
      </c>
      <c r="L77" s="28">
        <f t="shared" si="2"/>
        <v>45181</v>
      </c>
      <c r="M77" s="29">
        <f>IFERROR(__xludf.DUMMYFUNCTION("if(isblank(L77),, index(googlefinance(A77,M$2,L77-1),2,2))"),115.03)</f>
        <v>115.03</v>
      </c>
      <c r="N77" s="30">
        <f>IFERROR(__xludf.DUMMYFUNCTION("if(isblank(A77),,googlefinance(A77))"),125.79)</f>
        <v>125.79</v>
      </c>
      <c r="O77" s="31" t="str">
        <f t="shared" si="11"/>
        <v>Completed</v>
      </c>
      <c r="P77" s="38" t="str">
        <f t="shared" si="4"/>
        <v>Loss</v>
      </c>
      <c r="Q77" s="39">
        <f t="shared" si="5"/>
        <v>-3.12</v>
      </c>
      <c r="R77" s="31" t="b">
        <f t="shared" si="6"/>
        <v>0</v>
      </c>
      <c r="S77" s="34">
        <f t="shared" si="12"/>
        <v>0.39</v>
      </c>
      <c r="T77" s="10">
        <f t="shared" si="8"/>
        <v>8</v>
      </c>
      <c r="U77" s="11"/>
      <c r="V77" s="12"/>
      <c r="W77" s="12"/>
      <c r="X77" s="12"/>
      <c r="Y77" s="12"/>
      <c r="Z77" s="12"/>
    </row>
    <row r="78" ht="13.5" hidden="1" customHeight="1">
      <c r="A78" s="19" t="s">
        <v>92</v>
      </c>
      <c r="B78" s="20">
        <v>12.0</v>
      </c>
      <c r="C78" s="21">
        <v>179.49</v>
      </c>
      <c r="D78" s="21">
        <v>50.0</v>
      </c>
      <c r="E78" s="21">
        <v>2.651</v>
      </c>
      <c r="F78" s="22"/>
      <c r="G78" s="23">
        <v>45177.0</v>
      </c>
      <c r="H78" s="24"/>
      <c r="I78" s="25">
        <v>45183.0</v>
      </c>
      <c r="J78" s="26">
        <f t="shared" si="1"/>
        <v>45177</v>
      </c>
      <c r="K78" s="27">
        <f>IFERROR(__xludf.DUMMYFUNCTION("if(isblank(J78),,index(googlefinance(A78,K$2,J78-1),2,2))"),410.01)</f>
        <v>410.01</v>
      </c>
      <c r="L78" s="28">
        <f t="shared" si="2"/>
        <v>45183</v>
      </c>
      <c r="M78" s="29">
        <f>IFERROR(__xludf.DUMMYFUNCTION("if(isblank(L78),, index(googlefinance(A78,M$2,L78-1),2,2))"),409.35)</f>
        <v>409.35</v>
      </c>
      <c r="N78" s="30">
        <f>IFERROR(__xludf.DUMMYFUNCTION("if(isblank(A78),,googlefinance(A78))"),435.47)</f>
        <v>435.47</v>
      </c>
      <c r="O78" s="31" t="str">
        <f t="shared" si="11"/>
        <v>Completed</v>
      </c>
      <c r="P78" s="32" t="str">
        <f t="shared" si="4"/>
        <v>Profit</v>
      </c>
      <c r="Q78" s="33">
        <f t="shared" si="5"/>
        <v>1.32</v>
      </c>
      <c r="R78" s="31" t="b">
        <f t="shared" si="6"/>
        <v>1</v>
      </c>
      <c r="S78" s="34">
        <f t="shared" si="12"/>
        <v>-0.66</v>
      </c>
      <c r="T78" s="10">
        <f t="shared" si="8"/>
        <v>2</v>
      </c>
      <c r="U78" s="11"/>
      <c r="V78" s="12"/>
      <c r="W78" s="12"/>
      <c r="X78" s="12"/>
      <c r="Y78" s="12"/>
      <c r="Z78" s="12"/>
    </row>
    <row r="79" ht="13.5" hidden="1" customHeight="1">
      <c r="A79" s="19" t="s">
        <v>93</v>
      </c>
      <c r="B79" s="20">
        <v>9.0</v>
      </c>
      <c r="C79" s="21">
        <v>39.09</v>
      </c>
      <c r="D79" s="21">
        <v>33.333</v>
      </c>
      <c r="E79" s="21">
        <v>1.157</v>
      </c>
      <c r="F79" s="22"/>
      <c r="G79" s="23">
        <v>45181.0</v>
      </c>
      <c r="H79" s="24"/>
      <c r="I79" s="25">
        <v>45194.0</v>
      </c>
      <c r="J79" s="26">
        <f t="shared" si="1"/>
        <v>45181</v>
      </c>
      <c r="K79" s="27">
        <f>IFERROR(__xludf.DUMMYFUNCTION("if(isblank(J79),,index(googlefinance(A79,K$2,J79-1),2,2))"),325.87)</f>
        <v>325.87</v>
      </c>
      <c r="L79" s="28">
        <f t="shared" si="2"/>
        <v>45194</v>
      </c>
      <c r="M79" s="29">
        <f>IFERROR(__xludf.DUMMYFUNCTION("if(isblank(L79),, index(googlefinance(A79,M$2,L79-1),2,2))"),316.99)</f>
        <v>316.99</v>
      </c>
      <c r="N79" s="30">
        <f>IFERROR(__xludf.DUMMYFUNCTION("if(isblank(A79),,googlefinance(A79))"),336.62)</f>
        <v>336.62</v>
      </c>
      <c r="O79" s="31" t="str">
        <f t="shared" si="11"/>
        <v>Completed</v>
      </c>
      <c r="P79" s="32" t="str">
        <f t="shared" si="4"/>
        <v>Profit</v>
      </c>
      <c r="Q79" s="33">
        <f t="shared" si="5"/>
        <v>26.64</v>
      </c>
      <c r="R79" s="31" t="b">
        <f t="shared" si="6"/>
        <v>1</v>
      </c>
      <c r="S79" s="34">
        <f t="shared" si="12"/>
        <v>-8.88</v>
      </c>
      <c r="T79" s="10">
        <f t="shared" si="8"/>
        <v>3</v>
      </c>
      <c r="U79" s="11"/>
      <c r="V79" s="12"/>
      <c r="W79" s="12"/>
      <c r="X79" s="12"/>
      <c r="Y79" s="12"/>
      <c r="Z79" s="12"/>
    </row>
    <row r="80" ht="13.5" hidden="1" customHeight="1">
      <c r="A80" s="19" t="s">
        <v>94</v>
      </c>
      <c r="B80" s="20">
        <v>11.0</v>
      </c>
      <c r="C80" s="21">
        <v>75.55</v>
      </c>
      <c r="D80" s="21">
        <v>36.364</v>
      </c>
      <c r="E80" s="21">
        <v>1.313</v>
      </c>
      <c r="F80" s="22"/>
      <c r="G80" s="23">
        <v>45181.0</v>
      </c>
      <c r="H80" s="24"/>
      <c r="I80" s="25">
        <v>45201.0</v>
      </c>
      <c r="J80" s="26">
        <f t="shared" si="1"/>
        <v>45181</v>
      </c>
      <c r="K80" s="27">
        <f>IFERROR(__xludf.DUMMYFUNCTION("if(isblank(J80),,index(googlefinance(A80,K$2,J80-1),2,2))"),564.5)</f>
        <v>564.5</v>
      </c>
      <c r="L80" s="28">
        <f t="shared" si="2"/>
        <v>45201</v>
      </c>
      <c r="M80" s="29">
        <f>IFERROR(__xludf.DUMMYFUNCTION("if(isblank(L80),, index(googlefinance(A80,M$2,L80-1),2,2))"),521.13)</f>
        <v>521.13</v>
      </c>
      <c r="N80" s="30">
        <f>IFERROR(__xludf.DUMMYFUNCTION("if(isblank(A80),,googlefinance(A80))"),564.6)</f>
        <v>564.6</v>
      </c>
      <c r="O80" s="31" t="str">
        <f t="shared" si="11"/>
        <v>Completed</v>
      </c>
      <c r="P80" s="32" t="str">
        <f t="shared" si="4"/>
        <v>Profit</v>
      </c>
      <c r="Q80" s="33">
        <f t="shared" si="5"/>
        <v>43.37</v>
      </c>
      <c r="R80" s="31" t="b">
        <f t="shared" si="6"/>
        <v>1</v>
      </c>
      <c r="S80" s="34">
        <f t="shared" si="12"/>
        <v>-43.37</v>
      </c>
      <c r="T80" s="10">
        <f t="shared" si="8"/>
        <v>1</v>
      </c>
      <c r="U80" s="11"/>
      <c r="V80" s="12"/>
      <c r="W80" s="12"/>
      <c r="X80" s="12"/>
      <c r="Y80" s="12"/>
      <c r="Z80" s="12"/>
    </row>
    <row r="81" ht="13.5" hidden="1" customHeight="1">
      <c r="A81" s="19" t="s">
        <v>95</v>
      </c>
      <c r="B81" s="20">
        <v>8.0</v>
      </c>
      <c r="C81" s="21">
        <v>375.94</v>
      </c>
      <c r="D81" s="21">
        <v>62.5</v>
      </c>
      <c r="E81" s="21">
        <v>4.489</v>
      </c>
      <c r="F81" s="23">
        <v>45181.0</v>
      </c>
      <c r="G81" s="22"/>
      <c r="H81" s="25">
        <v>45189.0</v>
      </c>
      <c r="I81" s="24"/>
      <c r="J81" s="36">
        <f t="shared" si="1"/>
        <v>45181</v>
      </c>
      <c r="K81" s="27">
        <f>IFERROR(__xludf.DUMMYFUNCTION("if(isblank(J81),,index(googlefinance(A81,K$2,J81-1),2,2))"),147.33)</f>
        <v>147.33</v>
      </c>
      <c r="L81" s="37">
        <f t="shared" si="2"/>
        <v>45189</v>
      </c>
      <c r="M81" s="29">
        <f>IFERROR(__xludf.DUMMYFUNCTION("if(isblank(L81),, index(googlefinance(A81,M$2,L81-1),2,2))"),141.85)</f>
        <v>141.85</v>
      </c>
      <c r="N81" s="30">
        <f>IFERROR(__xludf.DUMMYFUNCTION("if(isblank(A81),,googlefinance(A81))"),135.98)</f>
        <v>135.98</v>
      </c>
      <c r="O81" s="31" t="str">
        <f t="shared" si="11"/>
        <v>Completed</v>
      </c>
      <c r="P81" s="38" t="str">
        <f t="shared" si="4"/>
        <v>Loss</v>
      </c>
      <c r="Q81" s="39">
        <f t="shared" si="5"/>
        <v>-32.88</v>
      </c>
      <c r="R81" s="31" t="b">
        <f t="shared" si="6"/>
        <v>0</v>
      </c>
      <c r="S81" s="34">
        <f t="shared" si="12"/>
        <v>-5.48</v>
      </c>
      <c r="T81" s="10">
        <f t="shared" si="8"/>
        <v>6</v>
      </c>
      <c r="U81" s="11"/>
      <c r="V81" s="12"/>
      <c r="W81" s="12"/>
      <c r="X81" s="12"/>
      <c r="Y81" s="12"/>
      <c r="Z81" s="12"/>
    </row>
    <row r="82" ht="13.5" hidden="1" customHeight="1">
      <c r="A82" s="19" t="s">
        <v>96</v>
      </c>
      <c r="B82" s="20">
        <v>10.0</v>
      </c>
      <c r="C82" s="21">
        <v>150.38</v>
      </c>
      <c r="D82" s="21">
        <v>30.0</v>
      </c>
      <c r="E82" s="21">
        <v>2.201</v>
      </c>
      <c r="F82" s="23">
        <v>45183.0</v>
      </c>
      <c r="G82" s="22"/>
      <c r="H82" s="25">
        <v>45188.0</v>
      </c>
      <c r="I82" s="24"/>
      <c r="J82" s="36">
        <f t="shared" si="1"/>
        <v>45183</v>
      </c>
      <c r="K82" s="27">
        <f>IFERROR(__xludf.DUMMYFUNCTION("if(isblank(J82),,index(googlefinance(A82,K$2,J82-1),2,2))"),212.13)</f>
        <v>212.13</v>
      </c>
      <c r="L82" s="37">
        <f t="shared" si="2"/>
        <v>45188</v>
      </c>
      <c r="M82" s="29">
        <f>IFERROR(__xludf.DUMMYFUNCTION("if(isblank(L82),, index(googlefinance(A82,M$2,L82-1),2,2))"),213.15)</f>
        <v>213.15</v>
      </c>
      <c r="N82" s="30">
        <f>IFERROR(__xludf.DUMMYFUNCTION("if(isblank(A82),,googlefinance(A82))"),239.91)</f>
        <v>239.91</v>
      </c>
      <c r="O82" s="31" t="str">
        <f t="shared" si="11"/>
        <v>Completed</v>
      </c>
      <c r="P82" s="32" t="str">
        <f t="shared" si="4"/>
        <v>Profit</v>
      </c>
      <c r="Q82" s="33">
        <f t="shared" si="5"/>
        <v>4.08</v>
      </c>
      <c r="R82" s="31" t="b">
        <f t="shared" si="6"/>
        <v>1</v>
      </c>
      <c r="S82" s="34">
        <f t="shared" si="12"/>
        <v>1.02</v>
      </c>
      <c r="T82" s="10">
        <f t="shared" si="8"/>
        <v>4</v>
      </c>
      <c r="U82" s="11"/>
      <c r="V82" s="12"/>
      <c r="W82" s="12"/>
      <c r="X82" s="12"/>
      <c r="Y82" s="12"/>
      <c r="Z82" s="12"/>
    </row>
    <row r="83" ht="13.5" hidden="1" customHeight="1">
      <c r="A83" s="19" t="s">
        <v>97</v>
      </c>
      <c r="B83" s="20">
        <v>11.0</v>
      </c>
      <c r="C83" s="21">
        <v>48.77</v>
      </c>
      <c r="D83" s="21">
        <v>45.455</v>
      </c>
      <c r="E83" s="21">
        <v>1.267</v>
      </c>
      <c r="F83" s="23">
        <v>45183.0</v>
      </c>
      <c r="G83" s="22"/>
      <c r="H83" s="25">
        <v>45186.0</v>
      </c>
      <c r="I83" s="24"/>
      <c r="J83" s="36">
        <f t="shared" si="1"/>
        <v>45183</v>
      </c>
      <c r="K83" s="27">
        <f>IFERROR(__xludf.DUMMYFUNCTION("if(isblank(J83),,index(googlefinance(A83,K$2,J83-1),2,2))"),212.33)</f>
        <v>212.33</v>
      </c>
      <c r="L83" s="37">
        <f t="shared" si="2"/>
        <v>45186</v>
      </c>
      <c r="M83" s="29">
        <f>IFERROR(__xludf.DUMMYFUNCTION("if(isblank(L83),, index(googlefinance(A83,M$2,L83-1),2,2))"),215.1)</f>
        <v>215.1</v>
      </c>
      <c r="N83" s="30">
        <f>IFERROR(__xludf.DUMMYFUNCTION("if(isblank(A83),,googlefinance(A83))"),246.59)</f>
        <v>246.59</v>
      </c>
      <c r="O83" s="31" t="str">
        <f t="shared" si="11"/>
        <v>Completed</v>
      </c>
      <c r="P83" s="32" t="str">
        <f t="shared" si="4"/>
        <v>Profit</v>
      </c>
      <c r="Q83" s="33">
        <f t="shared" si="5"/>
        <v>11.08</v>
      </c>
      <c r="R83" s="31" t="b">
        <f t="shared" si="6"/>
        <v>1</v>
      </c>
      <c r="S83" s="34">
        <f t="shared" si="12"/>
        <v>2.77</v>
      </c>
      <c r="T83" s="10">
        <f t="shared" si="8"/>
        <v>4</v>
      </c>
      <c r="U83" s="11"/>
      <c r="V83" s="12"/>
      <c r="W83" s="12"/>
      <c r="X83" s="12"/>
      <c r="Y83" s="12"/>
      <c r="Z83" s="12"/>
    </row>
    <row r="84" ht="13.5" hidden="1" customHeight="1">
      <c r="A84" s="19" t="s">
        <v>98</v>
      </c>
      <c r="B84" s="20">
        <v>10.0</v>
      </c>
      <c r="C84" s="21">
        <v>178.26</v>
      </c>
      <c r="D84" s="21">
        <v>40.0</v>
      </c>
      <c r="E84" s="21">
        <v>1.979</v>
      </c>
      <c r="F84" s="22"/>
      <c r="G84" s="23">
        <v>45184.0</v>
      </c>
      <c r="H84" s="24"/>
      <c r="I84" s="25">
        <v>45198.0</v>
      </c>
      <c r="J84" s="26">
        <f t="shared" si="1"/>
        <v>45184</v>
      </c>
      <c r="K84" s="27">
        <f>IFERROR(__xludf.DUMMYFUNCTION("if(isblank(J84),,index(googlefinance(A84,K$2,J84-1),2,2))"),38.67)</f>
        <v>38.67</v>
      </c>
      <c r="L84" s="28">
        <f t="shared" si="2"/>
        <v>45198</v>
      </c>
      <c r="M84" s="29">
        <f>IFERROR(__xludf.DUMMYFUNCTION("if(isblank(L84),, index(googlefinance(A84,M$2,L84-1),2,2))"),35.18)</f>
        <v>35.18</v>
      </c>
      <c r="N84" s="30">
        <f>IFERROR(__xludf.DUMMYFUNCTION("if(isblank(A84),,googlefinance(A84))"),46.89)</f>
        <v>46.89</v>
      </c>
      <c r="O84" s="31" t="str">
        <f t="shared" si="11"/>
        <v>Completed</v>
      </c>
      <c r="P84" s="32" t="str">
        <f t="shared" si="4"/>
        <v>Profit</v>
      </c>
      <c r="Q84" s="33">
        <f t="shared" si="5"/>
        <v>87.25</v>
      </c>
      <c r="R84" s="31" t="b">
        <f t="shared" si="6"/>
        <v>1</v>
      </c>
      <c r="S84" s="34">
        <f t="shared" si="12"/>
        <v>-3.49</v>
      </c>
      <c r="T84" s="10">
        <f t="shared" si="8"/>
        <v>25</v>
      </c>
      <c r="U84" s="11"/>
      <c r="V84" s="12"/>
      <c r="W84" s="12"/>
      <c r="X84" s="12"/>
      <c r="Y84" s="12"/>
      <c r="Z84" s="12"/>
    </row>
    <row r="85" ht="13.5" hidden="1" customHeight="1">
      <c r="A85" s="19" t="s">
        <v>36</v>
      </c>
      <c r="B85" s="20">
        <v>7.0</v>
      </c>
      <c r="C85" s="21">
        <v>621.3</v>
      </c>
      <c r="D85" s="21">
        <v>42.857</v>
      </c>
      <c r="E85" s="21">
        <v>5.552</v>
      </c>
      <c r="F85" s="22"/>
      <c r="G85" s="23">
        <v>45188.0</v>
      </c>
      <c r="H85" s="24"/>
      <c r="I85" s="25">
        <v>45196.0</v>
      </c>
      <c r="J85" s="26">
        <f t="shared" si="1"/>
        <v>45188</v>
      </c>
      <c r="K85" s="27">
        <f>IFERROR(__xludf.DUMMYFUNCTION("if(isblank(J85),,index(googlefinance(A85,K$2,J85-1),2,2))"),66.32)</f>
        <v>66.32</v>
      </c>
      <c r="L85" s="28">
        <f t="shared" si="2"/>
        <v>45196</v>
      </c>
      <c r="M85" s="29">
        <f>IFERROR(__xludf.DUMMYFUNCTION("if(isblank(L85),, index(googlefinance(A85,M$2,L85-1),2,2))"),63.15)</f>
        <v>63.15</v>
      </c>
      <c r="N85" s="30">
        <f>IFERROR(__xludf.DUMMYFUNCTION("if(isblank(A85),,googlefinance(A85))"),58.94)</f>
        <v>58.94</v>
      </c>
      <c r="O85" s="31" t="str">
        <f t="shared" si="11"/>
        <v>Completed</v>
      </c>
      <c r="P85" s="32" t="str">
        <f t="shared" si="4"/>
        <v>Profit</v>
      </c>
      <c r="Q85" s="33">
        <f t="shared" si="5"/>
        <v>47.55</v>
      </c>
      <c r="R85" s="31" t="b">
        <f t="shared" si="6"/>
        <v>1</v>
      </c>
      <c r="S85" s="34">
        <f t="shared" si="12"/>
        <v>-3.17</v>
      </c>
      <c r="T85" s="10">
        <f t="shared" si="8"/>
        <v>15</v>
      </c>
      <c r="U85" s="11"/>
      <c r="V85" s="12"/>
      <c r="W85" s="12"/>
      <c r="X85" s="12"/>
      <c r="Y85" s="12"/>
      <c r="Z85" s="12"/>
    </row>
    <row r="86" ht="13.5" hidden="1" customHeight="1">
      <c r="A86" s="19" t="s">
        <v>99</v>
      </c>
      <c r="B86" s="20">
        <v>12.0</v>
      </c>
      <c r="C86" s="21">
        <v>108.61</v>
      </c>
      <c r="D86" s="21">
        <v>50.0</v>
      </c>
      <c r="E86" s="21">
        <v>2.915</v>
      </c>
      <c r="F86" s="22"/>
      <c r="G86" s="23">
        <v>45189.0</v>
      </c>
      <c r="H86" s="24"/>
      <c r="I86" s="25">
        <v>45194.0</v>
      </c>
      <c r="J86" s="26">
        <f t="shared" si="1"/>
        <v>45189</v>
      </c>
      <c r="K86" s="27">
        <f>IFERROR(__xludf.DUMMYFUNCTION("if(isblank(J86),,index(googlefinance(A86,K$2,J86-1),2,2))"),39.19)</f>
        <v>39.19</v>
      </c>
      <c r="L86" s="28">
        <f t="shared" si="2"/>
        <v>45194</v>
      </c>
      <c r="M86" s="29">
        <f>IFERROR(__xludf.DUMMYFUNCTION("if(isblank(L86),, index(googlefinance(A86,M$2,L86-1),2,2))"),39.19)</f>
        <v>39.19</v>
      </c>
      <c r="N86" s="30">
        <f>IFERROR(__xludf.DUMMYFUNCTION("if(isblank(A86),,googlefinance(A86))"),51.73)</f>
        <v>51.73</v>
      </c>
      <c r="O86" s="31" t="str">
        <f t="shared" si="11"/>
        <v>Completed</v>
      </c>
      <c r="P86" s="38" t="str">
        <f t="shared" si="4"/>
        <v>Loss</v>
      </c>
      <c r="Q86" s="43">
        <f t="shared" si="5"/>
        <v>0</v>
      </c>
      <c r="R86" s="31" t="b">
        <f t="shared" si="6"/>
        <v>0</v>
      </c>
      <c r="S86" s="34">
        <f t="shared" si="12"/>
        <v>0</v>
      </c>
      <c r="T86" s="10">
        <f t="shared" si="8"/>
        <v>25</v>
      </c>
      <c r="U86" s="11"/>
      <c r="V86" s="12"/>
      <c r="W86" s="12"/>
      <c r="X86" s="12"/>
      <c r="Y86" s="12"/>
      <c r="Z86" s="12"/>
    </row>
    <row r="87" ht="13.5" hidden="1" customHeight="1">
      <c r="A87" s="19" t="s">
        <v>100</v>
      </c>
      <c r="B87" s="20">
        <v>12.0</v>
      </c>
      <c r="C87" s="21">
        <v>356.9</v>
      </c>
      <c r="D87" s="21">
        <v>41.667</v>
      </c>
      <c r="E87" s="21">
        <v>2.496</v>
      </c>
      <c r="F87" s="22"/>
      <c r="G87" s="23">
        <v>45189.0</v>
      </c>
      <c r="H87" s="24"/>
      <c r="I87" s="25">
        <v>45195.0</v>
      </c>
      <c r="J87" s="26">
        <f t="shared" si="1"/>
        <v>45189</v>
      </c>
      <c r="K87" s="27">
        <f>IFERROR(__xludf.DUMMYFUNCTION("if(isblank(J87),,index(googlefinance(A87,K$2,J87-1),2,2))"),60.43)</f>
        <v>60.43</v>
      </c>
      <c r="L87" s="28">
        <f t="shared" si="2"/>
        <v>45195</v>
      </c>
      <c r="M87" s="29">
        <f>IFERROR(__xludf.DUMMYFUNCTION("if(isblank(L87),, index(googlefinance(A87,M$2,L87-1),2,2))"),59.84)</f>
        <v>59.84</v>
      </c>
      <c r="N87" s="30">
        <f>IFERROR(__xludf.DUMMYFUNCTION("if(isblank(A87),,googlefinance(A87))"),51.86)</f>
        <v>51.86</v>
      </c>
      <c r="O87" s="31" t="str">
        <f t="shared" si="11"/>
        <v>Completed</v>
      </c>
      <c r="P87" s="32" t="str">
        <f t="shared" si="4"/>
        <v>Profit</v>
      </c>
      <c r="Q87" s="33">
        <f t="shared" si="5"/>
        <v>9.44</v>
      </c>
      <c r="R87" s="31" t="b">
        <f t="shared" si="6"/>
        <v>1</v>
      </c>
      <c r="S87" s="34">
        <f t="shared" si="12"/>
        <v>-0.59</v>
      </c>
      <c r="T87" s="10">
        <f t="shared" si="8"/>
        <v>16</v>
      </c>
      <c r="U87" s="11"/>
      <c r="V87" s="12"/>
      <c r="W87" s="12"/>
      <c r="X87" s="12"/>
      <c r="Y87" s="12"/>
      <c r="Z87" s="12"/>
    </row>
    <row r="88" ht="13.5" hidden="1" customHeight="1">
      <c r="A88" s="19" t="s">
        <v>101</v>
      </c>
      <c r="B88" s="20">
        <v>12.0</v>
      </c>
      <c r="C88" s="21">
        <v>60.17</v>
      </c>
      <c r="D88" s="21">
        <v>25.0</v>
      </c>
      <c r="E88" s="21">
        <v>1.145</v>
      </c>
      <c r="F88" s="22"/>
      <c r="G88" s="23">
        <v>45190.0</v>
      </c>
      <c r="H88" s="24"/>
      <c r="I88" s="25">
        <v>45197.0</v>
      </c>
      <c r="J88" s="26">
        <f t="shared" si="1"/>
        <v>45190</v>
      </c>
      <c r="K88" s="27">
        <f>IFERROR(__xludf.DUMMYFUNCTION("if(isblank(J88),,index(googlefinance(A88,K$2,J88-1),2,2))"),163.89)</f>
        <v>163.89</v>
      </c>
      <c r="L88" s="28">
        <f t="shared" si="2"/>
        <v>45197</v>
      </c>
      <c r="M88" s="29">
        <f>IFERROR(__xludf.DUMMYFUNCTION("if(isblank(L88),, index(googlefinance(A88,M$2,L88-1),2,2))"),163.04)</f>
        <v>163.04</v>
      </c>
      <c r="N88" s="30">
        <f>IFERROR(__xludf.DUMMYFUNCTION("if(isblank(A88),,googlefinance(A88))"),247.46)</f>
        <v>247.46</v>
      </c>
      <c r="O88" s="31" t="str">
        <f t="shared" si="11"/>
        <v>Completed</v>
      </c>
      <c r="P88" s="32" t="str">
        <f t="shared" si="4"/>
        <v>Profit</v>
      </c>
      <c r="Q88" s="33">
        <f t="shared" si="5"/>
        <v>5.1</v>
      </c>
      <c r="R88" s="31" t="b">
        <f t="shared" si="6"/>
        <v>1</v>
      </c>
      <c r="S88" s="34">
        <f t="shared" si="12"/>
        <v>-0.85</v>
      </c>
      <c r="T88" s="10">
        <f t="shared" si="8"/>
        <v>6</v>
      </c>
      <c r="U88" s="11"/>
      <c r="V88" s="12"/>
      <c r="W88" s="12"/>
      <c r="X88" s="12"/>
      <c r="Y88" s="12"/>
      <c r="Z88" s="12"/>
    </row>
    <row r="89" ht="13.5" hidden="1" customHeight="1">
      <c r="A89" s="19" t="s">
        <v>102</v>
      </c>
      <c r="B89" s="20">
        <v>15.0</v>
      </c>
      <c r="C89" s="21">
        <v>181.91</v>
      </c>
      <c r="D89" s="21">
        <v>26.667</v>
      </c>
      <c r="E89" s="21">
        <v>1.807</v>
      </c>
      <c r="F89" s="22"/>
      <c r="G89" s="23">
        <v>45190.0</v>
      </c>
      <c r="H89" s="24"/>
      <c r="I89" s="25">
        <v>45196.0</v>
      </c>
      <c r="J89" s="26">
        <f t="shared" si="1"/>
        <v>45190</v>
      </c>
      <c r="K89" s="27">
        <f>IFERROR(__xludf.DUMMYFUNCTION("if(isblank(J89),,index(googlefinance(A89,K$2,J89-1),2,2))"),41.29)</f>
        <v>41.29</v>
      </c>
      <c r="L89" s="28">
        <f t="shared" si="2"/>
        <v>45196</v>
      </c>
      <c r="M89" s="29">
        <f>IFERROR(__xludf.DUMMYFUNCTION("if(isblank(L89),, index(googlefinance(A89,M$2,L89-1),2,2))"),40.79)</f>
        <v>40.79</v>
      </c>
      <c r="N89" s="30">
        <f>IFERROR(__xludf.DUMMYFUNCTION("if(isblank(A89),,googlefinance(A89))"),35.97)</f>
        <v>35.97</v>
      </c>
      <c r="O89" s="31" t="str">
        <f t="shared" si="11"/>
        <v>Completed</v>
      </c>
      <c r="P89" s="32" t="str">
        <f t="shared" si="4"/>
        <v>Profit</v>
      </c>
      <c r="Q89" s="33">
        <f t="shared" si="5"/>
        <v>12</v>
      </c>
      <c r="R89" s="31" t="b">
        <f t="shared" si="6"/>
        <v>1</v>
      </c>
      <c r="S89" s="34">
        <f t="shared" si="12"/>
        <v>-0.5</v>
      </c>
      <c r="T89" s="10">
        <f t="shared" si="8"/>
        <v>24</v>
      </c>
      <c r="U89" s="11"/>
      <c r="V89" s="12"/>
      <c r="W89" s="12"/>
      <c r="X89" s="12"/>
      <c r="Y89" s="12"/>
      <c r="Z89" s="12"/>
    </row>
    <row r="90" ht="13.5" hidden="1" customHeight="1">
      <c r="A90" s="19" t="s">
        <v>103</v>
      </c>
      <c r="B90" s="20">
        <v>9.0</v>
      </c>
      <c r="C90" s="21">
        <v>33.68</v>
      </c>
      <c r="D90" s="21">
        <v>55.556</v>
      </c>
      <c r="E90" s="21">
        <v>1.336</v>
      </c>
      <c r="F90" s="22"/>
      <c r="G90" s="23">
        <v>45191.0</v>
      </c>
      <c r="H90" s="24"/>
      <c r="I90" s="25">
        <v>45208.0</v>
      </c>
      <c r="J90" s="26">
        <f t="shared" si="1"/>
        <v>45191</v>
      </c>
      <c r="K90" s="27">
        <f>IFERROR(__xludf.DUMMYFUNCTION("if(isblank(J90),,index(googlefinance(A90,K$2,J90-1),2,2))"),96.97)</f>
        <v>96.97</v>
      </c>
      <c r="L90" s="28">
        <f t="shared" si="2"/>
        <v>45208</v>
      </c>
      <c r="M90" s="29">
        <f>IFERROR(__xludf.DUMMYFUNCTION("if(isblank(L90),, index(googlefinance(A90,M$2,L90-1),2,2))"),93.41)</f>
        <v>93.41</v>
      </c>
      <c r="N90" s="30">
        <f>IFERROR(__xludf.DUMMYFUNCTION("if(isblank(A90),,googlefinance(A90))"),104.31)</f>
        <v>104.31</v>
      </c>
      <c r="O90" s="31" t="str">
        <f t="shared" si="11"/>
        <v>Completed</v>
      </c>
      <c r="P90" s="32" t="str">
        <f t="shared" si="4"/>
        <v>Profit</v>
      </c>
      <c r="Q90" s="33">
        <f t="shared" si="5"/>
        <v>35.6</v>
      </c>
      <c r="R90" s="31" t="b">
        <f t="shared" si="6"/>
        <v>1</v>
      </c>
      <c r="S90" s="34">
        <f t="shared" si="12"/>
        <v>-3.56</v>
      </c>
      <c r="T90" s="10">
        <f t="shared" si="8"/>
        <v>10</v>
      </c>
      <c r="U90" s="11"/>
      <c r="V90" s="12"/>
      <c r="W90" s="12"/>
      <c r="X90" s="12"/>
      <c r="Y90" s="12"/>
      <c r="Z90" s="12"/>
    </row>
    <row r="91" ht="13.5" hidden="1" customHeight="1">
      <c r="A91" s="19" t="s">
        <v>104</v>
      </c>
      <c r="B91" s="20">
        <v>12.0</v>
      </c>
      <c r="C91" s="21">
        <v>7.262</v>
      </c>
      <c r="D91" s="21">
        <v>50.0</v>
      </c>
      <c r="E91" s="21">
        <v>1.049</v>
      </c>
      <c r="F91" s="23">
        <v>45194.0</v>
      </c>
      <c r="G91" s="22"/>
      <c r="H91" s="25">
        <v>45195.0</v>
      </c>
      <c r="I91" s="24"/>
      <c r="J91" s="36">
        <f t="shared" si="1"/>
        <v>45194</v>
      </c>
      <c r="K91" s="27">
        <f>IFERROR(__xludf.DUMMYFUNCTION("if(isblank(J91),,index(googlefinance(A91,K$2,J91-1),2,2))"),176.08)</f>
        <v>176.08</v>
      </c>
      <c r="L91" s="37">
        <f t="shared" si="2"/>
        <v>45195</v>
      </c>
      <c r="M91" s="29">
        <f>IFERROR(__xludf.DUMMYFUNCTION("if(isblank(L91),, index(googlefinance(A91,M$2,L91-1),2,2))"),176.08)</f>
        <v>176.08</v>
      </c>
      <c r="N91" s="30">
        <f>IFERROR(__xludf.DUMMYFUNCTION("if(isblank(A91),,googlefinance(A91))"),181.18)</f>
        <v>181.18</v>
      </c>
      <c r="O91" s="31" t="str">
        <f t="shared" si="11"/>
        <v>Completed</v>
      </c>
      <c r="P91" s="38" t="str">
        <f t="shared" si="4"/>
        <v>Loss</v>
      </c>
      <c r="Q91" s="43">
        <f t="shared" si="5"/>
        <v>0</v>
      </c>
      <c r="R91" s="31" t="b">
        <f t="shared" si="6"/>
        <v>0</v>
      </c>
      <c r="S91" s="34">
        <f t="shared" si="12"/>
        <v>0</v>
      </c>
      <c r="T91" s="10">
        <f t="shared" si="8"/>
        <v>5</v>
      </c>
      <c r="U91" s="11"/>
      <c r="V91" s="12"/>
      <c r="W91" s="12"/>
      <c r="X91" s="12"/>
      <c r="Y91" s="12"/>
      <c r="Z91" s="12"/>
    </row>
    <row r="92" ht="13.5" hidden="1" customHeight="1">
      <c r="A92" s="19" t="s">
        <v>28</v>
      </c>
      <c r="B92" s="20">
        <v>13.0</v>
      </c>
      <c r="C92" s="21">
        <v>85.6</v>
      </c>
      <c r="D92" s="21">
        <v>23.077</v>
      </c>
      <c r="E92" s="21">
        <v>1.471</v>
      </c>
      <c r="F92" s="22"/>
      <c r="G92" s="23">
        <v>45196.0</v>
      </c>
      <c r="H92" s="24"/>
      <c r="I92" s="25">
        <v>45203.0</v>
      </c>
      <c r="J92" s="26">
        <f>if(isblank(G92),,if(counta(G92)=0,#REF!,G92))</f>
        <v>45196</v>
      </c>
      <c r="K92" s="27">
        <f>IFERROR(__xludf.DUMMYFUNCTION("if(isblank(J92),,index(googlefinance(A92,K$2,J92-1),2,2))"),64.43)</f>
        <v>64.43</v>
      </c>
      <c r="L92" s="28">
        <f t="shared" si="2"/>
        <v>45203</v>
      </c>
      <c r="M92" s="29">
        <f>IFERROR(__xludf.DUMMYFUNCTION("if(isblank(L92),, index(googlefinance(A92,M$2,L92-1),2,2))"),62.44)</f>
        <v>62.44</v>
      </c>
      <c r="N92" s="30">
        <f>IFERROR(__xludf.DUMMYFUNCTION("if(isblank(A92),,googlefinance(A92))"),74.36)</f>
        <v>74.36</v>
      </c>
      <c r="O92" s="31" t="str">
        <f t="shared" si="11"/>
        <v>Completed</v>
      </c>
      <c r="P92" s="32" t="str">
        <f t="shared" si="4"/>
        <v>Profit</v>
      </c>
      <c r="Q92" s="33">
        <f t="shared" si="5"/>
        <v>29.85</v>
      </c>
      <c r="R92" s="31" t="b">
        <f t="shared" si="6"/>
        <v>1</v>
      </c>
      <c r="S92" s="34">
        <f t="shared" si="12"/>
        <v>-1.99</v>
      </c>
      <c r="T92" s="10">
        <f t="shared" si="8"/>
        <v>15</v>
      </c>
      <c r="U92" s="11"/>
      <c r="V92" s="12"/>
      <c r="W92" s="12"/>
      <c r="X92" s="12"/>
      <c r="Y92" s="12"/>
      <c r="Z92" s="12"/>
    </row>
    <row r="93" ht="13.5" hidden="1" customHeight="1">
      <c r="A93" s="19" t="s">
        <v>105</v>
      </c>
      <c r="B93" s="20">
        <v>11.0</v>
      </c>
      <c r="C93" s="21">
        <v>162.25</v>
      </c>
      <c r="D93" s="21">
        <v>27.273</v>
      </c>
      <c r="E93" s="21">
        <v>1.655</v>
      </c>
      <c r="F93" s="23">
        <v>45197.0</v>
      </c>
      <c r="G93" s="22"/>
      <c r="H93" s="25">
        <v>45201.0</v>
      </c>
      <c r="I93" s="24"/>
      <c r="J93" s="36">
        <f t="shared" ref="J93:J123" si="13">if(isblank(F93:G93),,if(counta(F93)=0,G93,F93))</f>
        <v>45197</v>
      </c>
      <c r="K93" s="27">
        <f>IFERROR(__xludf.DUMMYFUNCTION("if(isblank(J93),,index(googlefinance(A93,K$2,J93-1),2,2))"),193.88)</f>
        <v>193.88</v>
      </c>
      <c r="L93" s="37">
        <f t="shared" si="2"/>
        <v>45201</v>
      </c>
      <c r="M93" s="29">
        <f>IFERROR(__xludf.DUMMYFUNCTION("if(isblank(L93),, index(googlefinance(A93,M$2,L93-1),2,2))"),193.75)</f>
        <v>193.75</v>
      </c>
      <c r="N93" s="30">
        <f>IFERROR(__xludf.DUMMYFUNCTION("if(isblank(A93),,googlefinance(A93))"),222.42)</f>
        <v>222.42</v>
      </c>
      <c r="O93" s="31" t="str">
        <f t="shared" si="11"/>
        <v>Completed</v>
      </c>
      <c r="P93" s="38" t="str">
        <f t="shared" si="4"/>
        <v>Loss</v>
      </c>
      <c r="Q93" s="39">
        <f t="shared" si="5"/>
        <v>-0.65</v>
      </c>
      <c r="R93" s="31" t="b">
        <f t="shared" si="6"/>
        <v>0</v>
      </c>
      <c r="S93" s="34">
        <f t="shared" si="12"/>
        <v>-0.13</v>
      </c>
      <c r="T93" s="10">
        <f t="shared" si="8"/>
        <v>5</v>
      </c>
      <c r="U93" s="11"/>
      <c r="V93" s="12"/>
      <c r="W93" s="12"/>
      <c r="X93" s="12"/>
      <c r="Y93" s="12"/>
      <c r="Z93" s="12"/>
    </row>
    <row r="94" ht="13.5" hidden="1" customHeight="1">
      <c r="A94" s="19" t="s">
        <v>106</v>
      </c>
      <c r="B94" s="20">
        <v>12.0</v>
      </c>
      <c r="C94" s="21">
        <v>387.62</v>
      </c>
      <c r="D94" s="21">
        <v>41.667</v>
      </c>
      <c r="E94" s="21">
        <v>3.387</v>
      </c>
      <c r="F94" s="23">
        <v>45197.0</v>
      </c>
      <c r="G94" s="22"/>
      <c r="H94" s="25">
        <v>45202.0</v>
      </c>
      <c r="I94" s="24"/>
      <c r="J94" s="36">
        <f t="shared" si="13"/>
        <v>45197</v>
      </c>
      <c r="K94" s="27">
        <f>IFERROR(__xludf.DUMMYFUNCTION("if(isblank(J94),,index(googlefinance(A94,K$2,J94-1),2,2))"),200.47)</f>
        <v>200.47</v>
      </c>
      <c r="L94" s="37">
        <f t="shared" si="2"/>
        <v>45202</v>
      </c>
      <c r="M94" s="29">
        <f>IFERROR(__xludf.DUMMYFUNCTION("if(isblank(L94),, index(googlefinance(A94,M$2,L94-1),2,2))"),202.34)</f>
        <v>202.34</v>
      </c>
      <c r="N94" s="30">
        <f>IFERROR(__xludf.DUMMYFUNCTION("if(isblank(A94),,googlefinance(A94))"),196.91)</f>
        <v>196.91</v>
      </c>
      <c r="O94" s="31" t="str">
        <f t="shared" si="11"/>
        <v>Completed</v>
      </c>
      <c r="P94" s="32" t="str">
        <f t="shared" si="4"/>
        <v>Profit</v>
      </c>
      <c r="Q94" s="33">
        <f t="shared" si="5"/>
        <v>7.48</v>
      </c>
      <c r="R94" s="31" t="b">
        <f t="shared" si="6"/>
        <v>1</v>
      </c>
      <c r="S94" s="34">
        <f t="shared" si="12"/>
        <v>1.87</v>
      </c>
      <c r="T94" s="10">
        <f t="shared" si="8"/>
        <v>4</v>
      </c>
      <c r="U94" s="11"/>
      <c r="V94" s="12"/>
      <c r="W94" s="12"/>
      <c r="X94" s="12"/>
      <c r="Y94" s="12"/>
      <c r="Z94" s="12"/>
    </row>
    <row r="95" ht="13.5" hidden="1" customHeight="1">
      <c r="A95" s="1" t="s">
        <v>107</v>
      </c>
      <c r="B95" s="35">
        <v>10.0</v>
      </c>
      <c r="C95" s="10">
        <v>311.94</v>
      </c>
      <c r="D95" s="10">
        <v>60.0</v>
      </c>
      <c r="E95" s="10">
        <v>5.412</v>
      </c>
      <c r="F95" s="22"/>
      <c r="G95" s="23">
        <v>45198.0</v>
      </c>
      <c r="H95" s="24"/>
      <c r="I95" s="25">
        <v>45210.0</v>
      </c>
      <c r="J95" s="26">
        <f t="shared" si="13"/>
        <v>45198</v>
      </c>
      <c r="K95" s="27">
        <f>IFERROR(__xludf.DUMMYFUNCTION("if(isblank(J95),,index(googlefinance(A95,K$2,J95-1),2,2))"),152.25)</f>
        <v>152.25</v>
      </c>
      <c r="L95" s="28">
        <f t="shared" si="2"/>
        <v>45210</v>
      </c>
      <c r="M95" s="29">
        <f>IFERROR(__xludf.DUMMYFUNCTION("if(isblank(L95),, index(googlefinance(A95,M$2,L95-1),2,2))"),148.89)</f>
        <v>148.89</v>
      </c>
      <c r="N95" s="30">
        <f>IFERROR(__xludf.DUMMYFUNCTION("if(isblank(A95),,googlefinance(A95))"),162.14)</f>
        <v>162.14</v>
      </c>
      <c r="O95" s="31" t="str">
        <f t="shared" si="11"/>
        <v>Completed</v>
      </c>
      <c r="P95" s="32" t="str">
        <f t="shared" si="4"/>
        <v>Profit</v>
      </c>
      <c r="Q95" s="33">
        <f t="shared" si="5"/>
        <v>20.16</v>
      </c>
      <c r="R95" s="31" t="b">
        <f t="shared" si="6"/>
        <v>1</v>
      </c>
      <c r="S95" s="34">
        <f t="shared" si="12"/>
        <v>-3.36</v>
      </c>
      <c r="T95" s="10">
        <f t="shared" si="8"/>
        <v>6</v>
      </c>
      <c r="U95" s="11"/>
      <c r="V95" s="12"/>
      <c r="W95" s="12"/>
      <c r="X95" s="12"/>
      <c r="Y95" s="12"/>
      <c r="Z95" s="12"/>
    </row>
    <row r="96" ht="13.5" hidden="1" customHeight="1">
      <c r="A96" s="1" t="s">
        <v>89</v>
      </c>
      <c r="B96" s="35">
        <v>11.0</v>
      </c>
      <c r="C96" s="10">
        <v>213.94</v>
      </c>
      <c r="D96" s="10">
        <v>36.364</v>
      </c>
      <c r="E96" s="10">
        <v>2.429</v>
      </c>
      <c r="F96" s="22"/>
      <c r="G96" s="23">
        <v>45198.0</v>
      </c>
      <c r="H96" s="24"/>
      <c r="I96" s="25">
        <v>45204.0</v>
      </c>
      <c r="J96" s="26">
        <f t="shared" si="13"/>
        <v>45198</v>
      </c>
      <c r="K96" s="27">
        <f>IFERROR(__xludf.DUMMYFUNCTION("if(isblank(J96),,index(googlefinance(A96,K$2,J96-1),2,2))"),333.32)</f>
        <v>333.32</v>
      </c>
      <c r="L96" s="28">
        <f t="shared" si="2"/>
        <v>45204</v>
      </c>
      <c r="M96" s="29">
        <f>IFERROR(__xludf.DUMMYFUNCTION("if(isblank(L96),, index(googlefinance(A96,M$2,L96-1),2,2))"),328.0)</f>
        <v>328</v>
      </c>
      <c r="N96" s="30">
        <f>IFERROR(__xludf.DUMMYFUNCTION("if(isblank(A96),,googlefinance(A96))"),378.59)</f>
        <v>378.59</v>
      </c>
      <c r="O96" s="31" t="str">
        <f t="shared" si="11"/>
        <v>Completed</v>
      </c>
      <c r="P96" s="32" t="str">
        <f t="shared" si="4"/>
        <v>Profit</v>
      </c>
      <c r="Q96" s="33">
        <f t="shared" si="5"/>
        <v>15.96</v>
      </c>
      <c r="R96" s="31" t="b">
        <f t="shared" si="6"/>
        <v>1</v>
      </c>
      <c r="S96" s="34">
        <f t="shared" si="12"/>
        <v>-5.32</v>
      </c>
      <c r="T96" s="10">
        <f t="shared" si="8"/>
        <v>3</v>
      </c>
      <c r="U96" s="11"/>
      <c r="V96" s="12"/>
      <c r="W96" s="12"/>
      <c r="X96" s="12"/>
      <c r="Y96" s="12"/>
      <c r="Z96" s="12"/>
    </row>
    <row r="97" ht="13.5" hidden="1" customHeight="1">
      <c r="A97" s="1" t="s">
        <v>108</v>
      </c>
      <c r="B97" s="35">
        <v>14.0</v>
      </c>
      <c r="C97" s="10">
        <v>28.44</v>
      </c>
      <c r="D97" s="10">
        <v>35.714</v>
      </c>
      <c r="E97" s="10">
        <v>1.149</v>
      </c>
      <c r="F97" s="23">
        <v>45198.0</v>
      </c>
      <c r="G97" s="22"/>
      <c r="H97" s="25">
        <v>45219.0</v>
      </c>
      <c r="I97" s="24"/>
      <c r="J97" s="36">
        <f t="shared" si="13"/>
        <v>45198</v>
      </c>
      <c r="K97" s="27">
        <f>IFERROR(__xludf.DUMMYFUNCTION("if(isblank(J97),,index(googlefinance(A97,K$2,J97-1),2,2))"),117.12)</f>
        <v>117.12</v>
      </c>
      <c r="L97" s="37">
        <f t="shared" si="2"/>
        <v>45219</v>
      </c>
      <c r="M97" s="29">
        <f>IFERROR(__xludf.DUMMYFUNCTION("if(isblank(L97),, index(googlefinance(A97,M$2,L97-1),2,2))"),118.19)</f>
        <v>118.19</v>
      </c>
      <c r="N97" s="30">
        <f>IFERROR(__xludf.DUMMYFUNCTION("if(isblank(A97),,googlefinance(A97))"),117.98)</f>
        <v>117.98</v>
      </c>
      <c r="O97" s="31" t="str">
        <f t="shared" si="11"/>
        <v>Completed</v>
      </c>
      <c r="P97" s="32" t="str">
        <f t="shared" si="4"/>
        <v>Profit</v>
      </c>
      <c r="Q97" s="33">
        <f t="shared" si="5"/>
        <v>8.56</v>
      </c>
      <c r="R97" s="31" t="b">
        <f t="shared" si="6"/>
        <v>1</v>
      </c>
      <c r="S97" s="34">
        <f t="shared" si="12"/>
        <v>1.07</v>
      </c>
      <c r="T97" s="10">
        <f t="shared" si="8"/>
        <v>8</v>
      </c>
      <c r="U97" s="11"/>
      <c r="V97" s="12"/>
      <c r="W97" s="12"/>
      <c r="X97" s="12"/>
      <c r="Y97" s="12"/>
      <c r="Z97" s="12"/>
    </row>
    <row r="98" ht="13.5" hidden="1" customHeight="1">
      <c r="A98" s="1" t="s">
        <v>109</v>
      </c>
      <c r="B98" s="35">
        <v>12.0</v>
      </c>
      <c r="C98" s="10">
        <v>250.63</v>
      </c>
      <c r="D98" s="10">
        <v>25.0</v>
      </c>
      <c r="E98" s="10">
        <v>2.261</v>
      </c>
      <c r="F98" s="23">
        <v>45198.0</v>
      </c>
      <c r="G98" s="22"/>
      <c r="H98" s="25">
        <v>45203.0</v>
      </c>
      <c r="I98" s="24"/>
      <c r="J98" s="36">
        <f t="shared" si="13"/>
        <v>45198</v>
      </c>
      <c r="K98" s="27">
        <f>IFERROR(__xludf.DUMMYFUNCTION("if(isblank(J98),,index(googlefinance(A98,K$2,J98-1),2,2))"),52.41)</f>
        <v>52.41</v>
      </c>
      <c r="L98" s="37">
        <f t="shared" si="2"/>
        <v>45203</v>
      </c>
      <c r="M98" s="29">
        <f>IFERROR(__xludf.DUMMYFUNCTION("if(isblank(L98),, index(googlefinance(A98,M$2,L98-1),2,2))"),51.75)</f>
        <v>51.75</v>
      </c>
      <c r="N98" s="30">
        <f>IFERROR(__xludf.DUMMYFUNCTION("if(isblank(A98),,googlefinance(A98))"),50.77)</f>
        <v>50.77</v>
      </c>
      <c r="O98" s="31" t="str">
        <f t="shared" si="11"/>
        <v>Completed</v>
      </c>
      <c r="P98" s="38" t="str">
        <f t="shared" si="4"/>
        <v>Loss</v>
      </c>
      <c r="Q98" s="39">
        <f t="shared" si="5"/>
        <v>-12.54</v>
      </c>
      <c r="R98" s="31" t="b">
        <f t="shared" si="6"/>
        <v>0</v>
      </c>
      <c r="S98" s="34">
        <f t="shared" si="12"/>
        <v>-0.66</v>
      </c>
      <c r="T98" s="10">
        <f t="shared" si="8"/>
        <v>19</v>
      </c>
      <c r="U98" s="11"/>
      <c r="V98" s="12"/>
      <c r="W98" s="12"/>
      <c r="X98" s="12"/>
      <c r="Y98" s="12"/>
      <c r="Z98" s="12"/>
    </row>
    <row r="99" ht="13.5" hidden="1" customHeight="1">
      <c r="A99" s="1" t="s">
        <v>110</v>
      </c>
      <c r="B99" s="35">
        <v>9.0</v>
      </c>
      <c r="C99" s="10">
        <v>408.84</v>
      </c>
      <c r="D99" s="10">
        <v>44.444</v>
      </c>
      <c r="E99" s="10">
        <v>4.472</v>
      </c>
      <c r="F99" s="22"/>
      <c r="G99" s="23">
        <v>45202.0</v>
      </c>
      <c r="H99" s="24"/>
      <c r="I99" s="25">
        <v>45208.0</v>
      </c>
      <c r="J99" s="26">
        <f t="shared" si="13"/>
        <v>45202</v>
      </c>
      <c r="K99" s="27">
        <f>IFERROR(__xludf.DUMMYFUNCTION("if(isblank(J99),,index(googlefinance(A99,K$2,J99-1),2,2))"),166.54)</f>
        <v>166.54</v>
      </c>
      <c r="L99" s="28">
        <f t="shared" si="2"/>
        <v>45208</v>
      </c>
      <c r="M99" s="29">
        <f>IFERROR(__xludf.DUMMYFUNCTION("if(isblank(L99),, index(googlefinance(A99,M$2,L99-1),2,2))"),166.72)</f>
        <v>166.72</v>
      </c>
      <c r="N99" s="30">
        <f>IFERROR(__xludf.DUMMYFUNCTION("if(isblank(A99),,googlefinance(A99))"),150.4)</f>
        <v>150.4</v>
      </c>
      <c r="O99" s="31" t="str">
        <f t="shared" si="11"/>
        <v>Completed</v>
      </c>
      <c r="P99" s="38" t="str">
        <f t="shared" si="4"/>
        <v>Loss</v>
      </c>
      <c r="Q99" s="39">
        <f t="shared" si="5"/>
        <v>-1.08</v>
      </c>
      <c r="R99" s="31" t="b">
        <f t="shared" si="6"/>
        <v>0</v>
      </c>
      <c r="S99" s="34">
        <f t="shared" si="12"/>
        <v>0.18</v>
      </c>
      <c r="T99" s="10">
        <f t="shared" si="8"/>
        <v>6</v>
      </c>
      <c r="U99" s="11"/>
      <c r="V99" s="12"/>
      <c r="W99" s="12"/>
      <c r="X99" s="12"/>
      <c r="Y99" s="12"/>
      <c r="Z99" s="12"/>
    </row>
    <row r="100" ht="13.5" hidden="1" customHeight="1">
      <c r="A100" s="1" t="s">
        <v>37</v>
      </c>
      <c r="B100" s="35">
        <v>10.0</v>
      </c>
      <c r="C100" s="10">
        <v>114.54</v>
      </c>
      <c r="D100" s="10">
        <v>40.0</v>
      </c>
      <c r="E100" s="10">
        <v>2.623</v>
      </c>
      <c r="F100" s="23">
        <v>45203.0</v>
      </c>
      <c r="G100" s="22"/>
      <c r="H100" s="25">
        <v>45219.0</v>
      </c>
      <c r="I100" s="24"/>
      <c r="J100" s="36">
        <f t="shared" si="13"/>
        <v>45203</v>
      </c>
      <c r="K100" s="27">
        <f>IFERROR(__xludf.DUMMYFUNCTION("if(isblank(J100),,index(googlefinance(A100,K$2,J100-1),2,2))"),55.53)</f>
        <v>55.53</v>
      </c>
      <c r="L100" s="37">
        <f t="shared" si="2"/>
        <v>45219</v>
      </c>
      <c r="M100" s="29">
        <f>IFERROR(__xludf.DUMMYFUNCTION("if(isblank(L100),, index(googlefinance(A100,M$2,L100-1),2,2))"),59.83)</f>
        <v>59.83</v>
      </c>
      <c r="N100" s="30">
        <f>IFERROR(__xludf.DUMMYFUNCTION("if(isblank(A100),,googlefinance(A100))"),61.73)</f>
        <v>61.73</v>
      </c>
      <c r="O100" s="31" t="str">
        <f t="shared" si="11"/>
        <v>Completed</v>
      </c>
      <c r="P100" s="32" t="str">
        <f t="shared" si="4"/>
        <v>Profit</v>
      </c>
      <c r="Q100" s="33">
        <f t="shared" si="5"/>
        <v>77.4</v>
      </c>
      <c r="R100" s="31" t="b">
        <f t="shared" si="6"/>
        <v>1</v>
      </c>
      <c r="S100" s="34">
        <f t="shared" si="12"/>
        <v>4.3</v>
      </c>
      <c r="T100" s="10">
        <f t="shared" si="8"/>
        <v>18</v>
      </c>
      <c r="U100" s="11"/>
      <c r="V100" s="12"/>
      <c r="W100" s="12"/>
      <c r="X100" s="12"/>
      <c r="Y100" s="12"/>
      <c r="Z100" s="12"/>
    </row>
    <row r="101" ht="13.5" hidden="1" customHeight="1">
      <c r="A101" s="1" t="s">
        <v>111</v>
      </c>
      <c r="B101" s="35">
        <v>13.0</v>
      </c>
      <c r="C101" s="10">
        <v>139.17</v>
      </c>
      <c r="D101" s="10">
        <v>38.462</v>
      </c>
      <c r="E101" s="10">
        <v>1.479</v>
      </c>
      <c r="F101" s="23">
        <v>45208.0</v>
      </c>
      <c r="G101" s="22"/>
      <c r="H101" s="25">
        <v>45212.0</v>
      </c>
      <c r="I101" s="24"/>
      <c r="J101" s="36">
        <f t="shared" si="13"/>
        <v>45208</v>
      </c>
      <c r="K101" s="27">
        <f>IFERROR(__xludf.DUMMYFUNCTION("if(isblank(J101),,index(googlefinance(A101,K$2,J101-1),2,2))"),207.22)</f>
        <v>207.22</v>
      </c>
      <c r="L101" s="37">
        <f t="shared" si="2"/>
        <v>45212</v>
      </c>
      <c r="M101" s="29">
        <f>IFERROR(__xludf.DUMMYFUNCTION("if(isblank(L101),, index(googlefinance(A101,M$2,L101-1),2,2))"),205.68)</f>
        <v>205.68</v>
      </c>
      <c r="N101" s="30">
        <f>IFERROR(__xludf.DUMMYFUNCTION("if(isblank(A101),,googlefinance(A101))"),251.12)</f>
        <v>251.12</v>
      </c>
      <c r="O101" s="31" t="str">
        <f t="shared" si="11"/>
        <v>Completed</v>
      </c>
      <c r="P101" s="38" t="str">
        <f t="shared" si="4"/>
        <v>Loss</v>
      </c>
      <c r="Q101" s="39">
        <f t="shared" si="5"/>
        <v>-6.16</v>
      </c>
      <c r="R101" s="31" t="b">
        <f t="shared" si="6"/>
        <v>0</v>
      </c>
      <c r="S101" s="34">
        <f t="shared" si="12"/>
        <v>-1.54</v>
      </c>
      <c r="T101" s="10">
        <f t="shared" si="8"/>
        <v>4</v>
      </c>
      <c r="U101" s="11"/>
      <c r="V101" s="12"/>
      <c r="W101" s="12"/>
      <c r="X101" s="12"/>
      <c r="Y101" s="12"/>
      <c r="Z101" s="12"/>
    </row>
    <row r="102" ht="13.5" hidden="1" customHeight="1">
      <c r="A102" s="1" t="s">
        <v>35</v>
      </c>
      <c r="B102" s="35">
        <v>10.0</v>
      </c>
      <c r="C102" s="10">
        <v>196.0</v>
      </c>
      <c r="D102" s="10">
        <v>50.0</v>
      </c>
      <c r="E102" s="10">
        <v>6.532</v>
      </c>
      <c r="F102" s="23">
        <v>45208.0</v>
      </c>
      <c r="G102" s="22"/>
      <c r="H102" s="25">
        <v>45219.0</v>
      </c>
      <c r="I102" s="24"/>
      <c r="J102" s="36">
        <f t="shared" si="13"/>
        <v>45208</v>
      </c>
      <c r="K102" s="27">
        <f>IFERROR(__xludf.DUMMYFUNCTION("if(isblank(J102),,index(googlefinance(A102,K$2,J102-1),2,2))"),180.21)</f>
        <v>180.21</v>
      </c>
      <c r="L102" s="37">
        <f t="shared" si="2"/>
        <v>45219</v>
      </c>
      <c r="M102" s="29">
        <f>IFERROR(__xludf.DUMMYFUNCTION("if(isblank(L102),, index(googlefinance(A102,M$2,L102-1),2,2))"),177.9)</f>
        <v>177.9</v>
      </c>
      <c r="N102" s="30">
        <f>IFERROR(__xludf.DUMMYFUNCTION("if(isblank(A102),,googlefinance(A102))"),205.21)</f>
        <v>205.21</v>
      </c>
      <c r="O102" s="31" t="str">
        <f t="shared" si="11"/>
        <v>Completed</v>
      </c>
      <c r="P102" s="38" t="str">
        <f t="shared" si="4"/>
        <v>Loss</v>
      </c>
      <c r="Q102" s="39">
        <f t="shared" si="5"/>
        <v>-11.55</v>
      </c>
      <c r="R102" s="31" t="b">
        <f t="shared" si="6"/>
        <v>0</v>
      </c>
      <c r="S102" s="34">
        <f t="shared" si="12"/>
        <v>-2.31</v>
      </c>
      <c r="T102" s="10">
        <f t="shared" si="8"/>
        <v>5</v>
      </c>
      <c r="U102" s="11"/>
      <c r="V102" s="12"/>
      <c r="W102" s="12"/>
      <c r="X102" s="12"/>
      <c r="Y102" s="12"/>
      <c r="Z102" s="12"/>
    </row>
    <row r="103" ht="13.5" hidden="1" customHeight="1">
      <c r="A103" s="1" t="s">
        <v>82</v>
      </c>
      <c r="B103" s="35">
        <v>12.0</v>
      </c>
      <c r="C103" s="10">
        <v>101.13</v>
      </c>
      <c r="D103" s="10">
        <v>41.667</v>
      </c>
      <c r="E103" s="10">
        <v>1.923</v>
      </c>
      <c r="F103" s="23">
        <v>45208.0</v>
      </c>
      <c r="G103" s="22"/>
      <c r="H103" s="25">
        <v>45218.0</v>
      </c>
      <c r="I103" s="24"/>
      <c r="J103" s="36">
        <f t="shared" si="13"/>
        <v>45208</v>
      </c>
      <c r="K103" s="27">
        <f>IFERROR(__xludf.DUMMYFUNCTION("if(isblank(J103),,index(googlefinance(A103,K$2,J103-1),2,2))"),42.7)</f>
        <v>42.7</v>
      </c>
      <c r="L103" s="37">
        <f t="shared" si="2"/>
        <v>45218</v>
      </c>
      <c r="M103" s="29">
        <f>IFERROR(__xludf.DUMMYFUNCTION("if(isblank(L103),, index(googlefinance(A103,M$2,L103-1),2,2))"),43.12)</f>
        <v>43.12</v>
      </c>
      <c r="N103" s="30">
        <f>IFERROR(__xludf.DUMMYFUNCTION("if(isblank(A103),,googlefinance(A103))"),41.49)</f>
        <v>41.49</v>
      </c>
      <c r="O103" s="31" t="str">
        <f t="shared" si="11"/>
        <v>Completed</v>
      </c>
      <c r="P103" s="32" t="str">
        <f t="shared" si="4"/>
        <v>Profit</v>
      </c>
      <c r="Q103" s="33">
        <f t="shared" si="5"/>
        <v>9.66</v>
      </c>
      <c r="R103" s="31" t="b">
        <f t="shared" si="6"/>
        <v>1</v>
      </c>
      <c r="S103" s="34">
        <f t="shared" si="12"/>
        <v>0.42</v>
      </c>
      <c r="T103" s="10">
        <f t="shared" si="8"/>
        <v>23</v>
      </c>
      <c r="U103" s="11"/>
      <c r="V103" s="12"/>
      <c r="W103" s="12"/>
      <c r="X103" s="12"/>
      <c r="Y103" s="12"/>
      <c r="Z103" s="12"/>
    </row>
    <row r="104" ht="13.5" hidden="1" customHeight="1">
      <c r="A104" s="1" t="s">
        <v>112</v>
      </c>
      <c r="B104" s="35">
        <v>9.0</v>
      </c>
      <c r="C104" s="10">
        <v>169.535</v>
      </c>
      <c r="D104" s="10">
        <v>44.444</v>
      </c>
      <c r="E104" s="10">
        <v>3.177</v>
      </c>
      <c r="F104" s="23">
        <v>45208.0</v>
      </c>
      <c r="G104" s="22"/>
      <c r="H104" s="25">
        <v>45217.0</v>
      </c>
      <c r="I104" s="24"/>
      <c r="J104" s="36">
        <f t="shared" si="13"/>
        <v>45208</v>
      </c>
      <c r="K104" s="27">
        <f>IFERROR(__xludf.DUMMYFUNCTION("if(isblank(J104),,index(googlefinance(A104,K$2,J104-1),2,2))"),104.5)</f>
        <v>104.5</v>
      </c>
      <c r="L104" s="37">
        <f t="shared" si="2"/>
        <v>45217</v>
      </c>
      <c r="M104" s="29">
        <f>IFERROR(__xludf.DUMMYFUNCTION("if(isblank(L104),, index(googlefinance(A104,M$2,L104-1),2,2))"),104.17)</f>
        <v>104.17</v>
      </c>
      <c r="N104" s="30">
        <f>IFERROR(__xludf.DUMMYFUNCTION("if(isblank(A104),,googlefinance(A104))"),117.22)</f>
        <v>117.22</v>
      </c>
      <c r="O104" s="31" t="str">
        <f t="shared" si="11"/>
        <v>Completed</v>
      </c>
      <c r="P104" s="38" t="str">
        <f t="shared" si="4"/>
        <v>Loss</v>
      </c>
      <c r="Q104" s="39">
        <f t="shared" si="5"/>
        <v>-2.97</v>
      </c>
      <c r="R104" s="31" t="b">
        <f t="shared" si="6"/>
        <v>0</v>
      </c>
      <c r="S104" s="34">
        <f t="shared" si="12"/>
        <v>-0.33</v>
      </c>
      <c r="T104" s="10">
        <f t="shared" si="8"/>
        <v>9</v>
      </c>
      <c r="U104" s="11"/>
      <c r="V104" s="12"/>
      <c r="W104" s="12"/>
      <c r="X104" s="12"/>
      <c r="Y104" s="12"/>
      <c r="Z104" s="12"/>
    </row>
    <row r="105" ht="13.5" hidden="1" customHeight="1">
      <c r="A105" s="1" t="s">
        <v>26</v>
      </c>
      <c r="B105" s="35">
        <v>13.0</v>
      </c>
      <c r="C105" s="10">
        <v>132.82</v>
      </c>
      <c r="D105" s="10">
        <v>53.846</v>
      </c>
      <c r="E105" s="10">
        <v>1.966</v>
      </c>
      <c r="F105" s="23">
        <v>45209.0</v>
      </c>
      <c r="G105" s="22"/>
      <c r="H105" s="25">
        <v>45257.0</v>
      </c>
      <c r="I105" s="24"/>
      <c r="J105" s="36">
        <f t="shared" si="13"/>
        <v>45209</v>
      </c>
      <c r="K105" s="27">
        <f>IFERROR(__xludf.DUMMYFUNCTION("if(isblank(J105),,index(googlefinance(A105,K$2,J105-1),2,2))"),27.59)</f>
        <v>27.59</v>
      </c>
      <c r="L105" s="37">
        <f t="shared" si="2"/>
        <v>45257</v>
      </c>
      <c r="M105" s="29">
        <f>IFERROR(__xludf.DUMMYFUNCTION("if(isblank(L105),, index(googlefinance(A105,M$2,L105-1),2,2))"),28.19)</f>
        <v>28.19</v>
      </c>
      <c r="N105" s="30">
        <f>IFERROR(__xludf.DUMMYFUNCTION("if(isblank(A105),,googlefinance(A105))"),28.21)</f>
        <v>28.21</v>
      </c>
      <c r="O105" s="31" t="str">
        <f t="shared" si="11"/>
        <v>Completed</v>
      </c>
      <c r="P105" s="32" t="str">
        <f t="shared" si="4"/>
        <v>Profit</v>
      </c>
      <c r="Q105" s="33">
        <f t="shared" si="5"/>
        <v>21.6</v>
      </c>
      <c r="R105" s="31" t="b">
        <f t="shared" si="6"/>
        <v>1</v>
      </c>
      <c r="S105" s="34">
        <f t="shared" si="12"/>
        <v>0.6</v>
      </c>
      <c r="T105" s="10">
        <f t="shared" si="8"/>
        <v>36</v>
      </c>
      <c r="U105" s="11"/>
      <c r="V105" s="12"/>
      <c r="W105" s="12"/>
      <c r="X105" s="12"/>
      <c r="Y105" s="12"/>
      <c r="Z105" s="12"/>
    </row>
    <row r="106" ht="13.5" hidden="1" customHeight="1">
      <c r="A106" s="1" t="s">
        <v>113</v>
      </c>
      <c r="B106" s="35">
        <v>9.0</v>
      </c>
      <c r="C106" s="10">
        <v>61.58</v>
      </c>
      <c r="D106" s="10">
        <v>44.444</v>
      </c>
      <c r="E106" s="10">
        <v>1.377</v>
      </c>
      <c r="F106" s="23">
        <v>45209.0</v>
      </c>
      <c r="G106" s="22"/>
      <c r="H106" s="25">
        <v>45217.0</v>
      </c>
      <c r="I106" s="24"/>
      <c r="J106" s="36">
        <f t="shared" si="13"/>
        <v>45209</v>
      </c>
      <c r="K106" s="27">
        <f>IFERROR(__xludf.DUMMYFUNCTION("if(isblank(J106),,index(googlefinance(A106,K$2,J106-1),2,2))"),93.18)</f>
        <v>93.18</v>
      </c>
      <c r="L106" s="37">
        <f t="shared" si="2"/>
        <v>45217</v>
      </c>
      <c r="M106" s="29">
        <f>IFERROR(__xludf.DUMMYFUNCTION("if(isblank(L106),, index(googlefinance(A106,M$2,L106-1),2,2))"),93.4)</f>
        <v>93.4</v>
      </c>
      <c r="N106" s="30">
        <f>IFERROR(__xludf.DUMMYFUNCTION("if(isblank(A106),,googlefinance(A106))"),113.77)</f>
        <v>113.77</v>
      </c>
      <c r="O106" s="31" t="str">
        <f t="shared" si="11"/>
        <v>Completed</v>
      </c>
      <c r="P106" s="32" t="str">
        <f t="shared" si="4"/>
        <v>Profit</v>
      </c>
      <c r="Q106" s="33">
        <f t="shared" si="5"/>
        <v>2.2</v>
      </c>
      <c r="R106" s="31" t="b">
        <f t="shared" si="6"/>
        <v>1</v>
      </c>
      <c r="S106" s="34">
        <f t="shared" si="12"/>
        <v>0.22</v>
      </c>
      <c r="T106" s="10">
        <f t="shared" si="8"/>
        <v>10</v>
      </c>
      <c r="U106" s="11"/>
      <c r="V106" s="12"/>
      <c r="W106" s="12"/>
      <c r="X106" s="12"/>
      <c r="Y106" s="12"/>
      <c r="Z106" s="12"/>
    </row>
    <row r="107" ht="13.5" hidden="1" customHeight="1">
      <c r="A107" s="1" t="s">
        <v>114</v>
      </c>
      <c r="B107" s="35">
        <v>9.0</v>
      </c>
      <c r="C107" s="10">
        <v>187.86</v>
      </c>
      <c r="D107" s="10">
        <v>55.556</v>
      </c>
      <c r="E107" s="10">
        <v>3.621</v>
      </c>
      <c r="F107" s="23">
        <v>45209.0</v>
      </c>
      <c r="G107" s="22"/>
      <c r="H107" s="25">
        <v>45218.0</v>
      </c>
      <c r="I107" s="24"/>
      <c r="J107" s="36">
        <f t="shared" si="13"/>
        <v>45209</v>
      </c>
      <c r="K107" s="27">
        <f>IFERROR(__xludf.DUMMYFUNCTION("if(isblank(J107),,index(googlefinance(A107,K$2,J107-1),2,2))"),44.09)</f>
        <v>44.09</v>
      </c>
      <c r="L107" s="37">
        <f t="shared" si="2"/>
        <v>45218</v>
      </c>
      <c r="M107" s="29">
        <f>IFERROR(__xludf.DUMMYFUNCTION("if(isblank(L107),, index(googlefinance(A107,M$2,L107-1),2,2))"),44.02)</f>
        <v>44.02</v>
      </c>
      <c r="N107" s="30">
        <f>IFERROR(__xludf.DUMMYFUNCTION("if(isblank(A107),,googlefinance(A107))"),43.04)</f>
        <v>43.04</v>
      </c>
      <c r="O107" s="31" t="str">
        <f t="shared" si="11"/>
        <v>Completed</v>
      </c>
      <c r="P107" s="38" t="str">
        <f t="shared" si="4"/>
        <v>Loss</v>
      </c>
      <c r="Q107" s="39">
        <f t="shared" si="5"/>
        <v>-1.54</v>
      </c>
      <c r="R107" s="31" t="b">
        <f t="shared" si="6"/>
        <v>0</v>
      </c>
      <c r="S107" s="34">
        <f t="shared" si="12"/>
        <v>-0.07</v>
      </c>
      <c r="T107" s="10">
        <f t="shared" si="8"/>
        <v>22</v>
      </c>
      <c r="U107" s="11"/>
      <c r="V107" s="12"/>
      <c r="W107" s="12"/>
      <c r="X107" s="12"/>
      <c r="Y107" s="12"/>
      <c r="Z107" s="12"/>
    </row>
    <row r="108" ht="13.5" hidden="1" customHeight="1">
      <c r="A108" s="1" t="s">
        <v>115</v>
      </c>
      <c r="B108" s="35">
        <v>13.0</v>
      </c>
      <c r="C108" s="10">
        <v>35.26</v>
      </c>
      <c r="D108" s="10">
        <v>46.154</v>
      </c>
      <c r="E108" s="10">
        <v>1.179</v>
      </c>
      <c r="F108" s="23">
        <v>45209.0</v>
      </c>
      <c r="G108" s="22"/>
      <c r="H108" s="25">
        <v>45217.0</v>
      </c>
      <c r="I108" s="24"/>
      <c r="J108" s="36">
        <f t="shared" si="13"/>
        <v>45209</v>
      </c>
      <c r="K108" s="27">
        <f>IFERROR(__xludf.DUMMYFUNCTION("if(isblank(J108),,index(googlefinance(A108,K$2,J108-1),2,2))"),119.05)</f>
        <v>119.05</v>
      </c>
      <c r="L108" s="37">
        <f t="shared" si="2"/>
        <v>45217</v>
      </c>
      <c r="M108" s="29">
        <f>IFERROR(__xludf.DUMMYFUNCTION("if(isblank(L108),, index(googlefinance(A108,M$2,L108-1),2,2))"),123.29)</f>
        <v>123.29</v>
      </c>
      <c r="N108" s="30">
        <f>IFERROR(__xludf.DUMMYFUNCTION("if(isblank(A108),,googlefinance(A108))"),130.83)</f>
        <v>130.83</v>
      </c>
      <c r="O108" s="31" t="str">
        <f t="shared" si="11"/>
        <v>Completed</v>
      </c>
      <c r="P108" s="32" t="str">
        <f t="shared" si="4"/>
        <v>Profit</v>
      </c>
      <c r="Q108" s="33">
        <f t="shared" si="5"/>
        <v>33.92</v>
      </c>
      <c r="R108" s="31" t="b">
        <f t="shared" si="6"/>
        <v>1</v>
      </c>
      <c r="S108" s="34">
        <f t="shared" si="12"/>
        <v>4.24</v>
      </c>
      <c r="T108" s="10">
        <f t="shared" si="8"/>
        <v>8</v>
      </c>
      <c r="U108" s="11"/>
      <c r="V108" s="12"/>
      <c r="W108" s="12"/>
      <c r="X108" s="12"/>
      <c r="Y108" s="12"/>
      <c r="Z108" s="12"/>
    </row>
    <row r="109" ht="13.5" hidden="1" customHeight="1">
      <c r="A109" s="1" t="s">
        <v>33</v>
      </c>
      <c r="B109" s="35">
        <v>12.0</v>
      </c>
      <c r="C109" s="10">
        <v>138.07</v>
      </c>
      <c r="D109" s="10">
        <v>41.667</v>
      </c>
      <c r="E109" s="10">
        <v>2.606</v>
      </c>
      <c r="F109" s="23">
        <v>45209.0</v>
      </c>
      <c r="G109" s="22"/>
      <c r="H109" s="25">
        <v>45211.0</v>
      </c>
      <c r="I109" s="24"/>
      <c r="J109" s="36">
        <f t="shared" si="13"/>
        <v>45209</v>
      </c>
      <c r="K109" s="27">
        <f>IFERROR(__xludf.DUMMYFUNCTION("if(isblank(J109),,index(googlefinance(A109,K$2,J109-1),2,2))"),57.24)</f>
        <v>57.24</v>
      </c>
      <c r="L109" s="37">
        <f t="shared" si="2"/>
        <v>45211</v>
      </c>
      <c r="M109" s="29">
        <f>IFERROR(__xludf.DUMMYFUNCTION("if(isblank(L109),, index(googlefinance(A109,M$2,L109-1),2,2))"),58.97)</f>
        <v>58.97</v>
      </c>
      <c r="N109" s="30">
        <f>IFERROR(__xludf.DUMMYFUNCTION("if(isblank(A109),,googlefinance(A109))"),62.07)</f>
        <v>62.07</v>
      </c>
      <c r="O109" s="31" t="str">
        <f t="shared" si="11"/>
        <v>Completed</v>
      </c>
      <c r="P109" s="32" t="str">
        <f t="shared" si="4"/>
        <v>Profit</v>
      </c>
      <c r="Q109" s="33">
        <f t="shared" si="5"/>
        <v>29.41</v>
      </c>
      <c r="R109" s="31" t="b">
        <f t="shared" si="6"/>
        <v>1</v>
      </c>
      <c r="S109" s="34">
        <f t="shared" si="12"/>
        <v>1.73</v>
      </c>
      <c r="T109" s="10">
        <f t="shared" si="8"/>
        <v>17</v>
      </c>
      <c r="U109" s="11"/>
      <c r="V109" s="12"/>
      <c r="W109" s="12"/>
      <c r="X109" s="12"/>
      <c r="Y109" s="12"/>
      <c r="Z109" s="12"/>
    </row>
    <row r="110" ht="13.5" hidden="1" customHeight="1">
      <c r="A110" s="1" t="s">
        <v>116</v>
      </c>
      <c r="B110" s="35">
        <v>11.0</v>
      </c>
      <c r="C110" s="10">
        <v>61.46</v>
      </c>
      <c r="D110" s="10">
        <v>18.182</v>
      </c>
      <c r="E110" s="10">
        <v>1.654</v>
      </c>
      <c r="F110" s="23">
        <v>45209.0</v>
      </c>
      <c r="G110" s="22"/>
      <c r="H110" s="25">
        <v>45236.0</v>
      </c>
      <c r="I110" s="24"/>
      <c r="J110" s="36">
        <f t="shared" si="13"/>
        <v>45209</v>
      </c>
      <c r="K110" s="27">
        <f>IFERROR(__xludf.DUMMYFUNCTION("if(isblank(J110),,index(googlefinance(A110,K$2,J110-1),2,2))"),436.53)</f>
        <v>436.53</v>
      </c>
      <c r="L110" s="37">
        <f t="shared" si="2"/>
        <v>45236</v>
      </c>
      <c r="M110" s="29">
        <f>IFERROR(__xludf.DUMMYFUNCTION("if(isblank(L110),, index(googlefinance(A110,M$2,L110-1),2,2))"),451.16)</f>
        <v>451.16</v>
      </c>
      <c r="N110" s="30">
        <f>IFERROR(__xludf.DUMMYFUNCTION("if(isblank(A110),,googlefinance(A110))"),456.5)</f>
        <v>456.5</v>
      </c>
      <c r="O110" s="31" t="str">
        <f t="shared" si="11"/>
        <v>Completed</v>
      </c>
      <c r="P110" s="32" t="str">
        <f t="shared" si="4"/>
        <v>Profit</v>
      </c>
      <c r="Q110" s="33">
        <f t="shared" si="5"/>
        <v>29.26</v>
      </c>
      <c r="R110" s="31" t="b">
        <f t="shared" si="6"/>
        <v>1</v>
      </c>
      <c r="S110" s="34">
        <f t="shared" si="12"/>
        <v>14.63</v>
      </c>
      <c r="T110" s="10">
        <f t="shared" si="8"/>
        <v>2</v>
      </c>
      <c r="U110" s="11"/>
      <c r="V110" s="12"/>
      <c r="W110" s="12"/>
      <c r="X110" s="12"/>
      <c r="Y110" s="12"/>
      <c r="Z110" s="12"/>
    </row>
    <row r="111" ht="13.5" hidden="1" customHeight="1">
      <c r="A111" s="1" t="s">
        <v>117</v>
      </c>
      <c r="B111" s="35">
        <v>13.0</v>
      </c>
      <c r="C111" s="10">
        <v>26.65</v>
      </c>
      <c r="D111" s="10">
        <v>23.077</v>
      </c>
      <c r="E111" s="10">
        <v>1.058</v>
      </c>
      <c r="F111" s="23">
        <v>45209.0</v>
      </c>
      <c r="G111" s="22"/>
      <c r="H111" s="25">
        <v>45219.0</v>
      </c>
      <c r="I111" s="24"/>
      <c r="J111" s="36">
        <f t="shared" si="13"/>
        <v>45209</v>
      </c>
      <c r="K111" s="27">
        <f>IFERROR(__xludf.DUMMYFUNCTION("if(isblank(J111),,index(googlefinance(A111,K$2,J111-1),2,2))"),40.71)</f>
        <v>40.71</v>
      </c>
      <c r="L111" s="37">
        <f t="shared" si="2"/>
        <v>45219</v>
      </c>
      <c r="M111" s="29">
        <f>IFERROR(__xludf.DUMMYFUNCTION("if(isblank(L111),, index(googlefinance(A111,M$2,L111-1),2,2))"),41.83)</f>
        <v>41.83</v>
      </c>
      <c r="N111" s="30">
        <f>IFERROR(__xludf.DUMMYFUNCTION("if(isblank(A111),,googlefinance(A111))"),48.68)</f>
        <v>48.68</v>
      </c>
      <c r="O111" s="31" t="str">
        <f t="shared" si="11"/>
        <v>Completed</v>
      </c>
      <c r="P111" s="32" t="str">
        <f t="shared" si="4"/>
        <v>Profit</v>
      </c>
      <c r="Q111" s="33">
        <f t="shared" si="5"/>
        <v>26.88</v>
      </c>
      <c r="R111" s="31" t="b">
        <f t="shared" si="6"/>
        <v>1</v>
      </c>
      <c r="S111" s="34">
        <f t="shared" si="12"/>
        <v>1.12</v>
      </c>
      <c r="T111" s="10">
        <f t="shared" si="8"/>
        <v>24</v>
      </c>
      <c r="U111" s="11"/>
      <c r="V111" s="12"/>
      <c r="W111" s="12"/>
      <c r="X111" s="12"/>
      <c r="Y111" s="12"/>
      <c r="Z111" s="12"/>
    </row>
    <row r="112" ht="13.5" hidden="1" customHeight="1">
      <c r="A112" s="1" t="s">
        <v>118</v>
      </c>
      <c r="B112" s="35">
        <v>8.0</v>
      </c>
      <c r="C112" s="10">
        <v>113.8</v>
      </c>
      <c r="D112" s="10">
        <v>37.5</v>
      </c>
      <c r="E112" s="10">
        <v>1.809</v>
      </c>
      <c r="F112" s="23">
        <v>45209.0</v>
      </c>
      <c r="G112" s="22"/>
      <c r="H112" s="25">
        <v>45219.0</v>
      </c>
      <c r="I112" s="24"/>
      <c r="J112" s="36">
        <f t="shared" si="13"/>
        <v>45209</v>
      </c>
      <c r="K112" s="27">
        <f>IFERROR(__xludf.DUMMYFUNCTION("if(isblank(J112),,index(googlefinance(A112,K$2,J112-1),2,2))"),39.7)</f>
        <v>39.7</v>
      </c>
      <c r="L112" s="37">
        <f t="shared" si="2"/>
        <v>45219</v>
      </c>
      <c r="M112" s="29">
        <f>IFERROR(__xludf.DUMMYFUNCTION("if(isblank(L112),, index(googlefinance(A112,M$2,L112-1),2,2))"),41.18)</f>
        <v>41.18</v>
      </c>
      <c r="N112" s="30">
        <f>IFERROR(__xludf.DUMMYFUNCTION("if(isblank(A112),,googlefinance(A112))"),49.92)</f>
        <v>49.92</v>
      </c>
      <c r="O112" s="31" t="str">
        <f t="shared" si="11"/>
        <v>Completed</v>
      </c>
      <c r="P112" s="32" t="str">
        <f t="shared" si="4"/>
        <v>Profit</v>
      </c>
      <c r="Q112" s="33">
        <f t="shared" si="5"/>
        <v>37</v>
      </c>
      <c r="R112" s="31" t="b">
        <f t="shared" si="6"/>
        <v>1</v>
      </c>
      <c r="S112" s="34">
        <f t="shared" si="12"/>
        <v>1.48</v>
      </c>
      <c r="T112" s="10">
        <f t="shared" si="8"/>
        <v>25</v>
      </c>
      <c r="U112" s="11"/>
      <c r="V112" s="12"/>
      <c r="W112" s="12"/>
      <c r="X112" s="12"/>
      <c r="Y112" s="12"/>
      <c r="Z112" s="12"/>
    </row>
    <row r="113" ht="13.5" hidden="1" customHeight="1">
      <c r="A113" s="1" t="s">
        <v>53</v>
      </c>
      <c r="B113" s="35">
        <v>8.0</v>
      </c>
      <c r="C113" s="10">
        <v>235.18</v>
      </c>
      <c r="D113" s="10">
        <v>25.0</v>
      </c>
      <c r="E113" s="10">
        <v>2.602</v>
      </c>
      <c r="F113" s="23">
        <v>45210.0</v>
      </c>
      <c r="G113" s="22"/>
      <c r="H113" s="25">
        <v>45222.0</v>
      </c>
      <c r="I113" s="24"/>
      <c r="J113" s="36">
        <f t="shared" si="13"/>
        <v>45210</v>
      </c>
      <c r="K113" s="27">
        <f>IFERROR(__xludf.DUMMYFUNCTION("if(isblank(J113),,index(googlefinance(A113,K$2,J113-1),2,2))"),46.07)</f>
        <v>46.07</v>
      </c>
      <c r="L113" s="37">
        <f t="shared" si="2"/>
        <v>45222</v>
      </c>
      <c r="M113" s="29">
        <f>IFERROR(__xludf.DUMMYFUNCTION("if(isblank(L113),, index(googlefinance(A113,M$2,L113-1),2,2))"),47.71)</f>
        <v>47.71</v>
      </c>
      <c r="N113" s="30">
        <f>IFERROR(__xludf.DUMMYFUNCTION("if(isblank(A113),,googlefinance(A113))"),45.94)</f>
        <v>45.94</v>
      </c>
      <c r="O113" s="31" t="str">
        <f t="shared" si="11"/>
        <v>Completed</v>
      </c>
      <c r="P113" s="32" t="str">
        <f t="shared" si="4"/>
        <v>Profit</v>
      </c>
      <c r="Q113" s="33">
        <f t="shared" si="5"/>
        <v>34.44</v>
      </c>
      <c r="R113" s="31" t="b">
        <f t="shared" si="6"/>
        <v>1</v>
      </c>
      <c r="S113" s="34">
        <f t="shared" si="12"/>
        <v>1.64</v>
      </c>
      <c r="T113" s="10">
        <f t="shared" si="8"/>
        <v>21</v>
      </c>
      <c r="U113" s="11"/>
      <c r="V113" s="12"/>
      <c r="W113" s="12"/>
      <c r="X113" s="12"/>
      <c r="Y113" s="12"/>
      <c r="Z113" s="12"/>
    </row>
    <row r="114" ht="13.5" hidden="1" customHeight="1">
      <c r="A114" s="1" t="s">
        <v>119</v>
      </c>
      <c r="B114" s="35">
        <v>16.0</v>
      </c>
      <c r="C114" s="10">
        <v>257.55</v>
      </c>
      <c r="D114" s="10">
        <v>31.25</v>
      </c>
      <c r="E114" s="10">
        <v>2.667</v>
      </c>
      <c r="F114" s="23">
        <v>45210.0</v>
      </c>
      <c r="G114" s="22"/>
      <c r="H114" s="25">
        <v>45212.0</v>
      </c>
      <c r="I114" s="24"/>
      <c r="J114" s="36">
        <f t="shared" si="13"/>
        <v>45210</v>
      </c>
      <c r="K114" s="27">
        <f>IFERROR(__xludf.DUMMYFUNCTION("if(isblank(J114),,index(googlefinance(A114,K$2,J114-1),2,2))"),121.23)</f>
        <v>121.23</v>
      </c>
      <c r="L114" s="37">
        <f t="shared" si="2"/>
        <v>45212</v>
      </c>
      <c r="M114" s="29">
        <f>IFERROR(__xludf.DUMMYFUNCTION("if(isblank(L114),, index(googlefinance(A114,M$2,L114-1),2,2))"),120.11)</f>
        <v>120.11</v>
      </c>
      <c r="N114" s="30">
        <f>IFERROR(__xludf.DUMMYFUNCTION("if(isblank(A114),,googlefinance(A114))"),158.08)</f>
        <v>158.08</v>
      </c>
      <c r="O114" s="31" t="str">
        <f t="shared" si="11"/>
        <v>Completed</v>
      </c>
      <c r="P114" s="38" t="str">
        <f t="shared" si="4"/>
        <v>Loss</v>
      </c>
      <c r="Q114" s="39">
        <f t="shared" si="5"/>
        <v>-8.96</v>
      </c>
      <c r="R114" s="31" t="b">
        <f t="shared" si="6"/>
        <v>0</v>
      </c>
      <c r="S114" s="34">
        <f t="shared" si="12"/>
        <v>-1.12</v>
      </c>
      <c r="T114" s="10">
        <f t="shared" si="8"/>
        <v>8</v>
      </c>
      <c r="U114" s="11"/>
      <c r="V114" s="12"/>
      <c r="W114" s="12"/>
      <c r="X114" s="12"/>
      <c r="Y114" s="12"/>
      <c r="Z114" s="12"/>
    </row>
    <row r="115" ht="13.5" hidden="1" customHeight="1">
      <c r="A115" s="1" t="s">
        <v>120</v>
      </c>
      <c r="B115" s="35">
        <v>7.0</v>
      </c>
      <c r="C115" s="10">
        <v>189.88</v>
      </c>
      <c r="D115" s="10">
        <v>71.429</v>
      </c>
      <c r="E115" s="10">
        <v>11.888</v>
      </c>
      <c r="F115" s="23">
        <v>45210.0</v>
      </c>
      <c r="G115" s="22"/>
      <c r="H115" s="25">
        <v>45211.0</v>
      </c>
      <c r="I115" s="24"/>
      <c r="J115" s="36">
        <f t="shared" si="13"/>
        <v>45210</v>
      </c>
      <c r="K115" s="27">
        <f>IFERROR(__xludf.DUMMYFUNCTION("if(isblank(J115),,index(googlefinance(A115,K$2,J115-1),2,2))"),63.26)</f>
        <v>63.26</v>
      </c>
      <c r="L115" s="37">
        <f t="shared" si="2"/>
        <v>45211</v>
      </c>
      <c r="M115" s="29">
        <f>IFERROR(__xludf.DUMMYFUNCTION("if(isblank(L115),, index(googlefinance(A115,M$2,L115-1),2,2))"),62.73)</f>
        <v>62.73</v>
      </c>
      <c r="N115" s="30">
        <f>IFERROR(__xludf.DUMMYFUNCTION("if(isblank(A115),,googlefinance(A115))"),64.99)</f>
        <v>64.99</v>
      </c>
      <c r="O115" s="31" t="str">
        <f t="shared" si="11"/>
        <v>Completed</v>
      </c>
      <c r="P115" s="38" t="str">
        <f t="shared" si="4"/>
        <v>Loss</v>
      </c>
      <c r="Q115" s="39">
        <f t="shared" si="5"/>
        <v>-7.95</v>
      </c>
      <c r="R115" s="31" t="b">
        <f t="shared" si="6"/>
        <v>0</v>
      </c>
      <c r="S115" s="34">
        <f t="shared" si="12"/>
        <v>-0.53</v>
      </c>
      <c r="T115" s="10">
        <f t="shared" si="8"/>
        <v>15</v>
      </c>
      <c r="U115" s="11"/>
      <c r="V115" s="12"/>
      <c r="W115" s="12"/>
      <c r="X115" s="12"/>
      <c r="Y115" s="12"/>
      <c r="Z115" s="12"/>
    </row>
    <row r="116" ht="13.5" hidden="1" customHeight="1">
      <c r="A116" s="1" t="s">
        <v>64</v>
      </c>
      <c r="B116" s="35">
        <v>15.0</v>
      </c>
      <c r="C116" s="10">
        <v>109.92</v>
      </c>
      <c r="D116" s="10">
        <v>33.333</v>
      </c>
      <c r="E116" s="10">
        <v>1.404</v>
      </c>
      <c r="F116" s="23">
        <v>45210.0</v>
      </c>
      <c r="G116" s="22"/>
      <c r="H116" s="25">
        <v>45218.0</v>
      </c>
      <c r="I116" s="24"/>
      <c r="J116" s="36">
        <f t="shared" si="13"/>
        <v>45210</v>
      </c>
      <c r="K116" s="27">
        <f>IFERROR(__xludf.DUMMYFUNCTION("if(isblank(J116),,index(googlefinance(A116,K$2,J116-1),2,2))"),106.15)</f>
        <v>106.15</v>
      </c>
      <c r="L116" s="37">
        <f t="shared" si="2"/>
        <v>45218</v>
      </c>
      <c r="M116" s="29">
        <f>IFERROR(__xludf.DUMMYFUNCTION("if(isblank(L116),, index(googlefinance(A116,M$2,L116-1),2,2))"),108.55)</f>
        <v>108.55</v>
      </c>
      <c r="N116" s="30">
        <f>IFERROR(__xludf.DUMMYFUNCTION("if(isblank(A116),,googlefinance(A116))"),140.65)</f>
        <v>140.65</v>
      </c>
      <c r="O116" s="31" t="str">
        <f t="shared" si="11"/>
        <v>Completed</v>
      </c>
      <c r="P116" s="32" t="str">
        <f t="shared" si="4"/>
        <v>Profit</v>
      </c>
      <c r="Q116" s="33">
        <f t="shared" si="5"/>
        <v>21.6</v>
      </c>
      <c r="R116" s="31" t="b">
        <f t="shared" si="6"/>
        <v>1</v>
      </c>
      <c r="S116" s="34">
        <f t="shared" si="12"/>
        <v>2.4</v>
      </c>
      <c r="T116" s="10">
        <f t="shared" si="8"/>
        <v>9</v>
      </c>
      <c r="U116" s="11"/>
      <c r="V116" s="12"/>
      <c r="W116" s="12"/>
      <c r="X116" s="12"/>
      <c r="Y116" s="12"/>
      <c r="Z116" s="12"/>
    </row>
    <row r="117" ht="13.5" hidden="1" customHeight="1">
      <c r="A117" s="1" t="s">
        <v>121</v>
      </c>
      <c r="B117" s="35">
        <v>12.0</v>
      </c>
      <c r="C117" s="10">
        <v>71.7</v>
      </c>
      <c r="D117" s="10">
        <v>33.333</v>
      </c>
      <c r="E117" s="10">
        <v>1.321</v>
      </c>
      <c r="F117" s="23">
        <v>45210.0</v>
      </c>
      <c r="G117" s="22"/>
      <c r="H117" s="25">
        <v>45212.0</v>
      </c>
      <c r="I117" s="24"/>
      <c r="J117" s="36">
        <f t="shared" si="13"/>
        <v>45210</v>
      </c>
      <c r="K117" s="27">
        <f>IFERROR(__xludf.DUMMYFUNCTION("if(isblank(J117),,index(googlefinance(A117,K$2,J117-1),2,2))"),29.84)</f>
        <v>29.84</v>
      </c>
      <c r="L117" s="37">
        <f t="shared" si="2"/>
        <v>45212</v>
      </c>
      <c r="M117" s="29">
        <f>IFERROR(__xludf.DUMMYFUNCTION("if(isblank(L117),, index(googlefinance(A117,M$2,L117-1),2,2))"),29.43)</f>
        <v>29.43</v>
      </c>
      <c r="N117" s="30">
        <f>IFERROR(__xludf.DUMMYFUNCTION("if(isblank(A117),,googlefinance(A117))"),38.82)</f>
        <v>38.82</v>
      </c>
      <c r="O117" s="31" t="str">
        <f t="shared" si="11"/>
        <v>Completed</v>
      </c>
      <c r="P117" s="38" t="str">
        <f t="shared" si="4"/>
        <v>Loss</v>
      </c>
      <c r="Q117" s="39">
        <f t="shared" si="5"/>
        <v>-13.53</v>
      </c>
      <c r="R117" s="31" t="b">
        <f t="shared" si="6"/>
        <v>0</v>
      </c>
      <c r="S117" s="34">
        <f t="shared" si="12"/>
        <v>-0.41</v>
      </c>
      <c r="T117" s="10">
        <f t="shared" si="8"/>
        <v>33</v>
      </c>
      <c r="U117" s="11"/>
      <c r="V117" s="12"/>
      <c r="W117" s="12"/>
      <c r="X117" s="12"/>
      <c r="Y117" s="12"/>
      <c r="Z117" s="12"/>
    </row>
    <row r="118" ht="13.5" hidden="1" customHeight="1">
      <c r="A118" s="1" t="s">
        <v>122</v>
      </c>
      <c r="B118" s="35">
        <v>13.0</v>
      </c>
      <c r="C118" s="10">
        <v>40.85</v>
      </c>
      <c r="D118" s="10">
        <v>30.769</v>
      </c>
      <c r="E118" s="10">
        <v>1.21</v>
      </c>
      <c r="F118" s="23">
        <v>45212.0</v>
      </c>
      <c r="G118" s="22"/>
      <c r="H118" s="25">
        <v>45218.0</v>
      </c>
      <c r="I118" s="24"/>
      <c r="J118" s="36">
        <f t="shared" si="13"/>
        <v>45212</v>
      </c>
      <c r="K118" s="27">
        <f>IFERROR(__xludf.DUMMYFUNCTION("if(isblank(J118),,index(googlefinance(A118,K$2,J118-1),2,2))"),53.0)</f>
        <v>53</v>
      </c>
      <c r="L118" s="37">
        <f t="shared" si="2"/>
        <v>45218</v>
      </c>
      <c r="M118" s="29">
        <f>IFERROR(__xludf.DUMMYFUNCTION("if(isblank(L118),, index(googlefinance(A118,M$2,L118-1),2,2))"),53.24)</f>
        <v>53.24</v>
      </c>
      <c r="N118" s="30">
        <f>IFERROR(__xludf.DUMMYFUNCTION("if(isblank(A118),,googlefinance(A118))"),62.08)</f>
        <v>62.08</v>
      </c>
      <c r="O118" s="31" t="str">
        <f t="shared" si="11"/>
        <v>Completed</v>
      </c>
      <c r="P118" s="32" t="str">
        <f t="shared" si="4"/>
        <v>Profit</v>
      </c>
      <c r="Q118" s="33">
        <f t="shared" si="5"/>
        <v>4.32</v>
      </c>
      <c r="R118" s="31" t="b">
        <f t="shared" si="6"/>
        <v>1</v>
      </c>
      <c r="S118" s="34">
        <f t="shared" si="12"/>
        <v>0.24</v>
      </c>
      <c r="T118" s="10">
        <f t="shared" si="8"/>
        <v>18</v>
      </c>
      <c r="U118" s="11"/>
      <c r="V118" s="12"/>
      <c r="W118" s="12"/>
      <c r="X118" s="12"/>
      <c r="Y118" s="12"/>
      <c r="Z118" s="12"/>
    </row>
    <row r="119" ht="13.5" hidden="1" customHeight="1">
      <c r="A119" s="1" t="s">
        <v>123</v>
      </c>
      <c r="B119" s="35">
        <v>10.0</v>
      </c>
      <c r="C119" s="10">
        <v>96.63</v>
      </c>
      <c r="D119" s="10">
        <v>70.0</v>
      </c>
      <c r="E119" s="10">
        <v>3.33</v>
      </c>
      <c r="F119" s="23">
        <v>45215.0</v>
      </c>
      <c r="G119" s="22"/>
      <c r="H119" s="25">
        <v>45222.0</v>
      </c>
      <c r="I119" s="24"/>
      <c r="J119" s="36">
        <f t="shared" si="13"/>
        <v>45215</v>
      </c>
      <c r="K119" s="27">
        <f>IFERROR(__xludf.DUMMYFUNCTION("if(isblank(J119),,index(googlefinance(A119,K$2,J119-1),2,2))"),40.1)</f>
        <v>40.1</v>
      </c>
      <c r="L119" s="37">
        <f t="shared" si="2"/>
        <v>45222</v>
      </c>
      <c r="M119" s="29">
        <f>IFERROR(__xludf.DUMMYFUNCTION("if(isblank(L119),, index(googlefinance(A119,M$2,L119-1),2,2))"),39.51)</f>
        <v>39.51</v>
      </c>
      <c r="N119" s="30">
        <f>IFERROR(__xludf.DUMMYFUNCTION("if(isblank(A119),,googlefinance(A119))"),43.61)</f>
        <v>43.61</v>
      </c>
      <c r="O119" s="31" t="str">
        <f t="shared" si="11"/>
        <v>Completed</v>
      </c>
      <c r="P119" s="38" t="str">
        <f t="shared" si="4"/>
        <v>Loss</v>
      </c>
      <c r="Q119" s="39">
        <f t="shared" si="5"/>
        <v>-14.16</v>
      </c>
      <c r="R119" s="31" t="b">
        <f t="shared" si="6"/>
        <v>0</v>
      </c>
      <c r="S119" s="34">
        <f t="shared" si="12"/>
        <v>-0.59</v>
      </c>
      <c r="T119" s="10">
        <f t="shared" si="8"/>
        <v>24</v>
      </c>
      <c r="U119" s="11"/>
      <c r="V119" s="12"/>
      <c r="W119" s="12"/>
      <c r="X119" s="12"/>
      <c r="Y119" s="12"/>
      <c r="Z119" s="12"/>
    </row>
    <row r="120" ht="13.5" hidden="1" customHeight="1">
      <c r="A120" s="1" t="s">
        <v>90</v>
      </c>
      <c r="B120" s="35">
        <v>6.0</v>
      </c>
      <c r="C120" s="10">
        <v>40.71</v>
      </c>
      <c r="D120" s="10">
        <v>16.667</v>
      </c>
      <c r="E120" s="10">
        <v>1.369</v>
      </c>
      <c r="F120" s="23">
        <v>45216.0</v>
      </c>
      <c r="G120" s="22"/>
      <c r="H120" s="25">
        <v>45219.0</v>
      </c>
      <c r="I120" s="24"/>
      <c r="J120" s="36">
        <f t="shared" si="13"/>
        <v>45216</v>
      </c>
      <c r="K120" s="27">
        <f>IFERROR(__xludf.DUMMYFUNCTION("if(isblank(J120),,index(googlefinance(A120,K$2,J120-1),2,2))"),103.33)</f>
        <v>103.33</v>
      </c>
      <c r="L120" s="37">
        <f t="shared" si="2"/>
        <v>45219</v>
      </c>
      <c r="M120" s="29">
        <f>IFERROR(__xludf.DUMMYFUNCTION("if(isblank(L120),, index(googlefinance(A120,M$2,L120-1),2,2))"),103.65)</f>
        <v>103.65</v>
      </c>
      <c r="N120" s="30">
        <f>IFERROR(__xludf.DUMMYFUNCTION("if(isblank(A120),,googlefinance(A120))"),98.02)</f>
        <v>98.02</v>
      </c>
      <c r="O120" s="31" t="str">
        <f t="shared" si="11"/>
        <v>Completed</v>
      </c>
      <c r="P120" s="32" t="str">
        <f t="shared" si="4"/>
        <v>Profit</v>
      </c>
      <c r="Q120" s="33">
        <f t="shared" si="5"/>
        <v>2.88</v>
      </c>
      <c r="R120" s="31" t="b">
        <f t="shared" si="6"/>
        <v>1</v>
      </c>
      <c r="S120" s="34">
        <f t="shared" si="12"/>
        <v>0.32</v>
      </c>
      <c r="T120" s="10">
        <f t="shared" si="8"/>
        <v>9</v>
      </c>
      <c r="U120" s="11"/>
      <c r="V120" s="12"/>
      <c r="W120" s="12"/>
      <c r="X120" s="12"/>
      <c r="Y120" s="12"/>
      <c r="Z120" s="12"/>
    </row>
    <row r="121" ht="13.5" hidden="1" customHeight="1">
      <c r="A121" s="1" t="s">
        <v>124</v>
      </c>
      <c r="B121" s="35">
        <v>10.0</v>
      </c>
      <c r="C121" s="10">
        <v>288.17</v>
      </c>
      <c r="D121" s="10">
        <v>70.0</v>
      </c>
      <c r="E121" s="10">
        <v>10.128</v>
      </c>
      <c r="F121" s="23">
        <v>45216.0</v>
      </c>
      <c r="G121" s="22"/>
      <c r="H121" s="25">
        <v>45229.0</v>
      </c>
      <c r="I121" s="24"/>
      <c r="J121" s="36">
        <f t="shared" si="13"/>
        <v>45216</v>
      </c>
      <c r="K121" s="27">
        <f>IFERROR(__xludf.DUMMYFUNCTION("if(isblank(J121),,index(googlefinance(A121,K$2,J121-1),2,2))"),146.07)</f>
        <v>146.07</v>
      </c>
      <c r="L121" s="37">
        <f t="shared" si="2"/>
        <v>45229</v>
      </c>
      <c r="M121" s="29">
        <f>IFERROR(__xludf.DUMMYFUNCTION("if(isblank(L121),, index(googlefinance(A121,M$2,L121-1),2,2))"),149.26)</f>
        <v>149.26</v>
      </c>
      <c r="N121" s="30">
        <f>IFERROR(__xludf.DUMMYFUNCTION("if(isblank(A121),,googlefinance(A121))"),147.42)</f>
        <v>147.42</v>
      </c>
      <c r="O121" s="31" t="str">
        <f t="shared" si="11"/>
        <v>Completed</v>
      </c>
      <c r="P121" s="32" t="str">
        <f t="shared" si="4"/>
        <v>Profit</v>
      </c>
      <c r="Q121" s="33">
        <f t="shared" si="5"/>
        <v>19.14</v>
      </c>
      <c r="R121" s="31" t="b">
        <f t="shared" si="6"/>
        <v>1</v>
      </c>
      <c r="S121" s="34">
        <f t="shared" si="12"/>
        <v>3.19</v>
      </c>
      <c r="T121" s="10">
        <f t="shared" si="8"/>
        <v>6</v>
      </c>
      <c r="U121" s="11"/>
      <c r="V121" s="12"/>
      <c r="W121" s="12"/>
      <c r="X121" s="12"/>
      <c r="Y121" s="12"/>
      <c r="Z121" s="12"/>
    </row>
    <row r="122" ht="13.5" hidden="1" customHeight="1">
      <c r="A122" s="1" t="s">
        <v>125</v>
      </c>
      <c r="B122" s="35">
        <v>13.0</v>
      </c>
      <c r="C122" s="10">
        <v>30.98</v>
      </c>
      <c r="D122" s="10">
        <v>38.462</v>
      </c>
      <c r="E122" s="10">
        <v>1.109</v>
      </c>
      <c r="F122" s="23">
        <v>45216.0</v>
      </c>
      <c r="G122" s="22"/>
      <c r="H122" s="25">
        <v>45222.0</v>
      </c>
      <c r="I122" s="24"/>
      <c r="J122" s="36">
        <f t="shared" si="13"/>
        <v>45216</v>
      </c>
      <c r="K122" s="27">
        <f>IFERROR(__xludf.DUMMYFUNCTION("if(isblank(J122),,index(googlefinance(A122,K$2,J122-1),2,2))"),129.2)</f>
        <v>129.2</v>
      </c>
      <c r="L122" s="37">
        <f t="shared" si="2"/>
        <v>45222</v>
      </c>
      <c r="M122" s="29">
        <f>IFERROR(__xludf.DUMMYFUNCTION("if(isblank(L122),, index(googlefinance(A122,M$2,L122-1),2,2))"),130.73)</f>
        <v>130.73</v>
      </c>
      <c r="N122" s="30">
        <f>IFERROR(__xludf.DUMMYFUNCTION("if(isblank(A122),,googlefinance(A122))"),129.0)</f>
        <v>129</v>
      </c>
      <c r="O122" s="31" t="str">
        <f t="shared" si="11"/>
        <v>Completed</v>
      </c>
      <c r="P122" s="32" t="str">
        <f t="shared" si="4"/>
        <v>Profit</v>
      </c>
      <c r="Q122" s="33">
        <f t="shared" si="5"/>
        <v>10.71</v>
      </c>
      <c r="R122" s="31" t="b">
        <f t="shared" si="6"/>
        <v>1</v>
      </c>
      <c r="S122" s="34">
        <f t="shared" si="12"/>
        <v>1.53</v>
      </c>
      <c r="T122" s="10">
        <f t="shared" si="8"/>
        <v>7</v>
      </c>
      <c r="U122" s="11"/>
      <c r="V122" s="12"/>
      <c r="W122" s="12"/>
      <c r="X122" s="12"/>
      <c r="Y122" s="12"/>
      <c r="Z122" s="12"/>
    </row>
    <row r="123" ht="13.5" hidden="1" customHeight="1">
      <c r="A123" s="1" t="s">
        <v>81</v>
      </c>
      <c r="B123" s="35">
        <v>9.0</v>
      </c>
      <c r="C123" s="10">
        <v>38.93</v>
      </c>
      <c r="D123" s="10">
        <v>33.333</v>
      </c>
      <c r="E123" s="10">
        <v>1.445</v>
      </c>
      <c r="F123" s="23">
        <v>45216.0</v>
      </c>
      <c r="G123" s="22"/>
      <c r="H123" s="25">
        <v>45228.0</v>
      </c>
      <c r="I123" s="24"/>
      <c r="J123" s="36">
        <f t="shared" si="13"/>
        <v>45216</v>
      </c>
      <c r="K123" s="27">
        <f>IFERROR(__xludf.DUMMYFUNCTION("if(isblank(J123),,index(googlefinance(A123,K$2,J123-1),2,2))"),88.94)</f>
        <v>88.94</v>
      </c>
      <c r="L123" s="37">
        <f t="shared" si="2"/>
        <v>45228</v>
      </c>
      <c r="M123" s="29">
        <f>IFERROR(__xludf.DUMMYFUNCTION("if(isblank(L123),, index(googlefinance(A123,M$2,L123-1),2,2))"),90.76)</f>
        <v>90.76</v>
      </c>
      <c r="N123" s="30">
        <f>IFERROR(__xludf.DUMMYFUNCTION("if(isblank(A123),,googlefinance(A123))"),93.87)</f>
        <v>93.87</v>
      </c>
      <c r="O123" s="31" t="str">
        <f t="shared" si="11"/>
        <v>Completed</v>
      </c>
      <c r="P123" s="32" t="str">
        <f t="shared" si="4"/>
        <v>Profit</v>
      </c>
      <c r="Q123" s="33">
        <f t="shared" si="5"/>
        <v>20.02</v>
      </c>
      <c r="R123" s="31" t="b">
        <f t="shared" si="6"/>
        <v>1</v>
      </c>
      <c r="S123" s="34">
        <f t="shared" si="12"/>
        <v>1.82</v>
      </c>
      <c r="T123" s="10">
        <f t="shared" si="8"/>
        <v>11</v>
      </c>
      <c r="U123" s="11"/>
      <c r="V123" s="12"/>
      <c r="W123" s="12"/>
      <c r="X123" s="12"/>
      <c r="Y123" s="12"/>
      <c r="Z123" s="12"/>
    </row>
    <row r="124" ht="13.5" hidden="1" customHeight="1">
      <c r="A124" s="1" t="s">
        <v>126</v>
      </c>
      <c r="B124" s="35">
        <v>8.0</v>
      </c>
      <c r="C124" s="10">
        <v>263.024</v>
      </c>
      <c r="D124" s="10">
        <v>75.0</v>
      </c>
      <c r="E124" s="10">
        <v>6.32</v>
      </c>
      <c r="F124" s="44"/>
      <c r="G124" s="23">
        <v>45217.0</v>
      </c>
      <c r="H124" s="24"/>
      <c r="I124" s="25">
        <v>45223.0</v>
      </c>
      <c r="J124" s="26">
        <f>if(isblank(G124:H124),,if(counta(G124)=0,H124,G124))</f>
        <v>45217</v>
      </c>
      <c r="K124" s="27">
        <f>IFERROR(__xludf.DUMMYFUNCTION("if(isblank(J124),,index(googlefinance(A124,K$2,J124-1),2,2))"),139.72)</f>
        <v>139.72</v>
      </c>
      <c r="L124" s="28">
        <f t="shared" si="2"/>
        <v>45223</v>
      </c>
      <c r="M124" s="29">
        <f>IFERROR(__xludf.DUMMYFUNCTION("if(isblank(L124),, index(googlefinance(A124,M$2,L124-1),2,2))"),136.5)</f>
        <v>136.5</v>
      </c>
      <c r="N124" s="30">
        <f>IFERROR(__xludf.DUMMYFUNCTION("if(isblank(A124),,googlefinance(A124))"),135.73)</f>
        <v>135.73</v>
      </c>
      <c r="O124" s="31" t="str">
        <f t="shared" si="11"/>
        <v>Completed</v>
      </c>
      <c r="P124" s="32" t="str">
        <f t="shared" si="4"/>
        <v>Profit</v>
      </c>
      <c r="Q124" s="33">
        <f t="shared" si="5"/>
        <v>22.54</v>
      </c>
      <c r="R124" s="31" t="b">
        <f t="shared" si="6"/>
        <v>1</v>
      </c>
      <c r="S124" s="34">
        <f t="shared" si="12"/>
        <v>-3.22</v>
      </c>
      <c r="T124" s="10">
        <f t="shared" si="8"/>
        <v>7</v>
      </c>
      <c r="U124" s="11"/>
      <c r="V124" s="12"/>
      <c r="W124" s="12"/>
      <c r="X124" s="12"/>
      <c r="Y124" s="12"/>
      <c r="Z124" s="12"/>
    </row>
    <row r="125" ht="13.5" hidden="1" customHeight="1">
      <c r="A125" s="1" t="s">
        <v>127</v>
      </c>
      <c r="B125" s="35">
        <v>8.0</v>
      </c>
      <c r="C125" s="10">
        <v>69.59</v>
      </c>
      <c r="D125" s="10">
        <v>37.5</v>
      </c>
      <c r="E125" s="10">
        <v>2.186</v>
      </c>
      <c r="F125" s="23">
        <v>45218.0</v>
      </c>
      <c r="G125" s="22"/>
      <c r="H125" s="25">
        <v>45225.0</v>
      </c>
      <c r="I125" s="24"/>
      <c r="J125" s="36">
        <f t="shared" ref="J125:J242" si="14">if(isblank(F125:G125),,if(counta(F125)=0,G125,F125))</f>
        <v>45218</v>
      </c>
      <c r="K125" s="27">
        <f>IFERROR(__xludf.DUMMYFUNCTION("if(isblank(J125),,index(googlefinance(A125,K$2,J125-1),2,2))"),215.99)</f>
        <v>215.99</v>
      </c>
      <c r="L125" s="37">
        <f t="shared" si="2"/>
        <v>45225</v>
      </c>
      <c r="M125" s="29">
        <f>IFERROR(__xludf.DUMMYFUNCTION("if(isblank(L125),, index(googlefinance(A125,M$2,L125-1),2,2))"),214.08)</f>
        <v>214.08</v>
      </c>
      <c r="N125" s="30">
        <f>IFERROR(__xludf.DUMMYFUNCTION("if(isblank(A125),,googlefinance(A125))"),199.19)</f>
        <v>199.19</v>
      </c>
      <c r="O125" s="31" t="str">
        <f t="shared" si="11"/>
        <v>Completed</v>
      </c>
      <c r="P125" s="38" t="str">
        <f t="shared" si="4"/>
        <v>Loss</v>
      </c>
      <c r="Q125" s="39">
        <f t="shared" si="5"/>
        <v>-7.64</v>
      </c>
      <c r="R125" s="31" t="b">
        <f t="shared" si="6"/>
        <v>0</v>
      </c>
      <c r="S125" s="34">
        <f t="shared" si="12"/>
        <v>-1.91</v>
      </c>
      <c r="T125" s="10">
        <f t="shared" si="8"/>
        <v>4</v>
      </c>
      <c r="U125" s="11"/>
      <c r="V125" s="12"/>
      <c r="W125" s="12"/>
      <c r="X125" s="12"/>
      <c r="Y125" s="12"/>
      <c r="Z125" s="12"/>
    </row>
    <row r="126" ht="13.5" hidden="1" customHeight="1">
      <c r="A126" s="1" t="s">
        <v>49</v>
      </c>
      <c r="B126" s="35">
        <v>13.0</v>
      </c>
      <c r="C126" s="10">
        <v>60.04</v>
      </c>
      <c r="D126" s="10">
        <v>23.077</v>
      </c>
      <c r="E126" s="10">
        <v>1.247</v>
      </c>
      <c r="F126" s="23">
        <v>45204.0</v>
      </c>
      <c r="G126" s="22"/>
      <c r="H126" s="25">
        <v>45218.0</v>
      </c>
      <c r="I126" s="24"/>
      <c r="J126" s="36">
        <f t="shared" si="14"/>
        <v>45204</v>
      </c>
      <c r="K126" s="27">
        <f>IFERROR(__xludf.DUMMYFUNCTION("if(isblank(J126),,index(googlefinance(A126,K$2,J126-1),2,2))"),79.32)</f>
        <v>79.32</v>
      </c>
      <c r="L126" s="37">
        <f t="shared" si="2"/>
        <v>45218</v>
      </c>
      <c r="M126" s="29">
        <f>IFERROR(__xludf.DUMMYFUNCTION("if(isblank(L126),, index(googlefinance(A126,M$2,L126-1),2,2))"),84.68)</f>
        <v>84.68</v>
      </c>
      <c r="N126" s="30">
        <f>IFERROR(__xludf.DUMMYFUNCTION("if(isblank(A126),,googlefinance(A126))"),90.9)</f>
        <v>90.9</v>
      </c>
      <c r="O126" s="31" t="str">
        <f t="shared" si="11"/>
        <v>Completed</v>
      </c>
      <c r="P126" s="32" t="str">
        <f t="shared" si="4"/>
        <v>Profit</v>
      </c>
      <c r="Q126" s="33">
        <f t="shared" si="5"/>
        <v>64.32</v>
      </c>
      <c r="R126" s="31" t="b">
        <f t="shared" si="6"/>
        <v>1</v>
      </c>
      <c r="S126" s="34">
        <f t="shared" si="12"/>
        <v>5.36</v>
      </c>
      <c r="T126" s="10">
        <f t="shared" si="8"/>
        <v>12</v>
      </c>
      <c r="U126" s="11"/>
      <c r="V126" s="12"/>
      <c r="W126" s="12"/>
      <c r="X126" s="12"/>
      <c r="Y126" s="12"/>
      <c r="Z126" s="12"/>
    </row>
    <row r="127" ht="13.5" hidden="1" customHeight="1">
      <c r="A127" s="1" t="s">
        <v>128</v>
      </c>
      <c r="B127" s="35">
        <v>11.0</v>
      </c>
      <c r="C127" s="10">
        <v>141.29</v>
      </c>
      <c r="D127" s="10">
        <v>27.273</v>
      </c>
      <c r="E127" s="10">
        <v>1.649</v>
      </c>
      <c r="F127" s="22"/>
      <c r="G127" s="23">
        <v>45218.0</v>
      </c>
      <c r="H127" s="24"/>
      <c r="I127" s="25">
        <v>45230.0</v>
      </c>
      <c r="J127" s="26">
        <f t="shared" si="14"/>
        <v>45218</v>
      </c>
      <c r="K127" s="27">
        <f>IFERROR(__xludf.DUMMYFUNCTION("if(isblank(J127),,index(googlefinance(A127,K$2,J127-1),2,2))"),485.73)</f>
        <v>485.73</v>
      </c>
      <c r="L127" s="28">
        <f t="shared" si="2"/>
        <v>45230</v>
      </c>
      <c r="M127" s="29">
        <f>IFERROR(__xludf.DUMMYFUNCTION("if(isblank(L127),, index(googlefinance(A127,M$2,L127-1),2,2))"),460.94)</f>
        <v>460.94</v>
      </c>
      <c r="N127" s="30">
        <f>IFERROR(__xludf.DUMMYFUNCTION("if(isblank(A127),,googlefinance(A127))"),484.81)</f>
        <v>484.81</v>
      </c>
      <c r="O127" s="31" t="str">
        <f t="shared" si="11"/>
        <v>Completed</v>
      </c>
      <c r="P127" s="32" t="str">
        <f t="shared" si="4"/>
        <v>Profit</v>
      </c>
      <c r="Q127" s="33">
        <f t="shared" si="5"/>
        <v>49.58</v>
      </c>
      <c r="R127" s="31" t="b">
        <f t="shared" si="6"/>
        <v>1</v>
      </c>
      <c r="S127" s="34">
        <f t="shared" si="12"/>
        <v>-24.79</v>
      </c>
      <c r="T127" s="10">
        <f t="shared" si="8"/>
        <v>2</v>
      </c>
      <c r="U127" s="11"/>
      <c r="V127" s="12"/>
      <c r="W127" s="12"/>
      <c r="X127" s="12"/>
      <c r="Y127" s="12"/>
      <c r="Z127" s="12"/>
    </row>
    <row r="128" ht="13.5" hidden="1" customHeight="1">
      <c r="A128" s="1" t="s">
        <v>129</v>
      </c>
      <c r="B128" s="35">
        <v>10.0</v>
      </c>
      <c r="C128" s="10">
        <v>262.76</v>
      </c>
      <c r="D128" s="10">
        <v>60.0</v>
      </c>
      <c r="E128" s="10">
        <v>5.689</v>
      </c>
      <c r="F128" s="22"/>
      <c r="G128" s="23">
        <v>45219.0</v>
      </c>
      <c r="H128" s="24"/>
      <c r="I128" s="25">
        <v>45224.0</v>
      </c>
      <c r="J128" s="26">
        <f t="shared" si="14"/>
        <v>45219</v>
      </c>
      <c r="K128" s="27">
        <f>IFERROR(__xludf.DUMMYFUNCTION("if(isblank(J128),,index(googlefinance(A128,K$2,J128-1),2,2))"),149.07)</f>
        <v>149.07</v>
      </c>
      <c r="L128" s="28">
        <f t="shared" si="2"/>
        <v>45224</v>
      </c>
      <c r="M128" s="29">
        <f>IFERROR(__xludf.DUMMYFUNCTION("if(isblank(L128),, index(googlefinance(A128,M$2,L128-1),2,2))"),146.85)</f>
        <v>146.85</v>
      </c>
      <c r="N128" s="30">
        <f>IFERROR(__xludf.DUMMYFUNCTION("if(isblank(A128),,googlefinance(A128))"),168.08)</f>
        <v>168.08</v>
      </c>
      <c r="O128" s="31" t="str">
        <f t="shared" si="11"/>
        <v>Completed</v>
      </c>
      <c r="P128" s="32" t="str">
        <f t="shared" si="4"/>
        <v>Profit</v>
      </c>
      <c r="Q128" s="33">
        <f t="shared" si="5"/>
        <v>13.32</v>
      </c>
      <c r="R128" s="31" t="b">
        <f t="shared" si="6"/>
        <v>1</v>
      </c>
      <c r="S128" s="34">
        <f t="shared" si="12"/>
        <v>-2.22</v>
      </c>
      <c r="T128" s="10">
        <f t="shared" si="8"/>
        <v>6</v>
      </c>
      <c r="U128" s="11"/>
      <c r="V128" s="12"/>
      <c r="W128" s="12"/>
      <c r="X128" s="12"/>
      <c r="Y128" s="12"/>
      <c r="Z128" s="12"/>
    </row>
    <row r="129" ht="13.5" hidden="1" customHeight="1">
      <c r="A129" s="1" t="s">
        <v>130</v>
      </c>
      <c r="B129" s="35">
        <v>13.0</v>
      </c>
      <c r="C129" s="10">
        <v>42.37</v>
      </c>
      <c r="D129" s="10">
        <v>30.769</v>
      </c>
      <c r="E129" s="10">
        <v>1.254</v>
      </c>
      <c r="F129" s="22"/>
      <c r="G129" s="23">
        <v>45219.0</v>
      </c>
      <c r="H129" s="24"/>
      <c r="I129" s="25">
        <v>45229.0</v>
      </c>
      <c r="J129" s="26">
        <f t="shared" si="14"/>
        <v>45219</v>
      </c>
      <c r="K129" s="27">
        <f>IFERROR(__xludf.DUMMYFUNCTION("if(isblank(J129),,index(googlefinance(A129,K$2,J129-1),2,2))"),565.63)</f>
        <v>565.63</v>
      </c>
      <c r="L129" s="28">
        <f t="shared" si="2"/>
        <v>45229</v>
      </c>
      <c r="M129" s="29">
        <f>IFERROR(__xludf.DUMMYFUNCTION("if(isblank(L129),, index(googlefinance(A129,M$2,L129-1),2,2))"),554.88)</f>
        <v>554.88</v>
      </c>
      <c r="N129" s="30">
        <f>IFERROR(__xludf.DUMMYFUNCTION("if(isblank(A129),,googlefinance(A129))"),656.01)</f>
        <v>656.01</v>
      </c>
      <c r="O129" s="31" t="str">
        <f t="shared" si="11"/>
        <v>Completed</v>
      </c>
      <c r="P129" s="32" t="str">
        <f t="shared" si="4"/>
        <v>Profit</v>
      </c>
      <c r="Q129" s="33">
        <f t="shared" si="5"/>
        <v>10.75</v>
      </c>
      <c r="R129" s="31" t="b">
        <f t="shared" si="6"/>
        <v>1</v>
      </c>
      <c r="S129" s="34">
        <f t="shared" si="12"/>
        <v>-10.75</v>
      </c>
      <c r="T129" s="10">
        <f t="shared" si="8"/>
        <v>1</v>
      </c>
      <c r="U129" s="11"/>
      <c r="V129" s="12"/>
      <c r="W129" s="12"/>
      <c r="X129" s="12"/>
      <c r="Y129" s="12"/>
      <c r="Z129" s="12"/>
    </row>
    <row r="130" ht="13.5" hidden="1" customHeight="1">
      <c r="A130" s="1" t="s">
        <v>25</v>
      </c>
      <c r="B130" s="35">
        <v>16.0</v>
      </c>
      <c r="C130" s="10">
        <v>224.518</v>
      </c>
      <c r="D130" s="10">
        <v>31.25</v>
      </c>
      <c r="E130" s="10">
        <v>1.632</v>
      </c>
      <c r="F130" s="23">
        <v>45219.0</v>
      </c>
      <c r="G130" s="22"/>
      <c r="H130" s="25">
        <v>45225.0</v>
      </c>
      <c r="I130" s="24"/>
      <c r="J130" s="36">
        <f t="shared" si="14"/>
        <v>45219</v>
      </c>
      <c r="K130" s="27">
        <f>IFERROR(__xludf.DUMMYFUNCTION("if(isblank(J130),,index(googlefinance(A130,K$2,J130-1),2,2))"),86.04)</f>
        <v>86.04</v>
      </c>
      <c r="L130" s="37">
        <f t="shared" si="2"/>
        <v>45225</v>
      </c>
      <c r="M130" s="29">
        <f>IFERROR(__xludf.DUMMYFUNCTION("if(isblank(L130),, index(googlefinance(A130,M$2,L130-1),2,2))"),84.35)</f>
        <v>84.35</v>
      </c>
      <c r="N130" s="30">
        <f>IFERROR(__xludf.DUMMYFUNCTION("if(isblank(A130),,googlefinance(A130))"),123.98)</f>
        <v>123.98</v>
      </c>
      <c r="O130" s="31" t="str">
        <f t="shared" si="11"/>
        <v>Completed</v>
      </c>
      <c r="P130" s="38" t="str">
        <f t="shared" si="4"/>
        <v>Loss</v>
      </c>
      <c r="Q130" s="39">
        <f t="shared" si="5"/>
        <v>-18.59</v>
      </c>
      <c r="R130" s="31" t="b">
        <f t="shared" si="6"/>
        <v>0</v>
      </c>
      <c r="S130" s="34">
        <f t="shared" si="12"/>
        <v>-1.69</v>
      </c>
      <c r="T130" s="10">
        <f t="shared" si="8"/>
        <v>11</v>
      </c>
      <c r="U130" s="11"/>
      <c r="V130" s="12"/>
      <c r="W130" s="12"/>
      <c r="X130" s="12"/>
      <c r="Y130" s="12"/>
      <c r="Z130" s="12"/>
    </row>
    <row r="131" ht="13.5" hidden="1" customHeight="1">
      <c r="A131" s="1" t="s">
        <v>131</v>
      </c>
      <c r="B131" s="35">
        <v>8.0</v>
      </c>
      <c r="C131" s="10">
        <v>123.473</v>
      </c>
      <c r="D131" s="10">
        <v>50.0</v>
      </c>
      <c r="E131" s="10">
        <v>2.554</v>
      </c>
      <c r="F131" s="22"/>
      <c r="G131" s="23">
        <v>45219.0</v>
      </c>
      <c r="H131" s="24"/>
      <c r="I131" s="25">
        <v>45223.0</v>
      </c>
      <c r="J131" s="26">
        <f t="shared" si="14"/>
        <v>45219</v>
      </c>
      <c r="K131" s="27">
        <f>IFERROR(__xludf.DUMMYFUNCTION("if(isblank(J131),,index(googlefinance(A131,K$2,J131-1),2,2))"),138.98)</f>
        <v>138.98</v>
      </c>
      <c r="L131" s="28">
        <f t="shared" si="2"/>
        <v>45223</v>
      </c>
      <c r="M131" s="29">
        <f>IFERROR(__xludf.DUMMYFUNCTION("if(isblank(L131),, index(googlefinance(A131,M$2,L131-1),2,2))"),137.9)</f>
        <v>137.9</v>
      </c>
      <c r="N131" s="30">
        <f>IFERROR(__xludf.DUMMYFUNCTION("if(isblank(A131),,googlefinance(A131))"),137.39)</f>
        <v>137.39</v>
      </c>
      <c r="O131" s="31" t="str">
        <f t="shared" si="11"/>
        <v>Completed</v>
      </c>
      <c r="P131" s="32" t="str">
        <f t="shared" si="4"/>
        <v>Profit</v>
      </c>
      <c r="Q131" s="33">
        <f t="shared" si="5"/>
        <v>7.56</v>
      </c>
      <c r="R131" s="31" t="b">
        <f t="shared" si="6"/>
        <v>1</v>
      </c>
      <c r="S131" s="34">
        <f t="shared" si="12"/>
        <v>-1.08</v>
      </c>
      <c r="T131" s="10">
        <f t="shared" si="8"/>
        <v>7</v>
      </c>
      <c r="U131" s="11"/>
      <c r="V131" s="12"/>
      <c r="W131" s="12"/>
      <c r="X131" s="12"/>
      <c r="Y131" s="12"/>
      <c r="Z131" s="12"/>
    </row>
    <row r="132" ht="13.5" hidden="1" customHeight="1">
      <c r="A132" s="1" t="s">
        <v>76</v>
      </c>
      <c r="B132" s="35">
        <v>10.0</v>
      </c>
      <c r="C132" s="10">
        <v>783.86</v>
      </c>
      <c r="D132" s="10">
        <v>80.0</v>
      </c>
      <c r="E132" s="10">
        <v>18.388</v>
      </c>
      <c r="F132" s="22"/>
      <c r="G132" s="23">
        <v>45219.0</v>
      </c>
      <c r="H132" s="24"/>
      <c r="I132" s="25">
        <v>45231.0</v>
      </c>
      <c r="J132" s="26">
        <f t="shared" si="14"/>
        <v>45219</v>
      </c>
      <c r="K132" s="27">
        <f>IFERROR(__xludf.DUMMYFUNCTION("if(isblank(J132),,index(googlefinance(A132,K$2,J132-1),2,2))"),253.13)</f>
        <v>253.13</v>
      </c>
      <c r="L132" s="28">
        <f t="shared" si="2"/>
        <v>45231</v>
      </c>
      <c r="M132" s="29">
        <f>IFERROR(__xludf.DUMMYFUNCTION("if(isblank(L132),, index(googlefinance(A132,M$2,L132-1),2,2))"),243.02)</f>
        <v>243.02</v>
      </c>
      <c r="N132" s="30">
        <f>IFERROR(__xludf.DUMMYFUNCTION("if(isblank(A132),,googlefinance(A132))"),282.93)</f>
        <v>282.93</v>
      </c>
      <c r="O132" s="31" t="str">
        <f t="shared" si="11"/>
        <v>Completed</v>
      </c>
      <c r="P132" s="32" t="str">
        <f t="shared" si="4"/>
        <v>Profit</v>
      </c>
      <c r="Q132" s="33">
        <f t="shared" si="5"/>
        <v>30.33</v>
      </c>
      <c r="R132" s="31" t="b">
        <f t="shared" si="6"/>
        <v>1</v>
      </c>
      <c r="S132" s="34">
        <f t="shared" si="12"/>
        <v>-10.11</v>
      </c>
      <c r="T132" s="10">
        <f t="shared" si="8"/>
        <v>3</v>
      </c>
      <c r="U132" s="11"/>
      <c r="V132" s="12"/>
      <c r="W132" s="12"/>
      <c r="X132" s="12"/>
      <c r="Y132" s="12"/>
      <c r="Z132" s="12"/>
    </row>
    <row r="133" ht="13.5" hidden="1" customHeight="1">
      <c r="A133" s="1" t="s">
        <v>132</v>
      </c>
      <c r="B133" s="35">
        <v>12.0</v>
      </c>
      <c r="C133" s="10">
        <v>39.59</v>
      </c>
      <c r="D133" s="10">
        <v>41.667</v>
      </c>
      <c r="E133" s="10">
        <v>1.449</v>
      </c>
      <c r="F133" s="22"/>
      <c r="G133" s="23">
        <v>45219.0</v>
      </c>
      <c r="H133" s="24"/>
      <c r="I133" s="25">
        <v>45223.0</v>
      </c>
      <c r="J133" s="26">
        <f t="shared" si="14"/>
        <v>45219</v>
      </c>
      <c r="K133" s="27">
        <f>IFERROR(__xludf.DUMMYFUNCTION("if(isblank(J133),,index(googlefinance(A133,K$2,J133-1),2,2))"),364.8)</f>
        <v>364.8</v>
      </c>
      <c r="L133" s="28">
        <f t="shared" si="2"/>
        <v>45223</v>
      </c>
      <c r="M133" s="29">
        <f>IFERROR(__xludf.DUMMYFUNCTION("if(isblank(L133),, index(googlefinance(A133,M$2,L133-1),2,2))"),367.66)</f>
        <v>367.66</v>
      </c>
      <c r="N133" s="30">
        <f>IFERROR(__xludf.DUMMYFUNCTION("if(isblank(A133),,googlefinance(A133))"),416.5)</f>
        <v>416.5</v>
      </c>
      <c r="O133" s="31" t="str">
        <f t="shared" si="11"/>
        <v>Completed</v>
      </c>
      <c r="P133" s="38" t="str">
        <f t="shared" si="4"/>
        <v>Loss</v>
      </c>
      <c r="Q133" s="39">
        <f t="shared" si="5"/>
        <v>-5.72</v>
      </c>
      <c r="R133" s="31" t="b">
        <f t="shared" si="6"/>
        <v>0</v>
      </c>
      <c r="S133" s="34">
        <f t="shared" si="12"/>
        <v>2.86</v>
      </c>
      <c r="T133" s="10">
        <f t="shared" si="8"/>
        <v>2</v>
      </c>
      <c r="U133" s="11"/>
      <c r="V133" s="12"/>
      <c r="W133" s="12"/>
      <c r="X133" s="12"/>
      <c r="Y133" s="12"/>
      <c r="Z133" s="12"/>
    </row>
    <row r="134" ht="13.5" hidden="1" customHeight="1">
      <c r="A134" s="1" t="s">
        <v>133</v>
      </c>
      <c r="B134" s="35">
        <v>12.0</v>
      </c>
      <c r="C134" s="10">
        <v>454.59</v>
      </c>
      <c r="D134" s="10">
        <v>41.667</v>
      </c>
      <c r="E134" s="10">
        <v>2.305</v>
      </c>
      <c r="F134" s="22"/>
      <c r="G134" s="23">
        <v>45219.0</v>
      </c>
      <c r="H134" s="24"/>
      <c r="I134" s="25">
        <v>45233.0</v>
      </c>
      <c r="J134" s="26">
        <f t="shared" si="14"/>
        <v>45219</v>
      </c>
      <c r="K134" s="27">
        <f>IFERROR(__xludf.DUMMYFUNCTION("if(isblank(J134),,index(googlefinance(A134,K$2,J134-1),2,2))"),169.07)</f>
        <v>169.07</v>
      </c>
      <c r="L134" s="28">
        <f t="shared" si="2"/>
        <v>45233</v>
      </c>
      <c r="M134" s="29">
        <f>IFERROR(__xludf.DUMMYFUNCTION("if(isblank(L134),, index(googlefinance(A134,M$2,L134-1),2,2))"),159.19)</f>
        <v>159.19</v>
      </c>
      <c r="N134" s="30">
        <f>IFERROR(__xludf.DUMMYFUNCTION("if(isblank(A134),,googlefinance(A134))"),209.81)</f>
        <v>209.81</v>
      </c>
      <c r="O134" s="31" t="str">
        <f t="shared" si="11"/>
        <v>Completed</v>
      </c>
      <c r="P134" s="32" t="str">
        <f t="shared" si="4"/>
        <v>Profit</v>
      </c>
      <c r="Q134" s="33">
        <f t="shared" si="5"/>
        <v>49.4</v>
      </c>
      <c r="R134" s="31" t="b">
        <f t="shared" si="6"/>
        <v>1</v>
      </c>
      <c r="S134" s="34">
        <f t="shared" si="12"/>
        <v>-9.88</v>
      </c>
      <c r="T134" s="10">
        <f t="shared" si="8"/>
        <v>5</v>
      </c>
      <c r="U134" s="11"/>
      <c r="V134" s="12"/>
      <c r="W134" s="12"/>
      <c r="X134" s="12"/>
      <c r="Y134" s="12"/>
      <c r="Z134" s="12"/>
    </row>
    <row r="135" ht="13.5" hidden="1" customHeight="1">
      <c r="A135" s="1" t="s">
        <v>101</v>
      </c>
      <c r="B135" s="35">
        <v>12.0</v>
      </c>
      <c r="C135" s="10">
        <v>60.17</v>
      </c>
      <c r="D135" s="10">
        <v>25.0</v>
      </c>
      <c r="E135" s="10">
        <v>1.145</v>
      </c>
      <c r="F135" s="22"/>
      <c r="G135" s="23">
        <v>45221.0</v>
      </c>
      <c r="H135" s="24"/>
      <c r="I135" s="25">
        <v>45231.0</v>
      </c>
      <c r="J135" s="26">
        <f t="shared" si="14"/>
        <v>45221</v>
      </c>
      <c r="K135" s="27">
        <f>IFERROR(__xludf.DUMMYFUNCTION("if(isblank(J135),,index(googlefinance(A135,K$2,J135-1),2,2))"),179.08)</f>
        <v>179.08</v>
      </c>
      <c r="L135" s="28">
        <f t="shared" si="2"/>
        <v>45231</v>
      </c>
      <c r="M135" s="29">
        <f>IFERROR(__xludf.DUMMYFUNCTION("if(isblank(L135),, index(googlefinance(A135,M$2,L135-1),2,2))"),176.77)</f>
        <v>176.77</v>
      </c>
      <c r="N135" s="30">
        <f>IFERROR(__xludf.DUMMYFUNCTION("if(isblank(A135),,googlefinance(A135))"),247.46)</f>
        <v>247.46</v>
      </c>
      <c r="O135" s="31" t="str">
        <f t="shared" si="11"/>
        <v>Completed</v>
      </c>
      <c r="P135" s="32" t="str">
        <f t="shared" si="4"/>
        <v>Profit</v>
      </c>
      <c r="Q135" s="33">
        <f t="shared" si="5"/>
        <v>11.55</v>
      </c>
      <c r="R135" s="31" t="b">
        <f t="shared" si="6"/>
        <v>1</v>
      </c>
      <c r="S135" s="34">
        <f t="shared" si="12"/>
        <v>-2.31</v>
      </c>
      <c r="T135" s="10">
        <f t="shared" si="8"/>
        <v>5</v>
      </c>
      <c r="U135" s="11"/>
      <c r="V135" s="12"/>
      <c r="W135" s="12"/>
      <c r="X135" s="12"/>
      <c r="Y135" s="12"/>
      <c r="Z135" s="12"/>
    </row>
    <row r="136" ht="13.5" hidden="1" customHeight="1">
      <c r="A136" s="1" t="s">
        <v>50</v>
      </c>
      <c r="B136" s="35">
        <v>8.0</v>
      </c>
      <c r="C136" s="10">
        <v>111.8</v>
      </c>
      <c r="D136" s="10">
        <v>50.0</v>
      </c>
      <c r="E136" s="10">
        <v>2.006</v>
      </c>
      <c r="F136" s="22"/>
      <c r="G136" s="23">
        <v>45221.0</v>
      </c>
      <c r="H136" s="24"/>
      <c r="I136" s="25">
        <v>45232.0</v>
      </c>
      <c r="J136" s="26">
        <f t="shared" si="14"/>
        <v>45221</v>
      </c>
      <c r="K136" s="27">
        <f>IFERROR(__xludf.DUMMYFUNCTION("if(isblank(J136),,index(googlefinance(A136,K$2,J136-1),2,2))"),273.06)</f>
        <v>273.06</v>
      </c>
      <c r="L136" s="28">
        <f t="shared" si="2"/>
        <v>45232</v>
      </c>
      <c r="M136" s="29">
        <f>IFERROR(__xludf.DUMMYFUNCTION("if(isblank(L136),, index(googlefinance(A136,M$2,L136-1),2,2))"),260.84)</f>
        <v>260.84</v>
      </c>
      <c r="N136" s="30">
        <f>IFERROR(__xludf.DUMMYFUNCTION("if(isblank(A136),,googlefinance(A136))"),303.0)</f>
        <v>303</v>
      </c>
      <c r="O136" s="31" t="str">
        <f t="shared" si="11"/>
        <v>Completed</v>
      </c>
      <c r="P136" s="32" t="str">
        <f t="shared" si="4"/>
        <v>Profit</v>
      </c>
      <c r="Q136" s="33">
        <f t="shared" si="5"/>
        <v>36.66</v>
      </c>
      <c r="R136" s="31" t="b">
        <f t="shared" si="6"/>
        <v>1</v>
      </c>
      <c r="S136" s="34">
        <f t="shared" si="12"/>
        <v>-12.22</v>
      </c>
      <c r="T136" s="10">
        <f t="shared" si="8"/>
        <v>3</v>
      </c>
      <c r="U136" s="11"/>
      <c r="V136" s="12"/>
      <c r="W136" s="12"/>
      <c r="X136" s="12"/>
      <c r="Y136" s="12"/>
      <c r="Z136" s="12"/>
    </row>
    <row r="137" ht="13.5" hidden="1" customHeight="1">
      <c r="A137" s="1" t="s">
        <v>89</v>
      </c>
      <c r="B137" s="35">
        <v>11.0</v>
      </c>
      <c r="C137" s="10">
        <v>213.94</v>
      </c>
      <c r="D137" s="10">
        <v>36.364</v>
      </c>
      <c r="E137" s="10">
        <v>2.429</v>
      </c>
      <c r="F137" s="22"/>
      <c r="G137" s="23">
        <v>45221.0</v>
      </c>
      <c r="H137" s="24"/>
      <c r="I137" s="25">
        <v>45232.0</v>
      </c>
      <c r="J137" s="26">
        <f t="shared" si="14"/>
        <v>45221</v>
      </c>
      <c r="K137" s="27">
        <f>IFERROR(__xludf.DUMMYFUNCTION("if(isblank(J137),,index(googlefinance(A137,K$2,J137-1),2,2))"),344.64)</f>
        <v>344.64</v>
      </c>
      <c r="L137" s="28">
        <f t="shared" si="2"/>
        <v>45232</v>
      </c>
      <c r="M137" s="29">
        <f>IFERROR(__xludf.DUMMYFUNCTION("if(isblank(L137),, index(googlefinance(A137,M$2,L137-1),2,2))"),336.83)</f>
        <v>336.83</v>
      </c>
      <c r="N137" s="30">
        <f>IFERROR(__xludf.DUMMYFUNCTION("if(isblank(A137),,googlefinance(A137))"),378.59)</f>
        <v>378.59</v>
      </c>
      <c r="O137" s="31" t="str">
        <f t="shared" si="11"/>
        <v>Completed</v>
      </c>
      <c r="P137" s="32" t="str">
        <f t="shared" si="4"/>
        <v>Profit</v>
      </c>
      <c r="Q137" s="33">
        <f t="shared" si="5"/>
        <v>15.62</v>
      </c>
      <c r="R137" s="31" t="b">
        <f t="shared" si="6"/>
        <v>1</v>
      </c>
      <c r="S137" s="34">
        <f t="shared" si="12"/>
        <v>-7.81</v>
      </c>
      <c r="T137" s="10">
        <f t="shared" si="8"/>
        <v>2</v>
      </c>
      <c r="U137" s="11"/>
      <c r="V137" s="12"/>
      <c r="W137" s="12"/>
      <c r="X137" s="12"/>
      <c r="Y137" s="12"/>
      <c r="Z137" s="12"/>
    </row>
    <row r="138" ht="13.5" hidden="1" customHeight="1">
      <c r="A138" s="1" t="s">
        <v>134</v>
      </c>
      <c r="B138" s="35">
        <v>6.0</v>
      </c>
      <c r="C138" s="10">
        <v>8.34</v>
      </c>
      <c r="D138" s="10">
        <v>33.333</v>
      </c>
      <c r="E138" s="10">
        <v>1.085</v>
      </c>
      <c r="F138" s="22"/>
      <c r="G138" s="23">
        <v>45222.0</v>
      </c>
      <c r="H138" s="24"/>
      <c r="I138" s="25">
        <v>45230.0</v>
      </c>
      <c r="J138" s="26">
        <f t="shared" si="14"/>
        <v>45222</v>
      </c>
      <c r="K138" s="27">
        <f>IFERROR(__xludf.DUMMYFUNCTION("if(isblank(J138),,index(googlefinance(A138,K$2,J138-1),2,2))"),521.57)</f>
        <v>521.57</v>
      </c>
      <c r="L138" s="28">
        <f t="shared" si="2"/>
        <v>45230</v>
      </c>
      <c r="M138" s="29">
        <f>IFERROR(__xludf.DUMMYFUNCTION("if(isblank(L138),, index(googlefinance(A138,M$2,L138-1),2,2))"),529.99)</f>
        <v>529.99</v>
      </c>
      <c r="N138" s="30">
        <f>IFERROR(__xludf.DUMMYFUNCTION("if(isblank(A138),,googlefinance(A138))"),537.38)</f>
        <v>537.38</v>
      </c>
      <c r="O138" s="31" t="str">
        <f t="shared" si="11"/>
        <v>Completed</v>
      </c>
      <c r="P138" s="38" t="str">
        <f t="shared" si="4"/>
        <v>Loss</v>
      </c>
      <c r="Q138" s="39">
        <f t="shared" si="5"/>
        <v>-8.42</v>
      </c>
      <c r="R138" s="31" t="b">
        <f t="shared" si="6"/>
        <v>0</v>
      </c>
      <c r="S138" s="34">
        <f t="shared" si="12"/>
        <v>8.42</v>
      </c>
      <c r="T138" s="10">
        <f t="shared" si="8"/>
        <v>1</v>
      </c>
      <c r="U138" s="11"/>
      <c r="V138" s="12"/>
      <c r="W138" s="12"/>
      <c r="X138" s="12"/>
      <c r="Y138" s="12"/>
      <c r="Z138" s="12"/>
    </row>
    <row r="139" ht="13.5" hidden="1" customHeight="1">
      <c r="A139" s="1" t="s">
        <v>135</v>
      </c>
      <c r="B139" s="35">
        <v>11.0</v>
      </c>
      <c r="C139" s="10">
        <v>44.63</v>
      </c>
      <c r="D139" s="10">
        <v>36.364</v>
      </c>
      <c r="E139" s="10">
        <v>1.203</v>
      </c>
      <c r="F139" s="22"/>
      <c r="G139" s="23">
        <v>45223.0</v>
      </c>
      <c r="H139" s="24"/>
      <c r="I139" s="25">
        <v>45236.0</v>
      </c>
      <c r="J139" s="26">
        <f t="shared" si="14"/>
        <v>45223</v>
      </c>
      <c r="K139" s="27">
        <f>IFERROR(__xludf.DUMMYFUNCTION("if(isblank(J139),,index(googlefinance(A139,K$2,J139-1),2,2))"),70.86)</f>
        <v>70.86</v>
      </c>
      <c r="L139" s="28">
        <f t="shared" si="2"/>
        <v>45236</v>
      </c>
      <c r="M139" s="29">
        <f>IFERROR(__xludf.DUMMYFUNCTION("if(isblank(L139),, index(googlefinance(A139,M$2,L139-1),2,2))"),71.84)</f>
        <v>71.84</v>
      </c>
      <c r="N139" s="30">
        <f>IFERROR(__xludf.DUMMYFUNCTION("if(isblank(A139),,googlefinance(A139))"),77.38)</f>
        <v>77.38</v>
      </c>
      <c r="O139" s="31" t="str">
        <f t="shared" si="11"/>
        <v>Completed</v>
      </c>
      <c r="P139" s="38" t="str">
        <f t="shared" si="4"/>
        <v>Loss</v>
      </c>
      <c r="Q139" s="39">
        <f t="shared" si="5"/>
        <v>-13.72</v>
      </c>
      <c r="R139" s="31" t="b">
        <f t="shared" si="6"/>
        <v>0</v>
      </c>
      <c r="S139" s="34">
        <f t="shared" si="12"/>
        <v>0.98</v>
      </c>
      <c r="T139" s="10">
        <f t="shared" si="8"/>
        <v>14</v>
      </c>
      <c r="U139" s="11"/>
      <c r="V139" s="12"/>
      <c r="W139" s="12"/>
      <c r="X139" s="12"/>
      <c r="Y139" s="12"/>
      <c r="Z139" s="12"/>
    </row>
    <row r="140" ht="13.5" hidden="1" customHeight="1">
      <c r="A140" s="1" t="s">
        <v>136</v>
      </c>
      <c r="B140" s="35">
        <v>10.0</v>
      </c>
      <c r="C140" s="10">
        <v>113.242</v>
      </c>
      <c r="D140" s="10">
        <v>40.0</v>
      </c>
      <c r="E140" s="10">
        <v>2.674</v>
      </c>
      <c r="F140" s="45">
        <v>45229.0</v>
      </c>
      <c r="G140" s="22"/>
      <c r="H140" s="25">
        <v>45259.0</v>
      </c>
      <c r="I140" s="24"/>
      <c r="J140" s="36">
        <f t="shared" si="14"/>
        <v>45229</v>
      </c>
      <c r="K140" s="27">
        <f>IFERROR(__xludf.DUMMYFUNCTION("if(isblank(J140),,index(googlefinance(A140,K$2,J140-1),2,2))"),142.63)</f>
        <v>142.63</v>
      </c>
      <c r="L140" s="37">
        <f t="shared" si="2"/>
        <v>45259</v>
      </c>
      <c r="M140" s="29">
        <f>IFERROR(__xludf.DUMMYFUNCTION("if(isblank(L140),, index(googlefinance(A140,M$2,L140-1),2,2))"),155.65)</f>
        <v>155.65</v>
      </c>
      <c r="N140" s="30">
        <f>IFERROR(__xludf.DUMMYFUNCTION("if(isblank(A140),,googlefinance(A140))"),159.16)</f>
        <v>159.16</v>
      </c>
      <c r="O140" s="31" t="str">
        <f t="shared" si="11"/>
        <v>Completed</v>
      </c>
      <c r="P140" s="32" t="str">
        <f t="shared" si="4"/>
        <v>Profit</v>
      </c>
      <c r="Q140" s="33">
        <f t="shared" si="5"/>
        <v>91.14</v>
      </c>
      <c r="R140" s="31" t="b">
        <f t="shared" si="6"/>
        <v>1</v>
      </c>
      <c r="S140" s="34">
        <f t="shared" si="12"/>
        <v>13.02</v>
      </c>
      <c r="T140" s="10">
        <f t="shared" si="8"/>
        <v>7</v>
      </c>
      <c r="U140" s="11"/>
      <c r="V140" s="12"/>
      <c r="W140" s="12"/>
      <c r="X140" s="12"/>
      <c r="Y140" s="12"/>
      <c r="Z140" s="12"/>
    </row>
    <row r="141" ht="13.5" hidden="1" customHeight="1">
      <c r="A141" s="1" t="s">
        <v>98</v>
      </c>
      <c r="B141" s="35">
        <v>10.0</v>
      </c>
      <c r="C141" s="10">
        <v>178.26</v>
      </c>
      <c r="D141" s="10">
        <v>40.0</v>
      </c>
      <c r="E141" s="10">
        <v>1.979</v>
      </c>
      <c r="F141" s="45">
        <v>45229.0</v>
      </c>
      <c r="G141" s="22"/>
      <c r="H141" s="25">
        <v>45251.0</v>
      </c>
      <c r="I141" s="24"/>
      <c r="J141" s="36">
        <f t="shared" si="14"/>
        <v>45229</v>
      </c>
      <c r="K141" s="27">
        <f>IFERROR(__xludf.DUMMYFUNCTION("if(isblank(J141),,index(googlefinance(A141,K$2,J141-1),2,2))"),35.69)</f>
        <v>35.69</v>
      </c>
      <c r="L141" s="37">
        <f t="shared" si="2"/>
        <v>45251</v>
      </c>
      <c r="M141" s="29">
        <f>IFERROR(__xludf.DUMMYFUNCTION("if(isblank(L141),, index(googlefinance(A141,M$2,L141-1),2,2))"),44.74)</f>
        <v>44.74</v>
      </c>
      <c r="N141" s="30">
        <f>IFERROR(__xludf.DUMMYFUNCTION("if(isblank(A141),,googlefinance(A141))"),46.89)</f>
        <v>46.89</v>
      </c>
      <c r="O141" s="31" t="str">
        <f t="shared" si="11"/>
        <v>Completed</v>
      </c>
      <c r="P141" s="32" t="str">
        <f t="shared" si="4"/>
        <v>Profit</v>
      </c>
      <c r="Q141" s="33">
        <f t="shared" si="5"/>
        <v>253.4</v>
      </c>
      <c r="R141" s="31" t="b">
        <f t="shared" si="6"/>
        <v>1</v>
      </c>
      <c r="S141" s="34">
        <f t="shared" si="12"/>
        <v>9.05</v>
      </c>
      <c r="T141" s="10">
        <f t="shared" si="8"/>
        <v>28</v>
      </c>
      <c r="U141" s="11"/>
      <c r="V141" s="12"/>
      <c r="W141" s="12"/>
      <c r="X141" s="12"/>
      <c r="Y141" s="12"/>
      <c r="Z141" s="12"/>
    </row>
    <row r="142" ht="13.5" hidden="1" customHeight="1">
      <c r="A142" s="1" t="s">
        <v>83</v>
      </c>
      <c r="B142" s="35">
        <v>11.0</v>
      </c>
      <c r="C142" s="10">
        <v>43.35</v>
      </c>
      <c r="D142" s="10">
        <v>36.364</v>
      </c>
      <c r="E142" s="10">
        <v>1.335</v>
      </c>
      <c r="F142" s="22"/>
      <c r="G142" s="23">
        <v>45228.0</v>
      </c>
      <c r="H142" s="24"/>
      <c r="I142" s="25">
        <v>45229.0</v>
      </c>
      <c r="J142" s="26">
        <f t="shared" si="14"/>
        <v>45228</v>
      </c>
      <c r="K142" s="27">
        <f>IFERROR(__xludf.DUMMYFUNCTION("if(isblank(J142),,index(googlefinance(A142,K$2,J142-1),2,2))"),101.8)</f>
        <v>101.8</v>
      </c>
      <c r="L142" s="28">
        <f t="shared" si="2"/>
        <v>45229</v>
      </c>
      <c r="M142" s="29">
        <f>IFERROR(__xludf.DUMMYFUNCTION("if(isblank(L142),, index(googlefinance(A142,M$2,L142-1),2,2))"),101.8)</f>
        <v>101.8</v>
      </c>
      <c r="N142" s="30">
        <f>IFERROR(__xludf.DUMMYFUNCTION("if(isblank(A142),,googlefinance(A142))"),102.08)</f>
        <v>102.08</v>
      </c>
      <c r="O142" s="31" t="str">
        <f t="shared" si="11"/>
        <v>Completed</v>
      </c>
      <c r="P142" s="38" t="str">
        <f t="shared" si="4"/>
        <v>Loss</v>
      </c>
      <c r="Q142" s="43">
        <f t="shared" si="5"/>
        <v>0</v>
      </c>
      <c r="R142" s="31" t="b">
        <f t="shared" si="6"/>
        <v>0</v>
      </c>
      <c r="S142" s="34">
        <f t="shared" si="12"/>
        <v>0</v>
      </c>
      <c r="T142" s="10">
        <f t="shared" si="8"/>
        <v>9</v>
      </c>
      <c r="U142" s="11"/>
      <c r="V142" s="12"/>
      <c r="W142" s="12"/>
      <c r="X142" s="12"/>
      <c r="Y142" s="12"/>
      <c r="Z142" s="12"/>
    </row>
    <row r="143" ht="13.5" hidden="1" customHeight="1">
      <c r="A143" s="1" t="s">
        <v>43</v>
      </c>
      <c r="B143" s="35">
        <v>13.0</v>
      </c>
      <c r="C143" s="10">
        <v>247.07</v>
      </c>
      <c r="D143" s="10">
        <v>53.846</v>
      </c>
      <c r="E143" s="10">
        <v>3.253</v>
      </c>
      <c r="F143" s="45">
        <v>45229.0</v>
      </c>
      <c r="G143" s="22"/>
      <c r="H143" s="25">
        <v>45264.0</v>
      </c>
      <c r="I143" s="24"/>
      <c r="J143" s="36">
        <f t="shared" si="14"/>
        <v>45229</v>
      </c>
      <c r="K143" s="27">
        <f>IFERROR(__xludf.DUMMYFUNCTION("if(isblank(J143),,index(googlefinance(A143,K$2,J143-1),2,2))"),75.19)</f>
        <v>75.19</v>
      </c>
      <c r="L143" s="37">
        <f t="shared" si="2"/>
        <v>45264</v>
      </c>
      <c r="M143" s="29">
        <f>IFERROR(__xludf.DUMMYFUNCTION("if(isblank(L143),, index(googlefinance(A143,M$2,L143-1),2,2))"),84.88)</f>
        <v>84.88</v>
      </c>
      <c r="N143" s="30">
        <f>IFERROR(__xludf.DUMMYFUNCTION("if(isblank(A143),,googlefinance(A143))"),89.19)</f>
        <v>89.19</v>
      </c>
      <c r="O143" s="31" t="str">
        <f t="shared" si="11"/>
        <v>Completed</v>
      </c>
      <c r="P143" s="32" t="str">
        <f t="shared" si="4"/>
        <v>Profit</v>
      </c>
      <c r="Q143" s="33">
        <f t="shared" si="5"/>
        <v>125.97</v>
      </c>
      <c r="R143" s="31" t="b">
        <f t="shared" si="6"/>
        <v>1</v>
      </c>
      <c r="S143" s="34">
        <f t="shared" si="12"/>
        <v>9.69</v>
      </c>
      <c r="T143" s="10">
        <f t="shared" si="8"/>
        <v>13</v>
      </c>
      <c r="U143" s="11"/>
      <c r="V143" s="12"/>
      <c r="W143" s="12"/>
      <c r="X143" s="12"/>
      <c r="Y143" s="12"/>
      <c r="Z143" s="12"/>
    </row>
    <row r="144" ht="13.5" hidden="1" customHeight="1">
      <c r="A144" s="1" t="s">
        <v>137</v>
      </c>
      <c r="B144" s="35">
        <v>9.0</v>
      </c>
      <c r="C144" s="10">
        <v>54.99</v>
      </c>
      <c r="D144" s="10">
        <v>33.333</v>
      </c>
      <c r="E144" s="10">
        <v>1.219</v>
      </c>
      <c r="F144" s="23">
        <v>45229.0</v>
      </c>
      <c r="G144" s="22"/>
      <c r="H144" s="25">
        <v>45264.0</v>
      </c>
      <c r="I144" s="24"/>
      <c r="J144" s="36">
        <f t="shared" si="14"/>
        <v>45229</v>
      </c>
      <c r="K144" s="27">
        <f>IFERROR(__xludf.DUMMYFUNCTION("if(isblank(J144),,index(googlefinance(A144,K$2,J144-1),2,2))"),148.95)</f>
        <v>148.95</v>
      </c>
      <c r="L144" s="37">
        <f t="shared" si="2"/>
        <v>45264</v>
      </c>
      <c r="M144" s="29">
        <f>IFERROR(__xludf.DUMMYFUNCTION("if(isblank(L144),, index(googlefinance(A144,M$2,L144-1),2,2))"),167.4)</f>
        <v>167.4</v>
      </c>
      <c r="N144" s="30">
        <f>IFERROR(__xludf.DUMMYFUNCTION("if(isblank(A144),,googlefinance(A144))"),170.57)</f>
        <v>170.57</v>
      </c>
      <c r="O144" s="31" t="str">
        <f t="shared" si="11"/>
        <v>Completed</v>
      </c>
      <c r="P144" s="32" t="str">
        <f t="shared" si="4"/>
        <v>Profit</v>
      </c>
      <c r="Q144" s="33">
        <f t="shared" si="5"/>
        <v>110.7</v>
      </c>
      <c r="R144" s="31" t="b">
        <f t="shared" si="6"/>
        <v>1</v>
      </c>
      <c r="S144" s="34">
        <f t="shared" si="12"/>
        <v>18.45</v>
      </c>
      <c r="T144" s="10">
        <f t="shared" si="8"/>
        <v>6</v>
      </c>
      <c r="U144" s="11"/>
      <c r="V144" s="12"/>
      <c r="W144" s="12"/>
      <c r="X144" s="12"/>
      <c r="Y144" s="12"/>
      <c r="Z144" s="12"/>
    </row>
    <row r="145" ht="13.5" hidden="1" customHeight="1">
      <c r="A145" s="1" t="s">
        <v>103</v>
      </c>
      <c r="B145" s="35">
        <v>9.0</v>
      </c>
      <c r="C145" s="10">
        <v>33.68</v>
      </c>
      <c r="D145" s="10">
        <v>55.556</v>
      </c>
      <c r="E145" s="10">
        <v>1.336</v>
      </c>
      <c r="F145" s="23">
        <v>45230.0</v>
      </c>
      <c r="G145" s="22"/>
      <c r="H145" s="25">
        <v>45254.0</v>
      </c>
      <c r="I145" s="24"/>
      <c r="J145" s="36">
        <f t="shared" si="14"/>
        <v>45230</v>
      </c>
      <c r="K145" s="27">
        <f>IFERROR(__xludf.DUMMYFUNCTION("if(isblank(J145),,index(googlefinance(A145,K$2,J145-1),2,2))"),90.68)</f>
        <v>90.68</v>
      </c>
      <c r="L145" s="37">
        <f t="shared" si="2"/>
        <v>45254</v>
      </c>
      <c r="M145" s="29">
        <f>IFERROR(__xludf.DUMMYFUNCTION("if(isblank(L145),, index(googlefinance(A145,M$2,L145-1),2,2))"),95.74)</f>
        <v>95.74</v>
      </c>
      <c r="N145" s="30">
        <f>IFERROR(__xludf.DUMMYFUNCTION("if(isblank(A145),,googlefinance(A145))"),104.31)</f>
        <v>104.31</v>
      </c>
      <c r="O145" s="31" t="str">
        <f t="shared" si="11"/>
        <v>Completed</v>
      </c>
      <c r="P145" s="32" t="str">
        <f t="shared" si="4"/>
        <v>Profit</v>
      </c>
      <c r="Q145" s="33">
        <f t="shared" si="5"/>
        <v>55.66</v>
      </c>
      <c r="R145" s="31" t="b">
        <f t="shared" si="6"/>
        <v>1</v>
      </c>
      <c r="S145" s="34">
        <f t="shared" si="12"/>
        <v>5.06</v>
      </c>
      <c r="T145" s="10">
        <f t="shared" si="8"/>
        <v>11</v>
      </c>
      <c r="U145" s="11"/>
      <c r="V145" s="12"/>
      <c r="W145" s="12"/>
      <c r="X145" s="12"/>
      <c r="Y145" s="12"/>
      <c r="Z145" s="12"/>
    </row>
    <row r="146" ht="13.5" hidden="1" customHeight="1">
      <c r="A146" s="1" t="s">
        <v>138</v>
      </c>
      <c r="B146" s="35">
        <v>12.0</v>
      </c>
      <c r="C146" s="10">
        <v>37.58</v>
      </c>
      <c r="D146" s="10">
        <v>25.0</v>
      </c>
      <c r="E146" s="10">
        <v>1.139</v>
      </c>
      <c r="F146" s="23">
        <v>45231.0</v>
      </c>
      <c r="G146" s="22"/>
      <c r="H146" s="25">
        <v>45252.0</v>
      </c>
      <c r="I146" s="24"/>
      <c r="J146" s="36">
        <f t="shared" si="14"/>
        <v>45231</v>
      </c>
      <c r="K146" s="27" t="str">
        <f>IFERROR(__xludf.DUMMYFUNCTION("if(isblank(J146),,index(googlefinance(A146,K$2,J146-1),2,2))"),"#N/A")</f>
        <v>#N/A</v>
      </c>
      <c r="L146" s="37">
        <f t="shared" si="2"/>
        <v>45252</v>
      </c>
      <c r="M146" s="29">
        <f>IFERROR(__xludf.DUMMYFUNCTION("if(isblank(L146),, index(googlefinance(A146,M$2,L146-1),2,2))"),217.67)</f>
        <v>217.67</v>
      </c>
      <c r="N146" s="30">
        <f>IFERROR(__xludf.DUMMYFUNCTION("if(isblank(A146),,googlefinance(A146))"),229.52)</f>
        <v>229.52</v>
      </c>
      <c r="O146" s="31" t="str">
        <f t="shared" si="11"/>
        <v>Completed</v>
      </c>
      <c r="P146" s="32" t="str">
        <f t="shared" si="4"/>
        <v>#N/A</v>
      </c>
      <c r="Q146" s="33" t="str">
        <f t="shared" si="5"/>
        <v>#N/A</v>
      </c>
      <c r="R146" s="31" t="str">
        <f t="shared" si="6"/>
        <v>#N/A</v>
      </c>
      <c r="S146" s="34" t="str">
        <f t="shared" si="12"/>
        <v>#N/A</v>
      </c>
      <c r="T146" s="10" t="str">
        <f t="shared" si="8"/>
        <v>#N/A</v>
      </c>
      <c r="U146" s="11"/>
      <c r="V146" s="12"/>
      <c r="W146" s="12"/>
      <c r="X146" s="12"/>
      <c r="Y146" s="12"/>
      <c r="Z146" s="12"/>
    </row>
    <row r="147" ht="13.5" hidden="1" customHeight="1">
      <c r="A147" s="1" t="s">
        <v>56</v>
      </c>
      <c r="B147" s="35">
        <v>14.0</v>
      </c>
      <c r="C147" s="10">
        <v>204.76</v>
      </c>
      <c r="D147" s="10">
        <v>42.857</v>
      </c>
      <c r="E147" s="10">
        <v>1.989</v>
      </c>
      <c r="F147" s="23">
        <v>45231.0</v>
      </c>
      <c r="G147" s="22"/>
      <c r="H147" s="25">
        <v>45265.0</v>
      </c>
      <c r="I147" s="24"/>
      <c r="J147" s="36">
        <f t="shared" si="14"/>
        <v>45231</v>
      </c>
      <c r="K147" s="27">
        <f>IFERROR(__xludf.DUMMYFUNCTION("if(isblank(J147),,index(googlefinance(A147,K$2,J147-1),2,2))"),26.34)</f>
        <v>26.34</v>
      </c>
      <c r="L147" s="37">
        <f t="shared" si="2"/>
        <v>45265</v>
      </c>
      <c r="M147" s="29">
        <f>IFERROR(__xludf.DUMMYFUNCTION("if(isblank(L147),, index(googlefinance(A147,M$2,L147-1),2,2))"),30.82)</f>
        <v>30.82</v>
      </c>
      <c r="N147" s="30">
        <f>IFERROR(__xludf.DUMMYFUNCTION("if(isblank(A147),,googlefinance(A147))"),34.43)</f>
        <v>34.43</v>
      </c>
      <c r="O147" s="31" t="str">
        <f t="shared" si="11"/>
        <v>Completed</v>
      </c>
      <c r="P147" s="32" t="str">
        <f t="shared" si="4"/>
        <v>Profit</v>
      </c>
      <c r="Q147" s="33">
        <f t="shared" si="5"/>
        <v>165.76</v>
      </c>
      <c r="R147" s="31" t="b">
        <f t="shared" si="6"/>
        <v>1</v>
      </c>
      <c r="S147" s="34">
        <f t="shared" si="12"/>
        <v>4.48</v>
      </c>
      <c r="T147" s="10">
        <f t="shared" si="8"/>
        <v>37</v>
      </c>
      <c r="U147" s="11"/>
      <c r="V147" s="12"/>
      <c r="W147" s="12"/>
      <c r="X147" s="12"/>
      <c r="Y147" s="12"/>
      <c r="Z147" s="12"/>
    </row>
    <row r="148" ht="13.5" hidden="1" customHeight="1">
      <c r="A148" s="1" t="s">
        <v>139</v>
      </c>
      <c r="B148" s="35">
        <v>10.0</v>
      </c>
      <c r="C148" s="10">
        <v>24.89</v>
      </c>
      <c r="D148" s="10">
        <v>10.0</v>
      </c>
      <c r="E148" s="10">
        <v>1.1</v>
      </c>
      <c r="F148" s="23">
        <v>45231.0</v>
      </c>
      <c r="G148" s="22"/>
      <c r="H148" s="25">
        <v>45239.0</v>
      </c>
      <c r="I148" s="24"/>
      <c r="J148" s="36">
        <f t="shared" si="14"/>
        <v>45231</v>
      </c>
      <c r="K148" s="27" t="str">
        <f>IFERROR(__xludf.DUMMYFUNCTION("if(isblank(J148),,index(googlefinance(A148,K$2,J148-1),2,2))"),"#N/A")</f>
        <v>#N/A</v>
      </c>
      <c r="L148" s="37">
        <f t="shared" si="2"/>
        <v>45239</v>
      </c>
      <c r="M148" s="29">
        <f>IFERROR(__xludf.DUMMYFUNCTION("if(isblank(L148),, index(googlefinance(A148,M$2,L148-1),2,2))"),245.37)</f>
        <v>245.37</v>
      </c>
      <c r="N148" s="30">
        <f>IFERROR(__xludf.DUMMYFUNCTION("if(isblank(A148),,googlefinance(A148))"),246.81)</f>
        <v>246.81</v>
      </c>
      <c r="O148" s="31" t="str">
        <f t="shared" si="11"/>
        <v>Completed</v>
      </c>
      <c r="P148" s="32" t="str">
        <f t="shared" si="4"/>
        <v>#N/A</v>
      </c>
      <c r="Q148" s="33" t="str">
        <f t="shared" si="5"/>
        <v>#N/A</v>
      </c>
      <c r="R148" s="31" t="str">
        <f t="shared" si="6"/>
        <v>#N/A</v>
      </c>
      <c r="S148" s="34" t="str">
        <f t="shared" si="12"/>
        <v>#N/A</v>
      </c>
      <c r="T148" s="10" t="str">
        <f t="shared" si="8"/>
        <v>#N/A</v>
      </c>
      <c r="U148" s="11"/>
      <c r="V148" s="12"/>
      <c r="W148" s="12"/>
      <c r="X148" s="12"/>
      <c r="Y148" s="12"/>
      <c r="Z148" s="12"/>
    </row>
    <row r="149" ht="13.5" hidden="1" customHeight="1">
      <c r="A149" s="1" t="s">
        <v>65</v>
      </c>
      <c r="B149" s="35">
        <v>9.0</v>
      </c>
      <c r="C149" s="10">
        <v>48.66</v>
      </c>
      <c r="D149" s="10">
        <v>55.556</v>
      </c>
      <c r="E149" s="10">
        <v>1.488</v>
      </c>
      <c r="F149" s="23">
        <v>45231.0</v>
      </c>
      <c r="G149" s="22"/>
      <c r="H149" s="25">
        <v>45266.0</v>
      </c>
      <c r="I149" s="24"/>
      <c r="J149" s="36">
        <f t="shared" si="14"/>
        <v>45231</v>
      </c>
      <c r="K149" s="27">
        <f>IFERROR(__xludf.DUMMYFUNCTION("if(isblank(J149),,index(googlefinance(A149,K$2,J149-1),2,2))"),65.91)</f>
        <v>65.91</v>
      </c>
      <c r="L149" s="37">
        <f t="shared" si="2"/>
        <v>45266</v>
      </c>
      <c r="M149" s="29">
        <f>IFERROR(__xludf.DUMMYFUNCTION("if(isblank(L149),, index(googlefinance(A149,M$2,L149-1),2,2))"),80.76)</f>
        <v>80.76</v>
      </c>
      <c r="N149" s="30">
        <f>IFERROR(__xludf.DUMMYFUNCTION("if(isblank(A149),,googlefinance(A149))"),83.47)</f>
        <v>83.47</v>
      </c>
      <c r="O149" s="31" t="str">
        <f t="shared" si="11"/>
        <v>Completed</v>
      </c>
      <c r="P149" s="32" t="str">
        <f t="shared" si="4"/>
        <v>Profit</v>
      </c>
      <c r="Q149" s="33">
        <f t="shared" si="5"/>
        <v>222.75</v>
      </c>
      <c r="R149" s="31" t="b">
        <f t="shared" si="6"/>
        <v>1</v>
      </c>
      <c r="S149" s="34">
        <f t="shared" si="12"/>
        <v>14.85</v>
      </c>
      <c r="T149" s="10">
        <f t="shared" si="8"/>
        <v>15</v>
      </c>
      <c r="U149" s="11"/>
      <c r="V149" s="12"/>
      <c r="W149" s="12"/>
      <c r="X149" s="12"/>
      <c r="Y149" s="12"/>
      <c r="Z149" s="12"/>
    </row>
    <row r="150" ht="13.5" hidden="1" customHeight="1">
      <c r="A150" s="1" t="s">
        <v>140</v>
      </c>
      <c r="B150" s="35">
        <v>8.0</v>
      </c>
      <c r="C150" s="10">
        <v>18.927</v>
      </c>
      <c r="D150" s="10">
        <v>25.0</v>
      </c>
      <c r="E150" s="10">
        <v>1.067</v>
      </c>
      <c r="F150" s="23">
        <v>45231.0</v>
      </c>
      <c r="G150" s="22"/>
      <c r="H150" s="25">
        <v>45252.0</v>
      </c>
      <c r="I150" s="24"/>
      <c r="J150" s="36">
        <f t="shared" si="14"/>
        <v>45231</v>
      </c>
      <c r="K150" s="27" t="str">
        <f>IFERROR(__xludf.DUMMYFUNCTION("if(isblank(J150),,index(googlefinance(A150,K$2,J150-1),2,2))"),"#N/A")</f>
        <v>#N/A</v>
      </c>
      <c r="L150" s="37">
        <f t="shared" si="2"/>
        <v>45252</v>
      </c>
      <c r="M150" s="29">
        <f>IFERROR(__xludf.DUMMYFUNCTION("if(isblank(L150),, index(googlefinance(A150,M$2,L150-1),2,2))"),499.44)</f>
        <v>499.44</v>
      </c>
      <c r="N150" s="30">
        <f>IFERROR(__xludf.DUMMYFUNCTION("if(isblank(A150),,googlefinance(A150))"),490.97)</f>
        <v>490.97</v>
      </c>
      <c r="O150" s="31" t="str">
        <f t="shared" si="11"/>
        <v>Completed</v>
      </c>
      <c r="P150" s="32" t="str">
        <f t="shared" si="4"/>
        <v>#N/A</v>
      </c>
      <c r="Q150" s="33" t="str">
        <f t="shared" si="5"/>
        <v>#N/A</v>
      </c>
      <c r="R150" s="31" t="str">
        <f t="shared" si="6"/>
        <v>#N/A</v>
      </c>
      <c r="S150" s="34" t="str">
        <f t="shared" si="12"/>
        <v>#N/A</v>
      </c>
      <c r="T150" s="10" t="str">
        <f t="shared" si="8"/>
        <v>#N/A</v>
      </c>
      <c r="U150" s="11"/>
      <c r="V150" s="12"/>
      <c r="W150" s="12"/>
      <c r="X150" s="12"/>
      <c r="Y150" s="12"/>
      <c r="Z150" s="12"/>
    </row>
    <row r="151" ht="13.5" hidden="1" customHeight="1">
      <c r="A151" s="1" t="s">
        <v>93</v>
      </c>
      <c r="B151" s="35">
        <v>9.0</v>
      </c>
      <c r="C151" s="10">
        <v>39.09</v>
      </c>
      <c r="D151" s="10">
        <v>33.333</v>
      </c>
      <c r="E151" s="10">
        <v>1.157</v>
      </c>
      <c r="F151" s="23">
        <v>45232.0</v>
      </c>
      <c r="G151" s="22"/>
      <c r="H151" s="25">
        <v>45265.0</v>
      </c>
      <c r="I151" s="24"/>
      <c r="J151" s="36">
        <f t="shared" si="14"/>
        <v>45232</v>
      </c>
      <c r="K151" s="27">
        <f>IFERROR(__xludf.DUMMYFUNCTION("if(isblank(J151),,index(googlefinance(A151,K$2,J151-1),2,2))"),300.64)</f>
        <v>300.64</v>
      </c>
      <c r="L151" s="37">
        <f t="shared" si="2"/>
        <v>45265</v>
      </c>
      <c r="M151" s="29">
        <f>IFERROR(__xludf.DUMMYFUNCTION("if(isblank(L151),, index(googlefinance(A151,M$2,L151-1),2,2))"),336.43)</f>
        <v>336.43</v>
      </c>
      <c r="N151" s="30">
        <f>IFERROR(__xludf.DUMMYFUNCTION("if(isblank(A151),,googlefinance(A151))"),336.62)</f>
        <v>336.62</v>
      </c>
      <c r="O151" s="31" t="str">
        <f t="shared" si="11"/>
        <v>Completed</v>
      </c>
      <c r="P151" s="32" t="str">
        <f t="shared" si="4"/>
        <v>Profit</v>
      </c>
      <c r="Q151" s="33">
        <f t="shared" si="5"/>
        <v>107.37</v>
      </c>
      <c r="R151" s="31" t="b">
        <f t="shared" si="6"/>
        <v>1</v>
      </c>
      <c r="S151" s="34">
        <f t="shared" si="12"/>
        <v>35.79</v>
      </c>
      <c r="T151" s="10">
        <f t="shared" si="8"/>
        <v>3</v>
      </c>
      <c r="U151" s="11"/>
      <c r="V151" s="12"/>
      <c r="W151" s="12"/>
      <c r="X151" s="12"/>
      <c r="Y151" s="12"/>
      <c r="Z151" s="12"/>
    </row>
    <row r="152" ht="13.5" hidden="1" customHeight="1">
      <c r="A152" s="19" t="s">
        <v>141</v>
      </c>
      <c r="B152" s="20">
        <v>9.0</v>
      </c>
      <c r="C152" s="21">
        <v>578.77</v>
      </c>
      <c r="D152" s="21">
        <v>44.444</v>
      </c>
      <c r="E152" s="46">
        <v>6.458</v>
      </c>
      <c r="F152" s="23">
        <v>45232.0</v>
      </c>
      <c r="G152" s="22"/>
      <c r="H152" s="25">
        <v>45272.0</v>
      </c>
      <c r="I152" s="24"/>
      <c r="J152" s="36">
        <f t="shared" si="14"/>
        <v>45232</v>
      </c>
      <c r="K152" s="27">
        <f>IFERROR(__xludf.DUMMYFUNCTION("if(isblank(J152),,index(googlefinance(A152,K$2,J152-1),2,2))"),189.38)</f>
        <v>189.38</v>
      </c>
      <c r="L152" s="37">
        <f t="shared" si="2"/>
        <v>45272</v>
      </c>
      <c r="M152" s="29">
        <f>IFERROR(__xludf.DUMMYFUNCTION("if(isblank(L152),, index(googlefinance(A152,M$2,L152-1),2,2))"),248.08)</f>
        <v>248.08</v>
      </c>
      <c r="N152" s="30">
        <f>IFERROR(__xludf.DUMMYFUNCTION("if(isblank(A152),,googlefinance(A152))"),249.0)</f>
        <v>249</v>
      </c>
      <c r="O152" s="31" t="str">
        <f t="shared" si="11"/>
        <v>Completed</v>
      </c>
      <c r="P152" s="32" t="str">
        <f t="shared" si="4"/>
        <v>Profit</v>
      </c>
      <c r="Q152" s="33">
        <f t="shared" si="5"/>
        <v>293.5</v>
      </c>
      <c r="R152" s="31" t="b">
        <f t="shared" si="6"/>
        <v>1</v>
      </c>
      <c r="S152" s="34">
        <f t="shared" si="12"/>
        <v>58.7</v>
      </c>
      <c r="T152" s="10">
        <f t="shared" si="8"/>
        <v>5</v>
      </c>
      <c r="U152" s="11"/>
      <c r="V152" s="12"/>
      <c r="W152" s="12"/>
      <c r="X152" s="12"/>
      <c r="Y152" s="12"/>
      <c r="Z152" s="12"/>
    </row>
    <row r="153" ht="13.5" hidden="1" customHeight="1">
      <c r="A153" s="1" t="s">
        <v>87</v>
      </c>
      <c r="B153" s="35">
        <v>13.0</v>
      </c>
      <c r="C153" s="10">
        <v>173.07</v>
      </c>
      <c r="D153" s="10">
        <v>46.154</v>
      </c>
      <c r="E153" s="10">
        <v>1.741</v>
      </c>
      <c r="F153" s="23">
        <v>45232.0</v>
      </c>
      <c r="G153" s="22"/>
      <c r="H153" s="25">
        <v>45237.0</v>
      </c>
      <c r="I153" s="24"/>
      <c r="J153" s="36">
        <f t="shared" si="14"/>
        <v>45232</v>
      </c>
      <c r="K153" s="27">
        <f>IFERROR(__xludf.DUMMYFUNCTION("if(isblank(J153),,index(googlefinance(A153,K$2,J153-1),2,2))"),65.97)</f>
        <v>65.97</v>
      </c>
      <c r="L153" s="37">
        <f t="shared" si="2"/>
        <v>45237</v>
      </c>
      <c r="M153" s="29">
        <f>IFERROR(__xludf.DUMMYFUNCTION("if(isblank(L153),, index(googlefinance(A153,M$2,L153-1),2,2))"),66.96)</f>
        <v>66.96</v>
      </c>
      <c r="N153" s="30">
        <f>IFERROR(__xludf.DUMMYFUNCTION("if(isblank(A153),,googlefinance(A153))"),75.83)</f>
        <v>75.83</v>
      </c>
      <c r="O153" s="31" t="str">
        <f t="shared" si="11"/>
        <v>Completed</v>
      </c>
      <c r="P153" s="32" t="str">
        <f t="shared" si="4"/>
        <v>Profit</v>
      </c>
      <c r="Q153" s="33">
        <f t="shared" si="5"/>
        <v>14.85</v>
      </c>
      <c r="R153" s="31" t="b">
        <f t="shared" si="6"/>
        <v>1</v>
      </c>
      <c r="S153" s="34">
        <f t="shared" si="12"/>
        <v>0.99</v>
      </c>
      <c r="T153" s="10">
        <f t="shared" si="8"/>
        <v>15</v>
      </c>
      <c r="U153" s="11"/>
      <c r="V153" s="12"/>
      <c r="W153" s="12"/>
      <c r="X153" s="12"/>
      <c r="Y153" s="12"/>
      <c r="Z153" s="12"/>
    </row>
    <row r="154" ht="13.5" hidden="1" customHeight="1">
      <c r="A154" s="1" t="s">
        <v>142</v>
      </c>
      <c r="B154" s="35">
        <v>14.0</v>
      </c>
      <c r="C154" s="10">
        <v>220.57</v>
      </c>
      <c r="D154" s="10">
        <v>57.143</v>
      </c>
      <c r="E154" s="10">
        <v>1.795</v>
      </c>
      <c r="F154" s="23">
        <v>45232.0</v>
      </c>
      <c r="G154" s="22"/>
      <c r="H154" s="25">
        <v>45257.0</v>
      </c>
      <c r="I154" s="24"/>
      <c r="J154" s="36">
        <f t="shared" si="14"/>
        <v>45232</v>
      </c>
      <c r="K154" s="27">
        <f>IFERROR(__xludf.DUMMYFUNCTION("if(isblank(J154),,index(googlefinance(A154,K$2,J154-1),2,2))"),170.53)</f>
        <v>170.53</v>
      </c>
      <c r="L154" s="37">
        <f t="shared" si="2"/>
        <v>45257</v>
      </c>
      <c r="M154" s="29">
        <f>IFERROR(__xludf.DUMMYFUNCTION("if(isblank(L154),, index(googlefinance(A154,M$2,L154-1),2,2))"),187.62)</f>
        <v>187.62</v>
      </c>
      <c r="N154" s="30">
        <f>IFERROR(__xludf.DUMMYFUNCTION("if(isblank(A154),,googlefinance(A154))"),196.35)</f>
        <v>196.35</v>
      </c>
      <c r="O154" s="31" t="str">
        <f t="shared" si="11"/>
        <v>Completed</v>
      </c>
      <c r="P154" s="32" t="str">
        <f t="shared" si="4"/>
        <v>Profit</v>
      </c>
      <c r="Q154" s="33">
        <f t="shared" si="5"/>
        <v>85.45</v>
      </c>
      <c r="R154" s="31" t="b">
        <f t="shared" si="6"/>
        <v>1</v>
      </c>
      <c r="S154" s="34">
        <f t="shared" si="12"/>
        <v>17.09</v>
      </c>
      <c r="T154" s="10">
        <f t="shared" si="8"/>
        <v>5</v>
      </c>
      <c r="U154" s="11"/>
      <c r="V154" s="12"/>
      <c r="W154" s="12"/>
      <c r="X154" s="12"/>
      <c r="Y154" s="12"/>
      <c r="Z154" s="12"/>
    </row>
    <row r="155" ht="13.5" hidden="1" customHeight="1">
      <c r="A155" s="1" t="s">
        <v>143</v>
      </c>
      <c r="B155" s="35">
        <v>11.0</v>
      </c>
      <c r="C155" s="10">
        <v>279.37</v>
      </c>
      <c r="D155" s="10">
        <v>45.455</v>
      </c>
      <c r="E155" s="10">
        <v>2.328</v>
      </c>
      <c r="F155" s="23">
        <v>45232.0</v>
      </c>
      <c r="G155" s="22"/>
      <c r="H155" s="25">
        <v>45258.0</v>
      </c>
      <c r="I155" s="24"/>
      <c r="J155" s="36">
        <f t="shared" si="14"/>
        <v>45232</v>
      </c>
      <c r="K155" s="27">
        <f>IFERROR(__xludf.DUMMYFUNCTION("if(isblank(J155),,index(googlefinance(A155,K$2,J155-1),2,2))"),39.6)</f>
        <v>39.6</v>
      </c>
      <c r="L155" s="37">
        <f t="shared" si="2"/>
        <v>45258</v>
      </c>
      <c r="M155" s="29">
        <f>IFERROR(__xludf.DUMMYFUNCTION("if(isblank(L155),, index(googlefinance(A155,M$2,L155-1),2,2))"),45.08)</f>
        <v>45.08</v>
      </c>
      <c r="N155" s="30">
        <f>IFERROR(__xludf.DUMMYFUNCTION("if(isblank(A155),,googlefinance(A155))"),54.33)</f>
        <v>54.33</v>
      </c>
      <c r="O155" s="31" t="str">
        <f t="shared" si="11"/>
        <v>Completed</v>
      </c>
      <c r="P155" s="32" t="str">
        <f t="shared" si="4"/>
        <v>Profit</v>
      </c>
      <c r="Q155" s="33">
        <f t="shared" si="5"/>
        <v>137</v>
      </c>
      <c r="R155" s="31" t="b">
        <f t="shared" si="6"/>
        <v>1</v>
      </c>
      <c r="S155" s="34">
        <f t="shared" si="12"/>
        <v>5.48</v>
      </c>
      <c r="T155" s="10">
        <f t="shared" si="8"/>
        <v>25</v>
      </c>
      <c r="U155" s="11"/>
      <c r="V155" s="12"/>
      <c r="W155" s="12"/>
      <c r="X155" s="12"/>
      <c r="Y155" s="12"/>
      <c r="Z155" s="12"/>
    </row>
    <row r="156" ht="13.5" hidden="1" customHeight="1">
      <c r="A156" s="1" t="s">
        <v>144</v>
      </c>
      <c r="B156" s="35">
        <v>9.0</v>
      </c>
      <c r="C156" s="10">
        <v>7.38</v>
      </c>
      <c r="D156" s="10">
        <v>44.444</v>
      </c>
      <c r="E156" s="10">
        <v>1.075</v>
      </c>
      <c r="F156" s="23">
        <v>45232.0</v>
      </c>
      <c r="G156" s="22"/>
      <c r="H156" s="25">
        <v>45238.0</v>
      </c>
      <c r="I156" s="24"/>
      <c r="J156" s="36">
        <f t="shared" si="14"/>
        <v>45232</v>
      </c>
      <c r="K156" s="27">
        <f>IFERROR(__xludf.DUMMYFUNCTION("if(isblank(J156),,index(googlefinance(A156,K$2,J156-1),2,2))"),47.74)</f>
        <v>47.74</v>
      </c>
      <c r="L156" s="37">
        <f t="shared" si="2"/>
        <v>45238</v>
      </c>
      <c r="M156" s="29">
        <f>IFERROR(__xludf.DUMMYFUNCTION("if(isblank(L156),, index(googlefinance(A156,M$2,L156-1),2,2))"),49.28)</f>
        <v>49.28</v>
      </c>
      <c r="N156" s="30">
        <f>IFERROR(__xludf.DUMMYFUNCTION("if(isblank(A156),,googlefinance(A156))"),47.33)</f>
        <v>47.33</v>
      </c>
      <c r="O156" s="31" t="str">
        <f t="shared" si="11"/>
        <v>Completed</v>
      </c>
      <c r="P156" s="32" t="str">
        <f t="shared" si="4"/>
        <v>Profit</v>
      </c>
      <c r="Q156" s="33">
        <f t="shared" si="5"/>
        <v>30.8</v>
      </c>
      <c r="R156" s="31" t="b">
        <f t="shared" si="6"/>
        <v>1</v>
      </c>
      <c r="S156" s="34">
        <f t="shared" si="12"/>
        <v>1.54</v>
      </c>
      <c r="T156" s="10">
        <f t="shared" si="8"/>
        <v>20</v>
      </c>
      <c r="U156" s="11"/>
      <c r="V156" s="12"/>
      <c r="W156" s="12"/>
      <c r="X156" s="12"/>
      <c r="Y156" s="12"/>
      <c r="Z156" s="12"/>
    </row>
    <row r="157" ht="13.5" hidden="1" customHeight="1">
      <c r="A157" s="1" t="s">
        <v>38</v>
      </c>
      <c r="B157" s="35">
        <v>8.0</v>
      </c>
      <c r="C157" s="10">
        <v>119.41</v>
      </c>
      <c r="D157" s="10">
        <v>50.0</v>
      </c>
      <c r="E157" s="10">
        <v>3.809</v>
      </c>
      <c r="F157" s="23">
        <v>45232.0</v>
      </c>
      <c r="G157" s="22"/>
      <c r="H157" s="25">
        <v>45264.0</v>
      </c>
      <c r="I157" s="24"/>
      <c r="J157" s="36">
        <f t="shared" si="14"/>
        <v>45232</v>
      </c>
      <c r="K157" s="27">
        <f>IFERROR(__xludf.DUMMYFUNCTION("if(isblank(J157),,index(googlefinance(A157,K$2,J157-1),2,2))"),167.21)</f>
        <v>167.21</v>
      </c>
      <c r="L157" s="37">
        <f t="shared" si="2"/>
        <v>45264</v>
      </c>
      <c r="M157" s="29">
        <f>IFERROR(__xludf.DUMMYFUNCTION("if(isblank(L157),, index(googlefinance(A157,M$2,L157-1),2,2))"),191.44)</f>
        <v>191.44</v>
      </c>
      <c r="N157" s="30">
        <f>IFERROR(__xludf.DUMMYFUNCTION("if(isblank(A157),,googlefinance(A157))"),195.25)</f>
        <v>195.25</v>
      </c>
      <c r="O157" s="31" t="str">
        <f t="shared" si="11"/>
        <v>Completed</v>
      </c>
      <c r="P157" s="32" t="str">
        <f t="shared" si="4"/>
        <v>Profit</v>
      </c>
      <c r="Q157" s="33">
        <f t="shared" si="5"/>
        <v>121.15</v>
      </c>
      <c r="R157" s="31" t="b">
        <f t="shared" si="6"/>
        <v>1</v>
      </c>
      <c r="S157" s="34">
        <f t="shared" si="12"/>
        <v>24.23</v>
      </c>
      <c r="T157" s="10">
        <f t="shared" si="8"/>
        <v>5</v>
      </c>
      <c r="U157" s="11"/>
      <c r="V157" s="12"/>
      <c r="W157" s="12"/>
      <c r="X157" s="12"/>
      <c r="Y157" s="12"/>
      <c r="Z157" s="12"/>
    </row>
    <row r="158" ht="13.5" hidden="1" customHeight="1">
      <c r="A158" s="1" t="s">
        <v>145</v>
      </c>
      <c r="B158" s="35">
        <v>9.0</v>
      </c>
      <c r="C158" s="10">
        <v>46.52</v>
      </c>
      <c r="D158" s="10">
        <v>44.444</v>
      </c>
      <c r="E158" s="10">
        <v>1.336</v>
      </c>
      <c r="F158" s="23">
        <v>45232.0</v>
      </c>
      <c r="G158" s="22"/>
      <c r="H158" s="25">
        <v>45265.0</v>
      </c>
      <c r="I158" s="24"/>
      <c r="J158" s="36">
        <f t="shared" si="14"/>
        <v>45232</v>
      </c>
      <c r="K158" s="27">
        <f>IFERROR(__xludf.DUMMYFUNCTION("if(isblank(J158),,index(googlefinance(A158,K$2,J158-1),2,2))"),307.16)</f>
        <v>307.16</v>
      </c>
      <c r="L158" s="37">
        <f t="shared" si="2"/>
        <v>45265</v>
      </c>
      <c r="M158" s="29">
        <f>IFERROR(__xludf.DUMMYFUNCTION("if(isblank(L158),, index(googlefinance(A158,M$2,L158-1),2,2))"),349.39)</f>
        <v>349.39</v>
      </c>
      <c r="N158" s="30">
        <f>IFERROR(__xludf.DUMMYFUNCTION("if(isblank(A158),,googlefinance(A158))"),386.44)</f>
        <v>386.44</v>
      </c>
      <c r="O158" s="31" t="str">
        <f t="shared" si="11"/>
        <v>Completed</v>
      </c>
      <c r="P158" s="32" t="str">
        <f t="shared" si="4"/>
        <v>Profit</v>
      </c>
      <c r="Q158" s="33">
        <f t="shared" si="5"/>
        <v>126.69</v>
      </c>
      <c r="R158" s="31" t="b">
        <f t="shared" si="6"/>
        <v>1</v>
      </c>
      <c r="S158" s="34">
        <f t="shared" si="12"/>
        <v>42.23</v>
      </c>
      <c r="T158" s="10">
        <f t="shared" si="8"/>
        <v>3</v>
      </c>
      <c r="U158" s="11"/>
      <c r="V158" s="12"/>
      <c r="W158" s="12"/>
      <c r="X158" s="12"/>
      <c r="Y158" s="12"/>
      <c r="Z158" s="12"/>
    </row>
    <row r="159" ht="13.5" hidden="1" customHeight="1">
      <c r="A159" s="1" t="s">
        <v>146</v>
      </c>
      <c r="B159" s="35">
        <v>10.0</v>
      </c>
      <c r="C159" s="10">
        <v>316.97</v>
      </c>
      <c r="D159" s="10">
        <v>40.0</v>
      </c>
      <c r="E159" s="10">
        <v>2.261</v>
      </c>
      <c r="F159" s="23">
        <v>45232.0</v>
      </c>
      <c r="G159" s="22"/>
      <c r="H159" s="25">
        <v>45258.0</v>
      </c>
      <c r="I159" s="24"/>
      <c r="J159" s="36">
        <f t="shared" si="14"/>
        <v>45232</v>
      </c>
      <c r="K159" s="27">
        <f>IFERROR(__xludf.DUMMYFUNCTION("if(isblank(J159),,index(googlefinance(A159,K$2,J159-1),2,2))"),44.72)</f>
        <v>44.72</v>
      </c>
      <c r="L159" s="37">
        <f t="shared" si="2"/>
        <v>45258</v>
      </c>
      <c r="M159" s="29">
        <f>IFERROR(__xludf.DUMMYFUNCTION("if(isblank(L159),, index(googlefinance(A159,M$2,L159-1),2,2))"),52.62)</f>
        <v>52.62</v>
      </c>
      <c r="N159" s="30">
        <f>IFERROR(__xludf.DUMMYFUNCTION("if(isblank(A159),,googlefinance(A159))"),53.83)</f>
        <v>53.83</v>
      </c>
      <c r="O159" s="31" t="str">
        <f t="shared" si="11"/>
        <v>Completed</v>
      </c>
      <c r="P159" s="32" t="str">
        <f t="shared" si="4"/>
        <v>Profit</v>
      </c>
      <c r="Q159" s="33">
        <f t="shared" si="5"/>
        <v>173.8</v>
      </c>
      <c r="R159" s="31" t="b">
        <f t="shared" si="6"/>
        <v>1</v>
      </c>
      <c r="S159" s="34">
        <f t="shared" si="12"/>
        <v>7.9</v>
      </c>
      <c r="T159" s="10">
        <f t="shared" si="8"/>
        <v>22</v>
      </c>
      <c r="U159" s="11"/>
      <c r="V159" s="12"/>
      <c r="W159" s="12"/>
      <c r="X159" s="12"/>
      <c r="Y159" s="12"/>
      <c r="Z159" s="12"/>
    </row>
    <row r="160" ht="13.5" hidden="1" customHeight="1">
      <c r="A160" s="1" t="s">
        <v>147</v>
      </c>
      <c r="B160" s="35">
        <v>16.0</v>
      </c>
      <c r="C160" s="10">
        <v>236.63</v>
      </c>
      <c r="D160" s="10">
        <v>31.25</v>
      </c>
      <c r="E160" s="10">
        <v>1.737</v>
      </c>
      <c r="F160" s="23">
        <v>45232.0</v>
      </c>
      <c r="G160" s="22"/>
      <c r="H160" s="25">
        <v>45258.0</v>
      </c>
      <c r="I160" s="24"/>
      <c r="J160" s="36">
        <f t="shared" si="14"/>
        <v>45232</v>
      </c>
      <c r="K160" s="27">
        <f>IFERROR(__xludf.DUMMYFUNCTION("if(isblank(J160),,index(googlefinance(A160,K$2,J160-1),2,2))"),61.99)</f>
        <v>61.99</v>
      </c>
      <c r="L160" s="37">
        <f t="shared" si="2"/>
        <v>45258</v>
      </c>
      <c r="M160" s="29">
        <f>IFERROR(__xludf.DUMMYFUNCTION("if(isblank(L160),, index(googlefinance(A160,M$2,L160-1),2,2))"),70.78)</f>
        <v>70.78</v>
      </c>
      <c r="N160" s="30">
        <f>IFERROR(__xludf.DUMMYFUNCTION("if(isblank(A160),,googlefinance(A160))"),74.8)</f>
        <v>74.8</v>
      </c>
      <c r="O160" s="31" t="str">
        <f t="shared" si="11"/>
        <v>Completed</v>
      </c>
      <c r="P160" s="32" t="str">
        <f t="shared" si="4"/>
        <v>Profit</v>
      </c>
      <c r="Q160" s="33">
        <f t="shared" si="5"/>
        <v>140.64</v>
      </c>
      <c r="R160" s="31" t="b">
        <f t="shared" si="6"/>
        <v>1</v>
      </c>
      <c r="S160" s="34">
        <f t="shared" si="12"/>
        <v>8.79</v>
      </c>
      <c r="T160" s="10">
        <f t="shared" si="8"/>
        <v>16</v>
      </c>
      <c r="U160" s="11"/>
      <c r="V160" s="12"/>
      <c r="W160" s="12"/>
      <c r="X160" s="12"/>
      <c r="Y160" s="12"/>
      <c r="Z160" s="12"/>
    </row>
    <row r="161" ht="13.5" hidden="1" customHeight="1">
      <c r="A161" s="1" t="s">
        <v>148</v>
      </c>
      <c r="B161" s="35">
        <v>11.0</v>
      </c>
      <c r="C161" s="10">
        <v>131.34</v>
      </c>
      <c r="D161" s="10">
        <v>36.364</v>
      </c>
      <c r="E161" s="10">
        <v>1.63</v>
      </c>
      <c r="F161" s="23">
        <v>45232.0</v>
      </c>
      <c r="G161" s="22"/>
      <c r="H161" s="25">
        <v>45239.0</v>
      </c>
      <c r="I161" s="24"/>
      <c r="J161" s="36">
        <f t="shared" si="14"/>
        <v>45232</v>
      </c>
      <c r="K161" s="27">
        <f>IFERROR(__xludf.DUMMYFUNCTION("if(isblank(J161),,index(googlefinance(A161,K$2,J161-1),2,2))"),112.13)</f>
        <v>112.13</v>
      </c>
      <c r="L161" s="37">
        <f t="shared" si="2"/>
        <v>45239</v>
      </c>
      <c r="M161" s="29">
        <f>IFERROR(__xludf.DUMMYFUNCTION("if(isblank(L161),, index(googlefinance(A161,M$2,L161-1),2,2))"),119.34)</f>
        <v>119.34</v>
      </c>
      <c r="N161" s="30">
        <f>IFERROR(__xludf.DUMMYFUNCTION("if(isblank(A161),,googlefinance(A161))"),138.19)</f>
        <v>138.19</v>
      </c>
      <c r="O161" s="31" t="str">
        <f t="shared" si="11"/>
        <v>Completed</v>
      </c>
      <c r="P161" s="32" t="str">
        <f t="shared" si="4"/>
        <v>Profit</v>
      </c>
      <c r="Q161" s="33">
        <f t="shared" si="5"/>
        <v>57.68</v>
      </c>
      <c r="R161" s="31" t="b">
        <f t="shared" si="6"/>
        <v>1</v>
      </c>
      <c r="S161" s="34">
        <f t="shared" si="12"/>
        <v>7.21</v>
      </c>
      <c r="T161" s="10">
        <f t="shared" si="8"/>
        <v>8</v>
      </c>
      <c r="U161" s="11"/>
      <c r="V161" s="12"/>
      <c r="W161" s="12"/>
      <c r="X161" s="12"/>
      <c r="Y161" s="12"/>
      <c r="Z161" s="12"/>
    </row>
    <row r="162" ht="13.5" hidden="1" customHeight="1">
      <c r="A162" s="1" t="s">
        <v>149</v>
      </c>
      <c r="B162" s="35">
        <v>9.0</v>
      </c>
      <c r="C162" s="10">
        <v>86.22</v>
      </c>
      <c r="D162" s="10">
        <v>55.556</v>
      </c>
      <c r="E162" s="10">
        <v>1.797</v>
      </c>
      <c r="F162" s="23">
        <v>45232.0</v>
      </c>
      <c r="G162" s="22"/>
      <c r="H162" s="25">
        <v>45265.0</v>
      </c>
      <c r="I162" s="24"/>
      <c r="J162" s="36">
        <f t="shared" si="14"/>
        <v>45232</v>
      </c>
      <c r="K162" s="27">
        <f>IFERROR(__xludf.DUMMYFUNCTION("if(isblank(J162),,index(googlefinance(A162,K$2,J162-1),2,2))"),113.46)</f>
        <v>113.46</v>
      </c>
      <c r="L162" s="37">
        <f t="shared" si="2"/>
        <v>45265</v>
      </c>
      <c r="M162" s="29">
        <f>IFERROR(__xludf.DUMMYFUNCTION("if(isblank(L162),, index(googlefinance(A162,M$2,L162-1),2,2))"),140.79)</f>
        <v>140.79</v>
      </c>
      <c r="N162" s="30">
        <f>IFERROR(__xludf.DUMMYFUNCTION("if(isblank(A162),,googlefinance(A162))"),156.23)</f>
        <v>156.23</v>
      </c>
      <c r="O162" s="31" t="str">
        <f t="shared" si="11"/>
        <v>Completed</v>
      </c>
      <c r="P162" s="32" t="str">
        <f t="shared" si="4"/>
        <v>Profit</v>
      </c>
      <c r="Q162" s="33">
        <f t="shared" si="5"/>
        <v>218.64</v>
      </c>
      <c r="R162" s="31" t="b">
        <f t="shared" si="6"/>
        <v>1</v>
      </c>
      <c r="S162" s="34">
        <f t="shared" si="12"/>
        <v>27.33</v>
      </c>
      <c r="T162" s="10">
        <f t="shared" si="8"/>
        <v>8</v>
      </c>
      <c r="U162" s="11"/>
      <c r="V162" s="12"/>
      <c r="W162" s="12"/>
      <c r="X162" s="12"/>
      <c r="Y162" s="12"/>
      <c r="Z162" s="12"/>
    </row>
    <row r="163" ht="13.5" hidden="1" customHeight="1">
      <c r="A163" s="1" t="s">
        <v>79</v>
      </c>
      <c r="B163" s="35">
        <v>13.0</v>
      </c>
      <c r="C163" s="10">
        <v>120.2</v>
      </c>
      <c r="D163" s="10">
        <v>30.769</v>
      </c>
      <c r="E163" s="10">
        <v>2.0</v>
      </c>
      <c r="F163" s="23">
        <v>45232.0</v>
      </c>
      <c r="G163" s="22"/>
      <c r="H163" s="25">
        <v>45264.0</v>
      </c>
      <c r="I163" s="24"/>
      <c r="J163" s="36">
        <f t="shared" si="14"/>
        <v>45232</v>
      </c>
      <c r="K163" s="27">
        <f>IFERROR(__xludf.DUMMYFUNCTION("if(isblank(J163),,index(googlefinance(A163,K$2,J163-1),2,2))"),89.01)</f>
        <v>89.01</v>
      </c>
      <c r="L163" s="37">
        <f t="shared" si="2"/>
        <v>45264</v>
      </c>
      <c r="M163" s="29">
        <f>IFERROR(__xludf.DUMMYFUNCTION("if(isblank(L163),, index(googlefinance(A163,M$2,L163-1),2,2))"),92.93)</f>
        <v>92.93</v>
      </c>
      <c r="N163" s="30">
        <f>IFERROR(__xludf.DUMMYFUNCTION("if(isblank(A163),,googlefinance(A163))"),95.3)</f>
        <v>95.3</v>
      </c>
      <c r="O163" s="31" t="str">
        <f t="shared" si="11"/>
        <v>Completed</v>
      </c>
      <c r="P163" s="32" t="str">
        <f t="shared" si="4"/>
        <v>Profit</v>
      </c>
      <c r="Q163" s="33">
        <f t="shared" si="5"/>
        <v>43.12</v>
      </c>
      <c r="R163" s="31" t="b">
        <f t="shared" si="6"/>
        <v>1</v>
      </c>
      <c r="S163" s="34">
        <f t="shared" si="12"/>
        <v>3.92</v>
      </c>
      <c r="T163" s="10">
        <f t="shared" si="8"/>
        <v>11</v>
      </c>
      <c r="U163" s="11"/>
      <c r="V163" s="12"/>
      <c r="W163" s="12"/>
      <c r="X163" s="12"/>
      <c r="Y163" s="12"/>
      <c r="Z163" s="12"/>
    </row>
    <row r="164" ht="13.5" hidden="1" customHeight="1">
      <c r="A164" s="1" t="s">
        <v>150</v>
      </c>
      <c r="B164" s="35">
        <v>6.0</v>
      </c>
      <c r="C164" s="10">
        <v>107.29</v>
      </c>
      <c r="D164" s="10">
        <v>33.333</v>
      </c>
      <c r="E164" s="10">
        <v>1.649</v>
      </c>
      <c r="F164" s="23">
        <v>45232.0</v>
      </c>
      <c r="G164" s="22"/>
      <c r="H164" s="25">
        <v>45265.0</v>
      </c>
      <c r="I164" s="24"/>
      <c r="J164" s="36">
        <f t="shared" si="14"/>
        <v>45232</v>
      </c>
      <c r="K164" s="27">
        <f>IFERROR(__xludf.DUMMYFUNCTION("if(isblank(J164),,index(googlefinance(A164,K$2,J164-1),2,2))"),64.74)</f>
        <v>64.74</v>
      </c>
      <c r="L164" s="37">
        <f t="shared" si="2"/>
        <v>45265</v>
      </c>
      <c r="M164" s="29">
        <f>IFERROR(__xludf.DUMMYFUNCTION("if(isblank(L164),, index(googlefinance(A164,M$2,L164-1),2,2))"),74.1)</f>
        <v>74.1</v>
      </c>
      <c r="N164" s="30">
        <f>IFERROR(__xludf.DUMMYFUNCTION("if(isblank(A164),,googlefinance(A164))"),78.21)</f>
        <v>78.21</v>
      </c>
      <c r="O164" s="31" t="str">
        <f t="shared" si="11"/>
        <v>Completed</v>
      </c>
      <c r="P164" s="32" t="str">
        <f t="shared" si="4"/>
        <v>Profit</v>
      </c>
      <c r="Q164" s="33">
        <f t="shared" si="5"/>
        <v>140.4</v>
      </c>
      <c r="R164" s="31" t="b">
        <f t="shared" si="6"/>
        <v>1</v>
      </c>
      <c r="S164" s="34">
        <f t="shared" si="12"/>
        <v>9.36</v>
      </c>
      <c r="T164" s="10">
        <f t="shared" si="8"/>
        <v>15</v>
      </c>
      <c r="U164" s="11"/>
      <c r="V164" s="12"/>
      <c r="W164" s="12"/>
      <c r="X164" s="12"/>
      <c r="Y164" s="12"/>
      <c r="Z164" s="12"/>
    </row>
    <row r="165" ht="13.5" hidden="1" customHeight="1">
      <c r="A165" s="1" t="s">
        <v>151</v>
      </c>
      <c r="B165" s="35">
        <v>16.0</v>
      </c>
      <c r="C165" s="10">
        <v>120.15</v>
      </c>
      <c r="D165" s="10">
        <v>37.5</v>
      </c>
      <c r="E165" s="10">
        <v>1.434</v>
      </c>
      <c r="F165" s="23">
        <v>45232.0</v>
      </c>
      <c r="G165" s="22"/>
      <c r="H165" s="25">
        <v>45265.0</v>
      </c>
      <c r="I165" s="24"/>
      <c r="J165" s="36">
        <f t="shared" si="14"/>
        <v>45232</v>
      </c>
      <c r="K165" s="27">
        <f>IFERROR(__xludf.DUMMYFUNCTION("if(isblank(J165),,index(googlefinance(A165,K$2,J165-1),2,2))"),187.51)</f>
        <v>187.51</v>
      </c>
      <c r="L165" s="37">
        <f t="shared" si="2"/>
        <v>45265</v>
      </c>
      <c r="M165" s="29">
        <f>IFERROR(__xludf.DUMMYFUNCTION("if(isblank(L165),, index(googlefinance(A165,M$2,L165-1),2,2))"),229.36)</f>
        <v>229.36</v>
      </c>
      <c r="N165" s="30">
        <f>IFERROR(__xludf.DUMMYFUNCTION("if(isblank(A165),,googlefinance(A165))"),239.46)</f>
        <v>239.46</v>
      </c>
      <c r="O165" s="31" t="str">
        <f t="shared" si="11"/>
        <v>Completed</v>
      </c>
      <c r="P165" s="32" t="str">
        <f t="shared" si="4"/>
        <v>Profit</v>
      </c>
      <c r="Q165" s="33">
        <f t="shared" si="5"/>
        <v>209.25</v>
      </c>
      <c r="R165" s="31" t="b">
        <f t="shared" si="6"/>
        <v>1</v>
      </c>
      <c r="S165" s="34">
        <f t="shared" si="12"/>
        <v>41.85</v>
      </c>
      <c r="T165" s="10">
        <f t="shared" si="8"/>
        <v>5</v>
      </c>
      <c r="U165" s="11"/>
      <c r="V165" s="12"/>
      <c r="W165" s="12"/>
      <c r="X165" s="12"/>
      <c r="Y165" s="12"/>
      <c r="Z165" s="12"/>
    </row>
    <row r="166" ht="13.5" hidden="1" customHeight="1">
      <c r="A166" s="1" t="s">
        <v>152</v>
      </c>
      <c r="B166" s="35">
        <v>16.0</v>
      </c>
      <c r="C166" s="10">
        <v>61.93</v>
      </c>
      <c r="D166" s="10">
        <v>25.0</v>
      </c>
      <c r="E166" s="10">
        <v>1.169</v>
      </c>
      <c r="F166" s="23">
        <v>45232.0</v>
      </c>
      <c r="G166" s="22"/>
      <c r="H166" s="25">
        <v>45239.0</v>
      </c>
      <c r="I166" s="24"/>
      <c r="J166" s="36">
        <f t="shared" si="14"/>
        <v>45232</v>
      </c>
      <c r="K166" s="27">
        <f>IFERROR(__xludf.DUMMYFUNCTION("if(isblank(J166),,index(googlefinance(A166,K$2,J166-1),2,2))"),31.02)</f>
        <v>31.02</v>
      </c>
      <c r="L166" s="37">
        <f t="shared" si="2"/>
        <v>45239</v>
      </c>
      <c r="M166" s="29">
        <f>IFERROR(__xludf.DUMMYFUNCTION("if(isblank(L166),, index(googlefinance(A166,M$2,L166-1),2,2))"),33.76)</f>
        <v>33.76</v>
      </c>
      <c r="N166" s="30">
        <f>IFERROR(__xludf.DUMMYFUNCTION("if(isblank(A166),,googlefinance(A166))"),44.05)</f>
        <v>44.05</v>
      </c>
      <c r="O166" s="31" t="str">
        <f t="shared" si="11"/>
        <v>Completed</v>
      </c>
      <c r="P166" s="32" t="str">
        <f t="shared" si="4"/>
        <v>Profit</v>
      </c>
      <c r="Q166" s="33">
        <f t="shared" si="5"/>
        <v>87.68</v>
      </c>
      <c r="R166" s="31" t="b">
        <f t="shared" si="6"/>
        <v>1</v>
      </c>
      <c r="S166" s="34">
        <f t="shared" si="12"/>
        <v>2.74</v>
      </c>
      <c r="T166" s="10">
        <f t="shared" si="8"/>
        <v>32</v>
      </c>
      <c r="U166" s="11"/>
      <c r="V166" s="12"/>
      <c r="W166" s="12"/>
      <c r="X166" s="12"/>
      <c r="Y166" s="12"/>
      <c r="Z166" s="12"/>
    </row>
    <row r="167" ht="13.5" hidden="1" customHeight="1">
      <c r="A167" s="1" t="s">
        <v>51</v>
      </c>
      <c r="B167" s="35">
        <v>11.0</v>
      </c>
      <c r="C167" s="10">
        <v>240.237</v>
      </c>
      <c r="D167" s="10">
        <v>45.455</v>
      </c>
      <c r="E167" s="10">
        <v>3.455</v>
      </c>
      <c r="F167" s="23">
        <v>45233.0</v>
      </c>
      <c r="G167" s="22"/>
      <c r="H167" s="25">
        <v>45239.0</v>
      </c>
      <c r="I167" s="24"/>
      <c r="J167" s="36">
        <f t="shared" si="14"/>
        <v>45233</v>
      </c>
      <c r="K167" s="27">
        <f>IFERROR(__xludf.DUMMYFUNCTION("if(isblank(J167),,index(googlefinance(A167,K$2,J167-1),2,2))"),255.92)</f>
        <v>255.92</v>
      </c>
      <c r="L167" s="37">
        <f t="shared" si="2"/>
        <v>45239</v>
      </c>
      <c r="M167" s="29">
        <f>IFERROR(__xludf.DUMMYFUNCTION("if(isblank(L167),, index(googlefinance(A167,M$2,L167-1),2,2))"),255.92)</f>
        <v>255.92</v>
      </c>
      <c r="N167" s="30">
        <f>IFERROR(__xludf.DUMMYFUNCTION("if(isblank(A167),,googlefinance(A167))"),242.09)</f>
        <v>242.09</v>
      </c>
      <c r="O167" s="31" t="str">
        <f t="shared" si="11"/>
        <v>Completed</v>
      </c>
      <c r="P167" s="38" t="str">
        <f t="shared" si="4"/>
        <v>Loss</v>
      </c>
      <c r="Q167" s="43">
        <f t="shared" si="5"/>
        <v>0</v>
      </c>
      <c r="R167" s="31" t="b">
        <f t="shared" si="6"/>
        <v>0</v>
      </c>
      <c r="S167" s="34">
        <f t="shared" si="12"/>
        <v>0</v>
      </c>
      <c r="T167" s="10">
        <f t="shared" si="8"/>
        <v>3</v>
      </c>
      <c r="U167" s="11"/>
      <c r="V167" s="12"/>
      <c r="W167" s="12"/>
      <c r="X167" s="12"/>
      <c r="Y167" s="12"/>
      <c r="Z167" s="12"/>
    </row>
    <row r="168" ht="13.5" hidden="1" customHeight="1">
      <c r="A168" s="1" t="s">
        <v>153</v>
      </c>
      <c r="B168" s="35">
        <v>6.0</v>
      </c>
      <c r="C168" s="10">
        <v>43.22</v>
      </c>
      <c r="D168" s="10">
        <v>50.0</v>
      </c>
      <c r="E168" s="10">
        <v>1.69</v>
      </c>
      <c r="F168" s="23">
        <v>45233.0</v>
      </c>
      <c r="G168" s="22"/>
      <c r="H168" s="25">
        <v>45257.0</v>
      </c>
      <c r="I168" s="24"/>
      <c r="J168" s="36">
        <f t="shared" si="14"/>
        <v>45233</v>
      </c>
      <c r="K168" s="27">
        <f>IFERROR(__xludf.DUMMYFUNCTION("if(isblank(J168),,index(googlefinance(A168,K$2,J168-1),2,2))"),241.86)</f>
        <v>241.86</v>
      </c>
      <c r="L168" s="37">
        <f t="shared" si="2"/>
        <v>45257</v>
      </c>
      <c r="M168" s="29">
        <f>IFERROR(__xludf.DUMMYFUNCTION("if(isblank(L168),, index(googlefinance(A168,M$2,L168-1),2,2))"),228.79)</f>
        <v>228.79</v>
      </c>
      <c r="N168" s="30">
        <f>IFERROR(__xludf.DUMMYFUNCTION("if(isblank(A168),,googlefinance(A168))"),257.88)</f>
        <v>257.88</v>
      </c>
      <c r="O168" s="31" t="str">
        <f t="shared" si="11"/>
        <v>Completed</v>
      </c>
      <c r="P168" s="38" t="str">
        <f t="shared" si="4"/>
        <v>Loss</v>
      </c>
      <c r="Q168" s="39">
        <f t="shared" si="5"/>
        <v>-52.28</v>
      </c>
      <c r="R168" s="31" t="b">
        <f t="shared" si="6"/>
        <v>0</v>
      </c>
      <c r="S168" s="34">
        <f t="shared" si="12"/>
        <v>-13.07</v>
      </c>
      <c r="T168" s="10">
        <f t="shared" si="8"/>
        <v>4</v>
      </c>
      <c r="U168" s="11"/>
      <c r="V168" s="12"/>
      <c r="W168" s="12"/>
      <c r="X168" s="12"/>
      <c r="Y168" s="12"/>
      <c r="Z168" s="12"/>
    </row>
    <row r="169" ht="13.5" hidden="1" customHeight="1">
      <c r="A169" s="1" t="s">
        <v>154</v>
      </c>
      <c r="B169" s="35">
        <v>16.0</v>
      </c>
      <c r="C169" s="10">
        <v>417.95</v>
      </c>
      <c r="D169" s="10">
        <v>37.5</v>
      </c>
      <c r="E169" s="47">
        <v>2.915</v>
      </c>
      <c r="F169" s="23">
        <v>45233.0</v>
      </c>
      <c r="G169" s="22"/>
      <c r="H169" s="25">
        <v>45265.0</v>
      </c>
      <c r="I169" s="24"/>
      <c r="J169" s="36">
        <f t="shared" si="14"/>
        <v>45233</v>
      </c>
      <c r="K169" s="27">
        <f>IFERROR(__xludf.DUMMYFUNCTION("if(isblank(J169),,index(googlefinance(A169,K$2,J169-1),2,2))"),644.49)</f>
        <v>644.49</v>
      </c>
      <c r="L169" s="37">
        <f t="shared" si="2"/>
        <v>45265</v>
      </c>
      <c r="M169" s="29">
        <f>IFERROR(__xludf.DUMMYFUNCTION("if(isblank(L169),, index(googlefinance(A169,M$2,L169-1),2,2))"),756.43)</f>
        <v>756.43</v>
      </c>
      <c r="N169" s="30">
        <f>IFERROR(__xludf.DUMMYFUNCTION("if(isblank(A169),,googlefinance(A169))"),782.83)</f>
        <v>782.83</v>
      </c>
      <c r="O169" s="31" t="str">
        <f t="shared" si="11"/>
        <v>Completed</v>
      </c>
      <c r="P169" s="32" t="str">
        <f t="shared" si="4"/>
        <v>Profit</v>
      </c>
      <c r="Q169" s="33">
        <f t="shared" si="5"/>
        <v>111.94</v>
      </c>
      <c r="R169" s="31" t="b">
        <f t="shared" si="6"/>
        <v>1</v>
      </c>
      <c r="S169" s="34">
        <f t="shared" si="12"/>
        <v>111.94</v>
      </c>
      <c r="T169" s="10">
        <f t="shared" si="8"/>
        <v>1</v>
      </c>
      <c r="U169" s="11"/>
      <c r="V169" s="12"/>
      <c r="W169" s="12"/>
      <c r="X169" s="12"/>
      <c r="Y169" s="12"/>
      <c r="Z169" s="12"/>
    </row>
    <row r="170" ht="13.5" hidden="1" customHeight="1">
      <c r="A170" s="1" t="s">
        <v>52</v>
      </c>
      <c r="B170" s="35">
        <v>10.0</v>
      </c>
      <c r="C170" s="10">
        <v>248.28</v>
      </c>
      <c r="D170" s="10">
        <v>60.0</v>
      </c>
      <c r="E170" s="10">
        <v>3.03</v>
      </c>
      <c r="F170" s="23">
        <v>45233.0</v>
      </c>
      <c r="G170" s="22"/>
      <c r="H170" s="25">
        <v>45252.0</v>
      </c>
      <c r="I170" s="24"/>
      <c r="J170" s="36">
        <f t="shared" si="14"/>
        <v>45233</v>
      </c>
      <c r="K170" s="27">
        <f>IFERROR(__xludf.DUMMYFUNCTION("if(isblank(J170),,index(googlefinance(A170,K$2,J170-1),2,2))"),24.9)</f>
        <v>24.9</v>
      </c>
      <c r="L170" s="37">
        <f t="shared" si="2"/>
        <v>45252</v>
      </c>
      <c r="M170" s="29">
        <f>IFERROR(__xludf.DUMMYFUNCTION("if(isblank(L170),, index(googlefinance(A170,M$2,L170-1),2,2))"),26.88)</f>
        <v>26.88</v>
      </c>
      <c r="N170" s="30">
        <f>IFERROR(__xludf.DUMMYFUNCTION("if(isblank(A170),,googlefinance(A170))"),33.37)</f>
        <v>33.37</v>
      </c>
      <c r="O170" s="31" t="str">
        <f t="shared" si="11"/>
        <v>Completed</v>
      </c>
      <c r="P170" s="32" t="str">
        <f t="shared" si="4"/>
        <v>Profit</v>
      </c>
      <c r="Q170" s="33">
        <f t="shared" si="5"/>
        <v>79.2</v>
      </c>
      <c r="R170" s="31" t="b">
        <f t="shared" si="6"/>
        <v>1</v>
      </c>
      <c r="S170" s="34">
        <f t="shared" si="12"/>
        <v>1.98</v>
      </c>
      <c r="T170" s="10">
        <f t="shared" si="8"/>
        <v>40</v>
      </c>
      <c r="U170" s="11"/>
      <c r="V170" s="12"/>
      <c r="W170" s="12"/>
      <c r="X170" s="12"/>
      <c r="Y170" s="12"/>
      <c r="Z170" s="12"/>
    </row>
    <row r="171" ht="13.5" hidden="1" customHeight="1">
      <c r="A171" s="1" t="s">
        <v>60</v>
      </c>
      <c r="B171" s="35">
        <v>11.0</v>
      </c>
      <c r="C171" s="10">
        <v>239.51</v>
      </c>
      <c r="D171" s="10">
        <v>45.455</v>
      </c>
      <c r="E171" s="10">
        <v>2.412</v>
      </c>
      <c r="F171" s="23">
        <v>45233.0</v>
      </c>
      <c r="G171" s="22"/>
      <c r="H171" s="25">
        <v>45238.0</v>
      </c>
      <c r="I171" s="24"/>
      <c r="J171" s="36">
        <f t="shared" si="14"/>
        <v>45233</v>
      </c>
      <c r="K171" s="27">
        <f>IFERROR(__xludf.DUMMYFUNCTION("if(isblank(J171),,index(googlefinance(A171,K$2,J171-1),2,2))"),217.94)</f>
        <v>217.94</v>
      </c>
      <c r="L171" s="37">
        <f t="shared" si="2"/>
        <v>45238</v>
      </c>
      <c r="M171" s="29">
        <f>IFERROR(__xludf.DUMMYFUNCTION("if(isblank(L171),, index(googlefinance(A171,M$2,L171-1),2,2))"),219.64)</f>
        <v>219.64</v>
      </c>
      <c r="N171" s="30">
        <f>IFERROR(__xludf.DUMMYFUNCTION("if(isblank(A171),,googlefinance(A171))"),238.16)</f>
        <v>238.16</v>
      </c>
      <c r="O171" s="31" t="str">
        <f t="shared" si="11"/>
        <v>Completed</v>
      </c>
      <c r="P171" s="32" t="str">
        <f t="shared" si="4"/>
        <v>Profit</v>
      </c>
      <c r="Q171" s="33">
        <f t="shared" si="5"/>
        <v>6.8</v>
      </c>
      <c r="R171" s="31" t="b">
        <f t="shared" si="6"/>
        <v>1</v>
      </c>
      <c r="S171" s="34">
        <f t="shared" si="12"/>
        <v>1.7</v>
      </c>
      <c r="T171" s="10">
        <f t="shared" si="8"/>
        <v>4</v>
      </c>
      <c r="U171" s="11"/>
      <c r="V171" s="12"/>
      <c r="W171" s="12"/>
      <c r="X171" s="12"/>
      <c r="Y171" s="12"/>
      <c r="Z171" s="12"/>
    </row>
    <row r="172" ht="13.5" hidden="1" customHeight="1">
      <c r="A172" s="1" t="s">
        <v>155</v>
      </c>
      <c r="B172" s="35">
        <v>11.0</v>
      </c>
      <c r="C172" s="10">
        <v>72.81</v>
      </c>
      <c r="D172" s="10">
        <v>54.545</v>
      </c>
      <c r="E172" s="10">
        <v>1.624</v>
      </c>
      <c r="F172" s="23">
        <v>45233.0</v>
      </c>
      <c r="G172" s="22"/>
      <c r="H172" s="25">
        <v>45239.0</v>
      </c>
      <c r="I172" s="24"/>
      <c r="J172" s="36">
        <f t="shared" si="14"/>
        <v>45233</v>
      </c>
      <c r="K172" s="27">
        <f>IFERROR(__xludf.DUMMYFUNCTION("if(isblank(J172),,index(googlefinance(A172,K$2,J172-1),2,2))"),52.75)</f>
        <v>52.75</v>
      </c>
      <c r="L172" s="37">
        <f t="shared" si="2"/>
        <v>45239</v>
      </c>
      <c r="M172" s="29">
        <f>IFERROR(__xludf.DUMMYFUNCTION("if(isblank(L172),, index(googlefinance(A172,M$2,L172-1),2,2))"),53.0)</f>
        <v>53</v>
      </c>
      <c r="N172" s="30">
        <f>IFERROR(__xludf.DUMMYFUNCTION("if(isblank(A172),,googlefinance(A172))"),50.09)</f>
        <v>50.09</v>
      </c>
      <c r="O172" s="31" t="str">
        <f t="shared" si="11"/>
        <v>Completed</v>
      </c>
      <c r="P172" s="32" t="str">
        <f t="shared" si="4"/>
        <v>Profit</v>
      </c>
      <c r="Q172" s="33">
        <f t="shared" si="5"/>
        <v>4.5</v>
      </c>
      <c r="R172" s="31" t="b">
        <f t="shared" si="6"/>
        <v>1</v>
      </c>
      <c r="S172" s="34">
        <f t="shared" si="12"/>
        <v>0.25</v>
      </c>
      <c r="T172" s="10">
        <f t="shared" si="8"/>
        <v>18</v>
      </c>
      <c r="U172" s="11"/>
      <c r="V172" s="12"/>
      <c r="W172" s="12"/>
      <c r="X172" s="12"/>
      <c r="Y172" s="12"/>
      <c r="Z172" s="12"/>
    </row>
    <row r="173" ht="13.5" hidden="1" customHeight="1">
      <c r="A173" s="1" t="s">
        <v>156</v>
      </c>
      <c r="B173" s="35">
        <v>9.0</v>
      </c>
      <c r="C173" s="10">
        <v>190.02</v>
      </c>
      <c r="D173" s="10">
        <v>33.333</v>
      </c>
      <c r="E173" s="10">
        <v>1.749</v>
      </c>
      <c r="F173" s="23">
        <v>45233.0</v>
      </c>
      <c r="G173" s="22"/>
      <c r="H173" s="25">
        <v>45265.0</v>
      </c>
      <c r="I173" s="24"/>
      <c r="J173" s="36">
        <f t="shared" si="14"/>
        <v>45233</v>
      </c>
      <c r="K173" s="27">
        <f>IFERROR(__xludf.DUMMYFUNCTION("if(isblank(J173),,index(googlefinance(A173,K$2,J173-1),2,2))"),94.84)</f>
        <v>94.84</v>
      </c>
      <c r="L173" s="37">
        <f t="shared" si="2"/>
        <v>45265</v>
      </c>
      <c r="M173" s="29">
        <f>IFERROR(__xludf.DUMMYFUNCTION("if(isblank(L173),, index(googlefinance(A173,M$2,L173-1),2,2))"),139.82)</f>
        <v>139.82</v>
      </c>
      <c r="N173" s="30">
        <f>IFERROR(__xludf.DUMMYFUNCTION("if(isblank(A173),,googlefinance(A173))"),146.32)</f>
        <v>146.32</v>
      </c>
      <c r="O173" s="31" t="str">
        <f t="shared" si="11"/>
        <v>Completed</v>
      </c>
      <c r="P173" s="32" t="str">
        <f t="shared" si="4"/>
        <v>Profit</v>
      </c>
      <c r="Q173" s="33">
        <f t="shared" si="5"/>
        <v>449.8</v>
      </c>
      <c r="R173" s="31" t="b">
        <f t="shared" si="6"/>
        <v>1</v>
      </c>
      <c r="S173" s="34">
        <f t="shared" si="12"/>
        <v>44.98</v>
      </c>
      <c r="T173" s="10">
        <f t="shared" si="8"/>
        <v>10</v>
      </c>
      <c r="U173" s="11"/>
      <c r="V173" s="12"/>
      <c r="W173" s="12"/>
      <c r="X173" s="12"/>
      <c r="Y173" s="12"/>
      <c r="Z173" s="12"/>
    </row>
    <row r="174" ht="13.5" hidden="1" customHeight="1">
      <c r="A174" s="1" t="s">
        <v>157</v>
      </c>
      <c r="B174" s="35">
        <v>15.0</v>
      </c>
      <c r="C174" s="10">
        <v>86.63</v>
      </c>
      <c r="D174" s="10">
        <v>46.667</v>
      </c>
      <c r="E174" s="10">
        <v>1.311</v>
      </c>
      <c r="F174" s="23">
        <v>45233.0</v>
      </c>
      <c r="G174" s="22"/>
      <c r="H174" s="25">
        <v>45258.0</v>
      </c>
      <c r="I174" s="24"/>
      <c r="J174" s="36">
        <f t="shared" si="14"/>
        <v>45233</v>
      </c>
      <c r="K174" s="27">
        <f>IFERROR(__xludf.DUMMYFUNCTION("if(isblank(J174),,index(googlefinance(A174,K$2,J174-1),2,2))"),419.44)</f>
        <v>419.44</v>
      </c>
      <c r="L174" s="37">
        <f t="shared" si="2"/>
        <v>45258</v>
      </c>
      <c r="M174" s="29">
        <f>IFERROR(__xludf.DUMMYFUNCTION("if(isblank(L174),, index(googlefinance(A174,M$2,L174-1),2,2))"),479.63)</f>
        <v>479.63</v>
      </c>
      <c r="N174" s="30">
        <f>IFERROR(__xludf.DUMMYFUNCTION("if(isblank(A174),,googlefinance(A174))"),537.36)</f>
        <v>537.36</v>
      </c>
      <c r="O174" s="31" t="str">
        <f t="shared" si="11"/>
        <v>Completed</v>
      </c>
      <c r="P174" s="32" t="str">
        <f t="shared" si="4"/>
        <v>Profit</v>
      </c>
      <c r="Q174" s="33">
        <f t="shared" si="5"/>
        <v>120.38</v>
      </c>
      <c r="R174" s="31" t="b">
        <f t="shared" si="6"/>
        <v>1</v>
      </c>
      <c r="S174" s="34">
        <f t="shared" si="12"/>
        <v>60.19</v>
      </c>
      <c r="T174" s="10">
        <f t="shared" si="8"/>
        <v>2</v>
      </c>
      <c r="U174" s="11"/>
      <c r="V174" s="12"/>
      <c r="W174" s="12"/>
      <c r="X174" s="12"/>
      <c r="Y174" s="12"/>
      <c r="Z174" s="12"/>
    </row>
    <row r="175" ht="13.5" hidden="1" customHeight="1">
      <c r="A175" s="1" t="s">
        <v>158</v>
      </c>
      <c r="B175" s="35">
        <v>5.0</v>
      </c>
      <c r="C175" s="10">
        <v>60.66</v>
      </c>
      <c r="D175" s="10">
        <v>60.0</v>
      </c>
      <c r="E175" s="10">
        <v>1.856</v>
      </c>
      <c r="F175" s="23">
        <v>45233.0</v>
      </c>
      <c r="G175" s="22"/>
      <c r="H175" s="25">
        <v>45239.0</v>
      </c>
      <c r="I175" s="24"/>
      <c r="J175" s="36">
        <f t="shared" si="14"/>
        <v>45233</v>
      </c>
      <c r="K175" s="27">
        <f>IFERROR(__xludf.DUMMYFUNCTION("if(isblank(J175),,index(googlefinance(A175,K$2,J175-1),2,2))"),123.2)</f>
        <v>123.2</v>
      </c>
      <c r="L175" s="37">
        <f t="shared" si="2"/>
        <v>45239</v>
      </c>
      <c r="M175" s="29">
        <f>IFERROR(__xludf.DUMMYFUNCTION("if(isblank(L175),, index(googlefinance(A175,M$2,L175-1),2,2))"),124.79)</f>
        <v>124.79</v>
      </c>
      <c r="N175" s="30">
        <f>IFERROR(__xludf.DUMMYFUNCTION("if(isblank(A175),,googlefinance(A175))"),148.96)</f>
        <v>148.96</v>
      </c>
      <c r="O175" s="31" t="str">
        <f t="shared" si="11"/>
        <v>Completed</v>
      </c>
      <c r="P175" s="32" t="str">
        <f t="shared" si="4"/>
        <v>Profit</v>
      </c>
      <c r="Q175" s="33">
        <f t="shared" si="5"/>
        <v>12.72</v>
      </c>
      <c r="R175" s="31" t="b">
        <f t="shared" si="6"/>
        <v>1</v>
      </c>
      <c r="S175" s="34">
        <f t="shared" si="12"/>
        <v>1.59</v>
      </c>
      <c r="T175" s="10">
        <f t="shared" si="8"/>
        <v>8</v>
      </c>
      <c r="U175" s="11"/>
      <c r="V175" s="12"/>
      <c r="W175" s="12"/>
      <c r="X175" s="12"/>
      <c r="Y175" s="12"/>
      <c r="Z175" s="12"/>
    </row>
    <row r="176" ht="13.5" hidden="1" customHeight="1">
      <c r="A176" s="1" t="s">
        <v>159</v>
      </c>
      <c r="B176" s="35">
        <v>14.0</v>
      </c>
      <c r="C176" s="10">
        <v>159.96</v>
      </c>
      <c r="D176" s="10">
        <v>50.0</v>
      </c>
      <c r="E176" s="10">
        <v>1.676</v>
      </c>
      <c r="F176" s="23">
        <v>45233.0</v>
      </c>
      <c r="G176" s="22"/>
      <c r="H176" s="25">
        <v>45264.0</v>
      </c>
      <c r="I176" s="24"/>
      <c r="J176" s="36">
        <f t="shared" si="14"/>
        <v>45233</v>
      </c>
      <c r="K176" s="27">
        <f>IFERROR(__xludf.DUMMYFUNCTION("if(isblank(J176),,index(googlefinance(A176,K$2,J176-1),2,2))"),124.92)</f>
        <v>124.92</v>
      </c>
      <c r="L176" s="37">
        <f t="shared" si="2"/>
        <v>45264</v>
      </c>
      <c r="M176" s="29">
        <f>IFERROR(__xludf.DUMMYFUNCTION("if(isblank(L176),, index(googlefinance(A176,M$2,L176-1),2,2))"),143.15)</f>
        <v>143.15</v>
      </c>
      <c r="N176" s="30">
        <f>IFERROR(__xludf.DUMMYFUNCTION("if(isblank(A176),,googlefinance(A176))"),145.94)</f>
        <v>145.94</v>
      </c>
      <c r="O176" s="31" t="str">
        <f t="shared" si="11"/>
        <v>Completed</v>
      </c>
      <c r="P176" s="32" t="str">
        <f t="shared" si="4"/>
        <v>Profit</v>
      </c>
      <c r="Q176" s="33">
        <f t="shared" si="5"/>
        <v>145.84</v>
      </c>
      <c r="R176" s="31" t="b">
        <f t="shared" si="6"/>
        <v>1</v>
      </c>
      <c r="S176" s="34">
        <f t="shared" si="12"/>
        <v>18.23</v>
      </c>
      <c r="T176" s="10">
        <f t="shared" si="8"/>
        <v>8</v>
      </c>
      <c r="U176" s="11"/>
      <c r="V176" s="12"/>
      <c r="W176" s="12"/>
      <c r="X176" s="12"/>
      <c r="Y176" s="12"/>
      <c r="Z176" s="12"/>
    </row>
    <row r="177" ht="13.5" hidden="1" customHeight="1">
      <c r="A177" s="1" t="s">
        <v>160</v>
      </c>
      <c r="B177" s="35">
        <v>10.0</v>
      </c>
      <c r="C177" s="10">
        <v>220.57</v>
      </c>
      <c r="D177" s="10">
        <v>40.0</v>
      </c>
      <c r="E177" s="10">
        <v>3.069</v>
      </c>
      <c r="F177" s="23">
        <v>45233.0</v>
      </c>
      <c r="G177" s="22"/>
      <c r="H177" s="25">
        <v>45239.0</v>
      </c>
      <c r="I177" s="24"/>
      <c r="J177" s="36">
        <f t="shared" si="14"/>
        <v>45233</v>
      </c>
      <c r="K177" s="27">
        <f>IFERROR(__xludf.DUMMYFUNCTION("if(isblank(J177),,index(googlefinance(A177,K$2,J177-1),2,2))"),248.26)</f>
        <v>248.26</v>
      </c>
      <c r="L177" s="37">
        <f t="shared" si="2"/>
        <v>45239</v>
      </c>
      <c r="M177" s="29">
        <f>IFERROR(__xludf.DUMMYFUNCTION("if(isblank(L177),, index(googlefinance(A177,M$2,L177-1),2,2))"),250.69)</f>
        <v>250.69</v>
      </c>
      <c r="N177" s="30">
        <f>IFERROR(__xludf.DUMMYFUNCTION("if(isblank(A177),,googlefinance(A177))"),298.61)</f>
        <v>298.61</v>
      </c>
      <c r="O177" s="31" t="str">
        <f t="shared" si="11"/>
        <v>Completed</v>
      </c>
      <c r="P177" s="32" t="str">
        <f t="shared" si="4"/>
        <v>Profit</v>
      </c>
      <c r="Q177" s="33">
        <f t="shared" si="5"/>
        <v>9.72</v>
      </c>
      <c r="R177" s="31" t="b">
        <f t="shared" si="6"/>
        <v>1</v>
      </c>
      <c r="S177" s="34">
        <f t="shared" si="12"/>
        <v>2.43</v>
      </c>
      <c r="T177" s="10">
        <f t="shared" si="8"/>
        <v>4</v>
      </c>
      <c r="U177" s="11"/>
      <c r="V177" s="12"/>
      <c r="W177" s="12"/>
      <c r="X177" s="12"/>
      <c r="Y177" s="12"/>
      <c r="Z177" s="12"/>
    </row>
    <row r="178" ht="13.5" hidden="1" customHeight="1">
      <c r="A178" s="1" t="s">
        <v>59</v>
      </c>
      <c r="B178" s="35">
        <v>16.0</v>
      </c>
      <c r="C178" s="10">
        <v>63.6</v>
      </c>
      <c r="D178" s="10">
        <v>31.25</v>
      </c>
      <c r="E178" s="47">
        <v>1.201</v>
      </c>
      <c r="F178" s="23">
        <v>45233.0</v>
      </c>
      <c r="G178" s="22"/>
      <c r="H178" s="25">
        <v>45265.0</v>
      </c>
      <c r="I178" s="24"/>
      <c r="J178" s="36">
        <f t="shared" si="14"/>
        <v>45233</v>
      </c>
      <c r="K178" s="27">
        <f>IFERROR(__xludf.DUMMYFUNCTION("if(isblank(J178),,index(googlefinance(A178,K$2,J178-1),2,2))"),212.92)</f>
        <v>212.92</v>
      </c>
      <c r="L178" s="37">
        <f t="shared" si="2"/>
        <v>45265</v>
      </c>
      <c r="M178" s="29">
        <f>IFERROR(__xludf.DUMMYFUNCTION("if(isblank(L178),, index(googlefinance(A178,M$2,L178-1),2,2))"),269.22)</f>
        <v>269.22</v>
      </c>
      <c r="N178" s="30">
        <f>IFERROR(__xludf.DUMMYFUNCTION("if(isblank(A178),,googlefinance(A178))"),265.8)</f>
        <v>265.8</v>
      </c>
      <c r="O178" s="31" t="str">
        <f t="shared" si="11"/>
        <v>Completed</v>
      </c>
      <c r="P178" s="32" t="str">
        <f t="shared" si="4"/>
        <v>Profit</v>
      </c>
      <c r="Q178" s="33">
        <f t="shared" si="5"/>
        <v>225.2</v>
      </c>
      <c r="R178" s="31" t="b">
        <f t="shared" si="6"/>
        <v>1</v>
      </c>
      <c r="S178" s="34">
        <f t="shared" si="12"/>
        <v>56.3</v>
      </c>
      <c r="T178" s="10">
        <f t="shared" si="8"/>
        <v>4</v>
      </c>
      <c r="U178" s="11"/>
      <c r="V178" s="12"/>
      <c r="W178" s="12"/>
      <c r="X178" s="12"/>
      <c r="Y178" s="12"/>
      <c r="Z178" s="12"/>
    </row>
    <row r="179" ht="13.5" hidden="1" customHeight="1">
      <c r="A179" s="19" t="s">
        <v>45</v>
      </c>
      <c r="B179" s="20">
        <v>7.0</v>
      </c>
      <c r="C179" s="21">
        <v>32.79</v>
      </c>
      <c r="D179" s="21">
        <v>28.571</v>
      </c>
      <c r="E179" s="21">
        <v>1.339</v>
      </c>
      <c r="F179" s="23">
        <v>45234.0</v>
      </c>
      <c r="G179" s="22"/>
      <c r="H179" s="25">
        <v>45274.0</v>
      </c>
      <c r="I179" s="24"/>
      <c r="J179" s="36">
        <f t="shared" si="14"/>
        <v>45234</v>
      </c>
      <c r="K179" s="27">
        <f>IFERROR(__xludf.DUMMYFUNCTION("if(isblank(J179),,index(googlefinance(A179,K$2,J179-1),2,2))"),144.85)</f>
        <v>144.85</v>
      </c>
      <c r="L179" s="37">
        <f t="shared" si="2"/>
        <v>45274</v>
      </c>
      <c r="M179" s="29">
        <f>IFERROR(__xludf.DUMMYFUNCTION("if(isblank(L179),, index(googlefinance(A179,M$2,L179-1),2,2))"),168.17)</f>
        <v>168.17</v>
      </c>
      <c r="N179" s="30">
        <f>IFERROR(__xludf.DUMMYFUNCTION("if(isblank(A179),,googlefinance(A179))"),166.72)</f>
        <v>166.72</v>
      </c>
      <c r="O179" s="31" t="str">
        <f t="shared" si="11"/>
        <v>Completed</v>
      </c>
      <c r="P179" s="32" t="str">
        <f t="shared" si="4"/>
        <v>Profit</v>
      </c>
      <c r="Q179" s="33">
        <f t="shared" si="5"/>
        <v>139.92</v>
      </c>
      <c r="R179" s="31" t="b">
        <f t="shared" si="6"/>
        <v>1</v>
      </c>
      <c r="S179" s="34">
        <f t="shared" si="12"/>
        <v>23.32</v>
      </c>
      <c r="T179" s="10">
        <f t="shared" si="8"/>
        <v>6</v>
      </c>
      <c r="U179" s="11"/>
      <c r="V179" s="12"/>
      <c r="W179" s="12"/>
      <c r="X179" s="12"/>
      <c r="Y179" s="12"/>
      <c r="Z179" s="12"/>
    </row>
    <row r="180" ht="13.5" hidden="1" customHeight="1">
      <c r="A180" s="1" t="s">
        <v>57</v>
      </c>
      <c r="B180" s="35">
        <v>18.0</v>
      </c>
      <c r="C180" s="10">
        <v>8.22</v>
      </c>
      <c r="D180" s="10">
        <v>11.111</v>
      </c>
      <c r="E180" s="10">
        <v>1.07</v>
      </c>
      <c r="F180" s="23">
        <v>45236.0</v>
      </c>
      <c r="G180" s="22"/>
      <c r="H180" s="25">
        <v>45254.0</v>
      </c>
      <c r="I180" s="24"/>
      <c r="J180" s="36">
        <f t="shared" si="14"/>
        <v>45236</v>
      </c>
      <c r="K180" s="27">
        <f>IFERROR(__xludf.DUMMYFUNCTION("if(isblank(J180),,index(googlefinance(A180,K$2,J180-1),2,2))"),2971.43)</f>
        <v>2971.43</v>
      </c>
      <c r="L180" s="37">
        <f t="shared" si="2"/>
        <v>45254</v>
      </c>
      <c r="M180" s="29">
        <f>IFERROR(__xludf.DUMMYFUNCTION("if(isblank(L180),, index(googlefinance(A180,M$2,L180-1),2,2))"),3115.59)</f>
        <v>3115.59</v>
      </c>
      <c r="N180" s="30">
        <f>IFERROR(__xludf.DUMMYFUNCTION("if(isblank(A180),,googlefinance(A180))"),3408.14)</f>
        <v>3408.14</v>
      </c>
      <c r="O180" s="31" t="str">
        <f t="shared" si="11"/>
        <v>Completed</v>
      </c>
      <c r="P180" s="32" t="str">
        <f t="shared" si="4"/>
        <v>Profit</v>
      </c>
      <c r="Q180" s="43">
        <f t="shared" si="5"/>
        <v>0</v>
      </c>
      <c r="R180" s="31" t="b">
        <f t="shared" si="6"/>
        <v>0</v>
      </c>
      <c r="S180" s="34">
        <f t="shared" si="12"/>
        <v>144.16</v>
      </c>
      <c r="T180" s="10">
        <f t="shared" si="8"/>
        <v>0</v>
      </c>
      <c r="U180" s="11"/>
      <c r="V180" s="12"/>
      <c r="W180" s="12"/>
      <c r="X180" s="12"/>
      <c r="Y180" s="12"/>
      <c r="Z180" s="12"/>
    </row>
    <row r="181" ht="13.5" hidden="1" customHeight="1">
      <c r="A181" s="1" t="s">
        <v>161</v>
      </c>
      <c r="B181" s="35">
        <v>10.0</v>
      </c>
      <c r="C181" s="10">
        <v>200.61</v>
      </c>
      <c r="D181" s="10">
        <v>50.0</v>
      </c>
      <c r="E181" s="10">
        <v>3.113</v>
      </c>
      <c r="F181" s="23">
        <v>45236.0</v>
      </c>
      <c r="G181" s="22"/>
      <c r="H181" s="25">
        <v>45259.0</v>
      </c>
      <c r="I181" s="24"/>
      <c r="J181" s="36">
        <f t="shared" si="14"/>
        <v>45236</v>
      </c>
      <c r="K181" s="27">
        <f>IFERROR(__xludf.DUMMYFUNCTION("if(isblank(J181),,index(googlefinance(A181,K$2,J181-1),2,2))"),129.0)</f>
        <v>129</v>
      </c>
      <c r="L181" s="37">
        <f t="shared" si="2"/>
        <v>45259</v>
      </c>
      <c r="M181" s="29">
        <f>IFERROR(__xludf.DUMMYFUNCTION("if(isblank(L181),, index(googlefinance(A181,M$2,L181-1),2,2))"),144.11)</f>
        <v>144.11</v>
      </c>
      <c r="N181" s="30">
        <f>IFERROR(__xludf.DUMMYFUNCTION("if(isblank(A181),,googlefinance(A181))"),141.29)</f>
        <v>141.29</v>
      </c>
      <c r="O181" s="31" t="str">
        <f t="shared" si="11"/>
        <v>Completed</v>
      </c>
      <c r="P181" s="32" t="str">
        <f t="shared" si="4"/>
        <v>Profit</v>
      </c>
      <c r="Q181" s="33">
        <f t="shared" si="5"/>
        <v>105.77</v>
      </c>
      <c r="R181" s="31" t="b">
        <f t="shared" si="6"/>
        <v>1</v>
      </c>
      <c r="S181" s="34">
        <f t="shared" si="12"/>
        <v>15.11</v>
      </c>
      <c r="T181" s="10">
        <f t="shared" si="8"/>
        <v>7</v>
      </c>
      <c r="U181" s="11"/>
      <c r="V181" s="12"/>
      <c r="W181" s="12"/>
      <c r="X181" s="12"/>
      <c r="Y181" s="12"/>
      <c r="Z181" s="12"/>
    </row>
    <row r="182" ht="13.5" hidden="1" customHeight="1">
      <c r="A182" s="1" t="s">
        <v>162</v>
      </c>
      <c r="B182" s="35">
        <v>14.0</v>
      </c>
      <c r="C182" s="10">
        <v>435.78</v>
      </c>
      <c r="D182" s="10">
        <v>35.714</v>
      </c>
      <c r="E182" s="47">
        <v>2.006</v>
      </c>
      <c r="F182" s="23">
        <v>45236.0</v>
      </c>
      <c r="G182" s="22"/>
      <c r="H182" s="25">
        <v>45265.0</v>
      </c>
      <c r="I182" s="24"/>
      <c r="J182" s="36">
        <f t="shared" si="14"/>
        <v>45236</v>
      </c>
      <c r="K182" s="27">
        <f>IFERROR(__xludf.DUMMYFUNCTION("if(isblank(J182),,index(googlefinance(A182,K$2,J182-1),2,2))"),32.92)</f>
        <v>32.92</v>
      </c>
      <c r="L182" s="37">
        <f t="shared" si="2"/>
        <v>45265</v>
      </c>
      <c r="M182" s="29">
        <f>IFERROR(__xludf.DUMMYFUNCTION("if(isblank(L182),, index(googlefinance(A182,M$2,L182-1),2,2))"),38.16)</f>
        <v>38.16</v>
      </c>
      <c r="N182" s="30">
        <f>IFERROR(__xludf.DUMMYFUNCTION("if(isblank(A182),,googlefinance(A182))"),40.54)</f>
        <v>40.54</v>
      </c>
      <c r="O182" s="31" t="str">
        <f t="shared" si="11"/>
        <v>Completed</v>
      </c>
      <c r="P182" s="32" t="str">
        <f t="shared" si="4"/>
        <v>Profit</v>
      </c>
      <c r="Q182" s="33">
        <f t="shared" si="5"/>
        <v>157.2</v>
      </c>
      <c r="R182" s="31" t="b">
        <f t="shared" si="6"/>
        <v>1</v>
      </c>
      <c r="S182" s="34">
        <f t="shared" si="12"/>
        <v>5.24</v>
      </c>
      <c r="T182" s="10">
        <f t="shared" si="8"/>
        <v>30</v>
      </c>
      <c r="U182" s="11"/>
      <c r="V182" s="12"/>
      <c r="W182" s="12"/>
      <c r="X182" s="12"/>
      <c r="Y182" s="12"/>
      <c r="Z182" s="12"/>
    </row>
    <row r="183" ht="13.5" hidden="1" customHeight="1">
      <c r="A183" s="1" t="s">
        <v>163</v>
      </c>
      <c r="B183" s="35">
        <v>14.0</v>
      </c>
      <c r="C183" s="10">
        <v>62.52</v>
      </c>
      <c r="D183" s="10">
        <v>42.857</v>
      </c>
      <c r="E183" s="10">
        <v>1.417</v>
      </c>
      <c r="F183" s="23">
        <v>45236.0</v>
      </c>
      <c r="G183" s="22"/>
      <c r="H183" s="25">
        <v>45237.0</v>
      </c>
      <c r="I183" s="24"/>
      <c r="J183" s="36">
        <f t="shared" si="14"/>
        <v>45236</v>
      </c>
      <c r="K183" s="27">
        <f>IFERROR(__xludf.DUMMYFUNCTION("if(isblank(J183),,index(googlefinance(A183,K$2,J183-1),2,2))"),132.76)</f>
        <v>132.76</v>
      </c>
      <c r="L183" s="37">
        <f t="shared" si="2"/>
        <v>45237</v>
      </c>
      <c r="M183" s="29">
        <f>IFERROR(__xludf.DUMMYFUNCTION("if(isblank(L183),, index(googlefinance(A183,M$2,L183-1),2,2))"),132.76)</f>
        <v>132.76</v>
      </c>
      <c r="N183" s="30">
        <f>IFERROR(__xludf.DUMMYFUNCTION("if(isblank(A183),,googlefinance(A183))"),147.49)</f>
        <v>147.49</v>
      </c>
      <c r="O183" s="31" t="str">
        <f t="shared" si="11"/>
        <v>Completed</v>
      </c>
      <c r="P183" s="38" t="str">
        <f t="shared" si="4"/>
        <v>Loss</v>
      </c>
      <c r="Q183" s="43">
        <f t="shared" si="5"/>
        <v>0</v>
      </c>
      <c r="R183" s="31" t="b">
        <f t="shared" si="6"/>
        <v>0</v>
      </c>
      <c r="S183" s="34">
        <f t="shared" si="12"/>
        <v>0</v>
      </c>
      <c r="T183" s="10">
        <f t="shared" si="8"/>
        <v>7</v>
      </c>
      <c r="U183" s="11"/>
      <c r="V183" s="12"/>
      <c r="W183" s="12"/>
      <c r="X183" s="12"/>
      <c r="Y183" s="12"/>
      <c r="Z183" s="12"/>
    </row>
    <row r="184" ht="13.5" hidden="1" customHeight="1">
      <c r="A184" s="1" t="s">
        <v>164</v>
      </c>
      <c r="B184" s="35">
        <v>11.0</v>
      </c>
      <c r="C184" s="10">
        <v>0.87</v>
      </c>
      <c r="D184" s="10">
        <v>36.364</v>
      </c>
      <c r="E184" s="10">
        <v>1.007</v>
      </c>
      <c r="F184" s="23">
        <v>45236.0</v>
      </c>
      <c r="G184" s="22"/>
      <c r="H184" s="25">
        <v>45237.0</v>
      </c>
      <c r="I184" s="24"/>
      <c r="J184" s="36">
        <f t="shared" si="14"/>
        <v>45236</v>
      </c>
      <c r="K184" s="27">
        <f>IFERROR(__xludf.DUMMYFUNCTION("if(isblank(J184),,index(googlefinance(A184,K$2,J184-1),2,2))"),91.74)</f>
        <v>91.74</v>
      </c>
      <c r="L184" s="37">
        <f t="shared" si="2"/>
        <v>45237</v>
      </c>
      <c r="M184" s="29">
        <f>IFERROR(__xludf.DUMMYFUNCTION("if(isblank(L184),, index(googlefinance(A184,M$2,L184-1),2,2))"),91.74)</f>
        <v>91.74</v>
      </c>
      <c r="N184" s="30">
        <f>IFERROR(__xludf.DUMMYFUNCTION("if(isblank(A184),,googlefinance(A184))"),95.47)</f>
        <v>95.47</v>
      </c>
      <c r="O184" s="31" t="str">
        <f t="shared" si="11"/>
        <v>Completed</v>
      </c>
      <c r="P184" s="38" t="str">
        <f t="shared" si="4"/>
        <v>Loss</v>
      </c>
      <c r="Q184" s="43">
        <f t="shared" si="5"/>
        <v>0</v>
      </c>
      <c r="R184" s="31" t="b">
        <f t="shared" si="6"/>
        <v>0</v>
      </c>
      <c r="S184" s="34">
        <f t="shared" si="12"/>
        <v>0</v>
      </c>
      <c r="T184" s="10">
        <f t="shared" si="8"/>
        <v>10</v>
      </c>
      <c r="U184" s="11"/>
      <c r="V184" s="12"/>
      <c r="W184" s="12"/>
      <c r="X184" s="12"/>
      <c r="Y184" s="12"/>
      <c r="Z184" s="12"/>
    </row>
    <row r="185" ht="13.5" hidden="1" customHeight="1">
      <c r="A185" s="1" t="s">
        <v>46</v>
      </c>
      <c r="B185" s="35">
        <v>9.0</v>
      </c>
      <c r="C185" s="10">
        <v>81.02</v>
      </c>
      <c r="D185" s="10">
        <v>55.556</v>
      </c>
      <c r="E185" s="10">
        <v>2.796</v>
      </c>
      <c r="F185" s="23">
        <v>45236.0</v>
      </c>
      <c r="G185" s="22"/>
      <c r="H185" s="25">
        <v>45239.0</v>
      </c>
      <c r="I185" s="24"/>
      <c r="J185" s="36">
        <f t="shared" si="14"/>
        <v>45236</v>
      </c>
      <c r="K185" s="27">
        <f>IFERROR(__xludf.DUMMYFUNCTION("if(isblank(J185),,index(googlefinance(A185,K$2,J185-1),2,2))"),151.7)</f>
        <v>151.7</v>
      </c>
      <c r="L185" s="37">
        <f t="shared" si="2"/>
        <v>45239</v>
      </c>
      <c r="M185" s="29">
        <f>IFERROR(__xludf.DUMMYFUNCTION("if(isblank(L185),, index(googlefinance(A185,M$2,L185-1),2,2))"),150.35)</f>
        <v>150.35</v>
      </c>
      <c r="N185" s="30">
        <f>IFERROR(__xludf.DUMMYFUNCTION("if(isblank(A185),,googlefinance(A185))"),161.13)</f>
        <v>161.13</v>
      </c>
      <c r="O185" s="31" t="str">
        <f t="shared" si="11"/>
        <v>Completed</v>
      </c>
      <c r="P185" s="38" t="str">
        <f t="shared" si="4"/>
        <v>Loss</v>
      </c>
      <c r="Q185" s="39">
        <f t="shared" si="5"/>
        <v>-8.1</v>
      </c>
      <c r="R185" s="31" t="b">
        <f t="shared" si="6"/>
        <v>0</v>
      </c>
      <c r="S185" s="34">
        <f t="shared" si="12"/>
        <v>-1.35</v>
      </c>
      <c r="T185" s="10">
        <f t="shared" si="8"/>
        <v>6</v>
      </c>
      <c r="U185" s="11"/>
      <c r="V185" s="12"/>
      <c r="W185" s="12"/>
      <c r="X185" s="12"/>
      <c r="Y185" s="12"/>
      <c r="Z185" s="12"/>
    </row>
    <row r="186" ht="13.5" hidden="1" customHeight="1">
      <c r="A186" s="1" t="s">
        <v>165</v>
      </c>
      <c r="B186" s="35">
        <v>11.0</v>
      </c>
      <c r="C186" s="10">
        <v>40.26</v>
      </c>
      <c r="D186" s="10">
        <v>36.364</v>
      </c>
      <c r="E186" s="10">
        <v>1.165</v>
      </c>
      <c r="F186" s="23">
        <v>45236.0</v>
      </c>
      <c r="G186" s="22"/>
      <c r="H186" s="25">
        <v>45237.0</v>
      </c>
      <c r="I186" s="24"/>
      <c r="J186" s="36">
        <f t="shared" si="14"/>
        <v>45236</v>
      </c>
      <c r="K186" s="27">
        <f>IFERROR(__xludf.DUMMYFUNCTION("if(isblank(J186),,index(googlefinance(A186,K$2,J186-1),2,2))"),121.76)</f>
        <v>121.76</v>
      </c>
      <c r="L186" s="37">
        <f t="shared" si="2"/>
        <v>45237</v>
      </c>
      <c r="M186" s="29">
        <f>IFERROR(__xludf.DUMMYFUNCTION("if(isblank(L186),, index(googlefinance(A186,M$2,L186-1),2,2))"),121.76)</f>
        <v>121.76</v>
      </c>
      <c r="N186" s="30">
        <f>IFERROR(__xludf.DUMMYFUNCTION("if(isblank(A186),,googlefinance(A186))"),131.78)</f>
        <v>131.78</v>
      </c>
      <c r="O186" s="31" t="str">
        <f t="shared" si="11"/>
        <v>Completed</v>
      </c>
      <c r="P186" s="38" t="str">
        <f t="shared" si="4"/>
        <v>Loss</v>
      </c>
      <c r="Q186" s="43">
        <f t="shared" si="5"/>
        <v>0</v>
      </c>
      <c r="R186" s="31" t="b">
        <f t="shared" si="6"/>
        <v>0</v>
      </c>
      <c r="S186" s="34">
        <f t="shared" si="12"/>
        <v>0</v>
      </c>
      <c r="T186" s="10">
        <f t="shared" si="8"/>
        <v>8</v>
      </c>
      <c r="U186" s="11"/>
      <c r="V186" s="12"/>
      <c r="W186" s="12"/>
      <c r="X186" s="12"/>
      <c r="Y186" s="12"/>
      <c r="Z186" s="12"/>
    </row>
    <row r="187" ht="13.5" hidden="1" customHeight="1">
      <c r="A187" s="1" t="s">
        <v>166</v>
      </c>
      <c r="B187" s="35">
        <v>9.0</v>
      </c>
      <c r="C187" s="10">
        <v>139.688</v>
      </c>
      <c r="D187" s="10">
        <v>33.333</v>
      </c>
      <c r="E187" s="10">
        <v>1.666</v>
      </c>
      <c r="F187" s="23">
        <v>45236.0</v>
      </c>
      <c r="G187" s="22"/>
      <c r="H187" s="25">
        <v>45239.0</v>
      </c>
      <c r="I187" s="24"/>
      <c r="J187" s="36">
        <f t="shared" si="14"/>
        <v>45236</v>
      </c>
      <c r="K187" s="27">
        <f>IFERROR(__xludf.DUMMYFUNCTION("if(isblank(J187),,index(googlefinance(A187,K$2,J187-1),2,2))"),31.18)</f>
        <v>31.18</v>
      </c>
      <c r="L187" s="37">
        <f t="shared" si="2"/>
        <v>45239</v>
      </c>
      <c r="M187" s="29">
        <f>IFERROR(__xludf.DUMMYFUNCTION("if(isblank(L187),, index(googlefinance(A187,M$2,L187-1),2,2))"),30.82)</f>
        <v>30.82</v>
      </c>
      <c r="N187" s="30">
        <f>IFERROR(__xludf.DUMMYFUNCTION("if(isblank(A187),,googlefinance(A187))"),29.47)</f>
        <v>29.47</v>
      </c>
      <c r="O187" s="31" t="str">
        <f t="shared" si="11"/>
        <v>Completed</v>
      </c>
      <c r="P187" s="38" t="str">
        <f t="shared" si="4"/>
        <v>Loss</v>
      </c>
      <c r="Q187" s="39">
        <f t="shared" si="5"/>
        <v>-11.52</v>
      </c>
      <c r="R187" s="31" t="b">
        <f t="shared" si="6"/>
        <v>0</v>
      </c>
      <c r="S187" s="34">
        <f t="shared" si="12"/>
        <v>-0.36</v>
      </c>
      <c r="T187" s="10">
        <f t="shared" si="8"/>
        <v>32</v>
      </c>
      <c r="U187" s="11"/>
      <c r="V187" s="12"/>
      <c r="W187" s="12"/>
      <c r="X187" s="12"/>
      <c r="Y187" s="12"/>
      <c r="Z187" s="12"/>
    </row>
    <row r="188" ht="13.5" hidden="1" customHeight="1">
      <c r="A188" s="1" t="s">
        <v>167</v>
      </c>
      <c r="B188" s="10">
        <v>10.0</v>
      </c>
      <c r="C188" s="10">
        <v>988.49</v>
      </c>
      <c r="D188" s="10">
        <v>50.0</v>
      </c>
      <c r="E188" s="47">
        <v>5.72</v>
      </c>
      <c r="F188" s="23">
        <v>45236.0</v>
      </c>
      <c r="G188" s="22"/>
      <c r="H188" s="25">
        <v>45278.0</v>
      </c>
      <c r="I188" s="24"/>
      <c r="J188" s="36">
        <f t="shared" si="14"/>
        <v>45236</v>
      </c>
      <c r="K188" s="27">
        <f>IFERROR(__xludf.DUMMYFUNCTION("if(isblank(J188),,index(googlefinance(A188,K$2,J188-1),2,2))"),36.76)</f>
        <v>36.76</v>
      </c>
      <c r="L188" s="37">
        <f t="shared" si="2"/>
        <v>45278</v>
      </c>
      <c r="M188" s="29">
        <f>IFERROR(__xludf.DUMMYFUNCTION("if(isblank(L188),, index(googlefinance(A188,M$2,L188-1),2,2))"),42.33)</f>
        <v>42.33</v>
      </c>
      <c r="N188" s="30">
        <f>IFERROR(__xludf.DUMMYFUNCTION("if(isblank(A188),,googlefinance(A188))"),41.76)</f>
        <v>41.76</v>
      </c>
      <c r="O188" s="31" t="str">
        <f t="shared" si="11"/>
        <v>Completed</v>
      </c>
      <c r="P188" s="32" t="str">
        <f t="shared" si="4"/>
        <v>Profit</v>
      </c>
      <c r="Q188" s="33">
        <f t="shared" si="5"/>
        <v>150.39</v>
      </c>
      <c r="R188" s="31" t="b">
        <f t="shared" si="6"/>
        <v>1</v>
      </c>
      <c r="S188" s="34">
        <f t="shared" si="12"/>
        <v>5.57</v>
      </c>
      <c r="T188" s="10">
        <f t="shared" si="8"/>
        <v>27</v>
      </c>
      <c r="U188" s="11"/>
      <c r="V188" s="12"/>
      <c r="W188" s="12"/>
      <c r="X188" s="12"/>
      <c r="Y188" s="12"/>
      <c r="Z188" s="12"/>
    </row>
    <row r="189" ht="13.5" hidden="1" customHeight="1">
      <c r="A189" s="1" t="s">
        <v>168</v>
      </c>
      <c r="B189" s="35">
        <v>12.0</v>
      </c>
      <c r="C189" s="10">
        <v>91.38</v>
      </c>
      <c r="D189" s="10">
        <v>58.333</v>
      </c>
      <c r="E189" s="10">
        <v>1.651</v>
      </c>
      <c r="F189" s="23">
        <v>45236.0</v>
      </c>
      <c r="G189" s="22"/>
      <c r="H189" s="25">
        <v>45275.0</v>
      </c>
      <c r="I189" s="24"/>
      <c r="J189" s="36">
        <f t="shared" si="14"/>
        <v>45236</v>
      </c>
      <c r="K189" s="27">
        <f>IFERROR(__xludf.DUMMYFUNCTION("if(isblank(J189),,index(googlefinance(A189,K$2,J189-1),2,2))"),104.93)</f>
        <v>104.93</v>
      </c>
      <c r="L189" s="37">
        <f t="shared" si="2"/>
        <v>45275</v>
      </c>
      <c r="M189" s="29">
        <f>IFERROR(__xludf.DUMMYFUNCTION("if(isblank(L189),, index(googlefinance(A189,M$2,L189-1),2,2))"),137.12)</f>
        <v>137.12</v>
      </c>
      <c r="N189" s="30">
        <f>IFERROR(__xludf.DUMMYFUNCTION("if(isblank(A189),,googlefinance(A189))"),130.56)</f>
        <v>130.56</v>
      </c>
      <c r="O189" s="31" t="str">
        <f t="shared" si="11"/>
        <v>Completed</v>
      </c>
      <c r="P189" s="32" t="str">
        <f t="shared" si="4"/>
        <v>Profit</v>
      </c>
      <c r="Q189" s="33">
        <f t="shared" si="5"/>
        <v>289.71</v>
      </c>
      <c r="R189" s="31" t="b">
        <f t="shared" si="6"/>
        <v>1</v>
      </c>
      <c r="S189" s="34">
        <f t="shared" si="12"/>
        <v>32.19</v>
      </c>
      <c r="T189" s="10">
        <f t="shared" si="8"/>
        <v>9</v>
      </c>
      <c r="U189" s="11"/>
      <c r="V189" s="12"/>
      <c r="W189" s="12"/>
      <c r="X189" s="12"/>
      <c r="Y189" s="12"/>
      <c r="Z189" s="12"/>
    </row>
    <row r="190" ht="13.5" hidden="1" customHeight="1">
      <c r="A190" s="1" t="s">
        <v>72</v>
      </c>
      <c r="B190" s="35">
        <v>8.0</v>
      </c>
      <c r="C190" s="10">
        <v>139.65</v>
      </c>
      <c r="D190" s="10">
        <v>37.5</v>
      </c>
      <c r="E190" s="10">
        <v>1.955</v>
      </c>
      <c r="F190" s="23">
        <v>45237.0</v>
      </c>
      <c r="G190" s="22"/>
      <c r="H190" s="25">
        <v>45259.0</v>
      </c>
      <c r="I190" s="24"/>
      <c r="J190" s="36">
        <f t="shared" si="14"/>
        <v>45237</v>
      </c>
      <c r="K190" s="27">
        <f>IFERROR(__xludf.DUMMYFUNCTION("if(isblank(J190),,index(googlefinance(A190,K$2,J190-1),2,2))"),333.03)</f>
        <v>333.03</v>
      </c>
      <c r="L190" s="37">
        <f t="shared" si="2"/>
        <v>45259</v>
      </c>
      <c r="M190" s="29">
        <f>IFERROR(__xludf.DUMMYFUNCTION("if(isblank(L190),, index(googlefinance(A190,M$2,L190-1),2,2))"),352.42)</f>
        <v>352.42</v>
      </c>
      <c r="N190" s="30">
        <f>IFERROR(__xludf.DUMMYFUNCTION("if(isblank(A190),,googlefinance(A190))"),339.48)</f>
        <v>339.48</v>
      </c>
      <c r="O190" s="31" t="str">
        <f t="shared" si="11"/>
        <v>Completed</v>
      </c>
      <c r="P190" s="32" t="str">
        <f t="shared" si="4"/>
        <v>Profit</v>
      </c>
      <c r="Q190" s="33">
        <f t="shared" si="5"/>
        <v>58.17</v>
      </c>
      <c r="R190" s="31" t="b">
        <f t="shared" si="6"/>
        <v>1</v>
      </c>
      <c r="S190" s="34">
        <f t="shared" si="12"/>
        <v>19.39</v>
      </c>
      <c r="T190" s="10">
        <f t="shared" si="8"/>
        <v>3</v>
      </c>
      <c r="U190" s="11"/>
      <c r="V190" s="12"/>
      <c r="W190" s="12"/>
      <c r="X190" s="12"/>
      <c r="Y190" s="12"/>
      <c r="Z190" s="12"/>
    </row>
    <row r="191" ht="13.5" hidden="1" customHeight="1">
      <c r="A191" s="1" t="s">
        <v>169</v>
      </c>
      <c r="B191" s="35">
        <v>12.0</v>
      </c>
      <c r="C191" s="10">
        <v>282.81</v>
      </c>
      <c r="D191" s="10">
        <v>50.0</v>
      </c>
      <c r="E191" s="10">
        <v>2.731</v>
      </c>
      <c r="F191" s="23">
        <v>45238.0</v>
      </c>
      <c r="G191" s="22"/>
      <c r="H191" s="25">
        <v>45264.0</v>
      </c>
      <c r="I191" s="24"/>
      <c r="J191" s="36">
        <f t="shared" si="14"/>
        <v>45238</v>
      </c>
      <c r="K191" s="27">
        <f>IFERROR(__xludf.DUMMYFUNCTION("if(isblank(J191),,index(googlefinance(A191,K$2,J191-1),2,2))"),33.16)</f>
        <v>33.16</v>
      </c>
      <c r="L191" s="37">
        <f t="shared" si="2"/>
        <v>45264</v>
      </c>
      <c r="M191" s="29">
        <f>IFERROR(__xludf.DUMMYFUNCTION("if(isblank(L191),, index(googlefinance(A191,M$2,L191-1),2,2))"),34.08)</f>
        <v>34.08</v>
      </c>
      <c r="N191" s="30">
        <f>IFERROR(__xludf.DUMMYFUNCTION("if(isblank(A191),,googlefinance(A191))"),37.95)</f>
        <v>37.95</v>
      </c>
      <c r="O191" s="31" t="str">
        <f t="shared" si="11"/>
        <v>Completed</v>
      </c>
      <c r="P191" s="32" t="str">
        <f t="shared" si="4"/>
        <v>Profit</v>
      </c>
      <c r="Q191" s="33">
        <f t="shared" si="5"/>
        <v>27.6</v>
      </c>
      <c r="R191" s="31" t="b">
        <f t="shared" si="6"/>
        <v>1</v>
      </c>
      <c r="S191" s="34">
        <f t="shared" si="12"/>
        <v>0.92</v>
      </c>
      <c r="T191" s="10">
        <f t="shared" si="8"/>
        <v>30</v>
      </c>
      <c r="U191" s="11"/>
      <c r="V191" s="12"/>
      <c r="W191" s="12"/>
      <c r="X191" s="12"/>
      <c r="Y191" s="12"/>
      <c r="Z191" s="12"/>
    </row>
    <row r="192" ht="13.5" hidden="1" customHeight="1">
      <c r="A192" s="1" t="s">
        <v>119</v>
      </c>
      <c r="B192" s="10">
        <v>18.0</v>
      </c>
      <c r="C192" s="10">
        <v>207.1</v>
      </c>
      <c r="D192" s="10">
        <v>27.778</v>
      </c>
      <c r="E192" s="47">
        <v>2.011</v>
      </c>
      <c r="F192" s="23">
        <v>45238.0</v>
      </c>
      <c r="G192" s="22"/>
      <c r="H192" s="25">
        <v>45278.0</v>
      </c>
      <c r="I192" s="24"/>
      <c r="J192" s="36">
        <f t="shared" si="14"/>
        <v>45238</v>
      </c>
      <c r="K192" s="27">
        <f>IFERROR(__xludf.DUMMYFUNCTION("if(isblank(J192),,index(googlefinance(A192,K$2,J192-1),2,2))"),107.2)</f>
        <v>107.2</v>
      </c>
      <c r="L192" s="37">
        <f t="shared" si="2"/>
        <v>45278</v>
      </c>
      <c r="M192" s="29">
        <f>IFERROR(__xludf.DUMMYFUNCTION("if(isblank(L192),, index(googlefinance(A192,M$2,L192-1),2,2))"),151.61)</f>
        <v>151.61</v>
      </c>
      <c r="N192" s="30">
        <f>IFERROR(__xludf.DUMMYFUNCTION("if(isblank(A192),,googlefinance(A192))"),158.08)</f>
        <v>158.08</v>
      </c>
      <c r="O192" s="31" t="str">
        <f t="shared" si="11"/>
        <v>Completed</v>
      </c>
      <c r="P192" s="32" t="str">
        <f t="shared" si="4"/>
        <v>Profit</v>
      </c>
      <c r="Q192" s="33">
        <f t="shared" si="5"/>
        <v>399.69</v>
      </c>
      <c r="R192" s="31" t="b">
        <f t="shared" si="6"/>
        <v>1</v>
      </c>
      <c r="S192" s="34">
        <f t="shared" si="12"/>
        <v>44.41</v>
      </c>
      <c r="T192" s="10">
        <f t="shared" si="8"/>
        <v>9</v>
      </c>
      <c r="U192" s="11"/>
      <c r="V192" s="12"/>
      <c r="W192" s="12"/>
      <c r="X192" s="12"/>
      <c r="Y192" s="12"/>
      <c r="Z192" s="12"/>
    </row>
    <row r="193" ht="13.5" hidden="1" customHeight="1">
      <c r="A193" s="1" t="s">
        <v>87</v>
      </c>
      <c r="B193" s="35">
        <v>13.0</v>
      </c>
      <c r="C193" s="10">
        <v>173.07</v>
      </c>
      <c r="D193" s="10">
        <v>46.154</v>
      </c>
      <c r="E193" s="10">
        <v>1.741</v>
      </c>
      <c r="F193" s="23">
        <v>45244.0</v>
      </c>
      <c r="G193" s="22"/>
      <c r="H193" s="25">
        <v>45272.0</v>
      </c>
      <c r="I193" s="24"/>
      <c r="J193" s="36">
        <f t="shared" si="14"/>
        <v>45244</v>
      </c>
      <c r="K193" s="27">
        <f>IFERROR(__xludf.DUMMYFUNCTION("if(isblank(J193),,index(googlefinance(A193,K$2,J193-1),2,2))"),63.84)</f>
        <v>63.84</v>
      </c>
      <c r="L193" s="37">
        <f t="shared" si="2"/>
        <v>45272</v>
      </c>
      <c r="M193" s="29">
        <f>IFERROR(__xludf.DUMMYFUNCTION("if(isblank(L193),, index(googlefinance(A193,M$2,L193-1),2,2))"),74.14)</f>
        <v>74.14</v>
      </c>
      <c r="N193" s="30">
        <f>IFERROR(__xludf.DUMMYFUNCTION("if(isblank(A193),,googlefinance(A193))"),75.83)</f>
        <v>75.83</v>
      </c>
      <c r="O193" s="31" t="str">
        <f t="shared" si="11"/>
        <v>Completed</v>
      </c>
      <c r="P193" s="32" t="str">
        <f t="shared" si="4"/>
        <v>Profit</v>
      </c>
      <c r="Q193" s="33">
        <f t="shared" si="5"/>
        <v>154.5</v>
      </c>
      <c r="R193" s="31" t="b">
        <f t="shared" si="6"/>
        <v>1</v>
      </c>
      <c r="S193" s="34">
        <f t="shared" si="12"/>
        <v>10.3</v>
      </c>
      <c r="T193" s="10">
        <f t="shared" si="8"/>
        <v>15</v>
      </c>
      <c r="U193" s="11"/>
      <c r="V193" s="12"/>
      <c r="W193" s="12"/>
      <c r="X193" s="12"/>
      <c r="Y193" s="12"/>
      <c r="Z193" s="12"/>
    </row>
    <row r="194" ht="13.5" hidden="1" customHeight="1">
      <c r="A194" s="1" t="s">
        <v>170</v>
      </c>
      <c r="B194" s="35">
        <v>11.0</v>
      </c>
      <c r="C194" s="10">
        <v>0.61</v>
      </c>
      <c r="D194" s="10">
        <v>9.091</v>
      </c>
      <c r="E194" s="10">
        <v>1.002</v>
      </c>
      <c r="F194" s="23">
        <v>45244.0</v>
      </c>
      <c r="G194" s="22"/>
      <c r="H194" s="25">
        <v>45251.0</v>
      </c>
      <c r="I194" s="24"/>
      <c r="J194" s="36">
        <f t="shared" si="14"/>
        <v>45244</v>
      </c>
      <c r="K194" s="27">
        <f>IFERROR(__xludf.DUMMYFUNCTION("if(isblank(J194),,index(googlefinance(A194,K$2,J194-1),2,2))"),51.21)</f>
        <v>51.21</v>
      </c>
      <c r="L194" s="37">
        <f t="shared" si="2"/>
        <v>45251</v>
      </c>
      <c r="M194" s="29">
        <f>IFERROR(__xludf.DUMMYFUNCTION("if(isblank(L194),, index(googlefinance(A194,M$2,L194-1),2,2))"),55.09)</f>
        <v>55.09</v>
      </c>
      <c r="N194" s="30">
        <f>IFERROR(__xludf.DUMMYFUNCTION("if(isblank(A194),,googlefinance(A194))"),70.36)</f>
        <v>70.36</v>
      </c>
      <c r="O194" s="31" t="str">
        <f t="shared" si="11"/>
        <v>Completed</v>
      </c>
      <c r="P194" s="32" t="str">
        <f t="shared" si="4"/>
        <v>Profit</v>
      </c>
      <c r="Q194" s="33">
        <f t="shared" si="5"/>
        <v>73.72</v>
      </c>
      <c r="R194" s="31" t="b">
        <f t="shared" si="6"/>
        <v>1</v>
      </c>
      <c r="S194" s="34">
        <f t="shared" si="12"/>
        <v>3.88</v>
      </c>
      <c r="T194" s="10">
        <f t="shared" si="8"/>
        <v>19</v>
      </c>
      <c r="U194" s="11"/>
      <c r="V194" s="12"/>
      <c r="W194" s="12"/>
      <c r="X194" s="12"/>
      <c r="Y194" s="12"/>
      <c r="Z194" s="12"/>
    </row>
    <row r="195" ht="13.5" hidden="1" customHeight="1">
      <c r="A195" s="1" t="s">
        <v>171</v>
      </c>
      <c r="B195" s="35">
        <v>11.0</v>
      </c>
      <c r="C195" s="10">
        <v>33.94</v>
      </c>
      <c r="D195" s="10">
        <v>45.455</v>
      </c>
      <c r="E195" s="10">
        <v>1.243</v>
      </c>
      <c r="F195" s="22"/>
      <c r="G195" s="23">
        <v>45246.0</v>
      </c>
      <c r="H195" s="24"/>
      <c r="I195" s="25">
        <v>45273.0</v>
      </c>
      <c r="J195" s="26">
        <f t="shared" si="14"/>
        <v>45246</v>
      </c>
      <c r="K195" s="27">
        <f>IFERROR(__xludf.DUMMYFUNCTION("if(isblank(J195),,index(googlefinance(A195,K$2,J195-1),2,2))"),169.78)</f>
        <v>169.78</v>
      </c>
      <c r="L195" s="28">
        <f t="shared" si="2"/>
        <v>45273</v>
      </c>
      <c r="M195" s="29">
        <f>IFERROR(__xludf.DUMMYFUNCTION("if(isblank(L195),, index(googlefinance(A195,M$2,L195-1),2,2))"),151.36)</f>
        <v>151.36</v>
      </c>
      <c r="N195" s="30">
        <f>IFERROR(__xludf.DUMMYFUNCTION("if(isblank(A195),,googlefinance(A195))"),156.71)</f>
        <v>156.71</v>
      </c>
      <c r="O195" s="31" t="str">
        <f t="shared" si="11"/>
        <v>Completed</v>
      </c>
      <c r="P195" s="32" t="str">
        <f t="shared" si="4"/>
        <v>Profit</v>
      </c>
      <c r="Q195" s="33">
        <f t="shared" si="5"/>
        <v>92.1</v>
      </c>
      <c r="R195" s="31" t="b">
        <f t="shared" si="6"/>
        <v>1</v>
      </c>
      <c r="S195" s="34">
        <f t="shared" si="12"/>
        <v>-18.42</v>
      </c>
      <c r="T195" s="10">
        <f t="shared" si="8"/>
        <v>5</v>
      </c>
      <c r="U195" s="11"/>
      <c r="V195" s="12"/>
      <c r="W195" s="12"/>
      <c r="X195" s="12"/>
      <c r="Y195" s="12"/>
      <c r="Z195" s="12"/>
    </row>
    <row r="196" ht="13.5" hidden="1" customHeight="1">
      <c r="A196" s="1" t="s">
        <v>30</v>
      </c>
      <c r="B196" s="35">
        <v>16.0</v>
      </c>
      <c r="C196" s="10">
        <v>123.335</v>
      </c>
      <c r="D196" s="10">
        <v>31.25</v>
      </c>
      <c r="E196" s="47">
        <v>1.201</v>
      </c>
      <c r="F196" s="44"/>
      <c r="G196" s="23">
        <v>45247.0</v>
      </c>
      <c r="H196" s="24"/>
      <c r="I196" s="25">
        <v>45268.0</v>
      </c>
      <c r="J196" s="26">
        <f t="shared" si="14"/>
        <v>45247</v>
      </c>
      <c r="K196" s="27">
        <f>IFERROR(__xludf.DUMMYFUNCTION("if(isblank(J196),,index(googlefinance(A196,K$2,J196-1),2,2))"),31.58)</f>
        <v>31.58</v>
      </c>
      <c r="L196" s="28">
        <f t="shared" si="2"/>
        <v>45268</v>
      </c>
      <c r="M196" s="29">
        <f>IFERROR(__xludf.DUMMYFUNCTION("if(isblank(L196),, index(googlefinance(A196,M$2,L196-1),2,2))"),32.24)</f>
        <v>32.24</v>
      </c>
      <c r="N196" s="30">
        <f>IFERROR(__xludf.DUMMYFUNCTION("if(isblank(A196),,googlefinance(A196))"),36.68)</f>
        <v>36.68</v>
      </c>
      <c r="O196" s="31" t="str">
        <f t="shared" si="11"/>
        <v>Completed</v>
      </c>
      <c r="P196" s="38" t="str">
        <f t="shared" si="4"/>
        <v>Loss</v>
      </c>
      <c r="Q196" s="39">
        <f t="shared" si="5"/>
        <v>-20.46</v>
      </c>
      <c r="R196" s="31" t="b">
        <f t="shared" si="6"/>
        <v>0</v>
      </c>
      <c r="S196" s="34">
        <f t="shared" si="12"/>
        <v>0.66</v>
      </c>
      <c r="T196" s="10">
        <f t="shared" si="8"/>
        <v>31</v>
      </c>
      <c r="U196" s="11"/>
      <c r="V196" s="12"/>
      <c r="W196" s="12"/>
      <c r="X196" s="12"/>
      <c r="Y196" s="12"/>
      <c r="Z196" s="12"/>
    </row>
    <row r="197" ht="13.5" hidden="1" customHeight="1">
      <c r="A197" s="1" t="s">
        <v>68</v>
      </c>
      <c r="B197" s="35">
        <v>20.0</v>
      </c>
      <c r="C197" s="10">
        <v>287.44</v>
      </c>
      <c r="D197" s="10">
        <v>50.0</v>
      </c>
      <c r="E197" s="10">
        <v>2.171</v>
      </c>
      <c r="F197" s="22"/>
      <c r="G197" s="23">
        <v>45251.0</v>
      </c>
      <c r="H197" s="24"/>
      <c r="I197" s="25">
        <v>45252.0</v>
      </c>
      <c r="J197" s="26">
        <f t="shared" si="14"/>
        <v>45251</v>
      </c>
      <c r="K197" s="27">
        <f>IFERROR(__xludf.DUMMYFUNCTION("if(isblank(J197),,index(googlefinance(A197,K$2,J197-1),2,2))"),331.2)</f>
        <v>331.2</v>
      </c>
      <c r="L197" s="28">
        <f t="shared" si="2"/>
        <v>45252</v>
      </c>
      <c r="M197" s="29">
        <f>IFERROR(__xludf.DUMMYFUNCTION("if(isblank(L197),, index(googlefinance(A197,M$2,L197-1),2,2))"),325.93)</f>
        <v>325.93</v>
      </c>
      <c r="N197" s="30">
        <f>IFERROR(__xludf.DUMMYFUNCTION("if(isblank(A197),,googlefinance(A197))"),289.59)</f>
        <v>289.59</v>
      </c>
      <c r="O197" s="31" t="str">
        <f t="shared" si="11"/>
        <v>Completed</v>
      </c>
      <c r="P197" s="32" t="str">
        <f t="shared" si="4"/>
        <v>Profit</v>
      </c>
      <c r="Q197" s="33">
        <f t="shared" si="5"/>
        <v>15.81</v>
      </c>
      <c r="R197" s="31" t="b">
        <f t="shared" si="6"/>
        <v>1</v>
      </c>
      <c r="S197" s="34">
        <f t="shared" si="12"/>
        <v>-5.27</v>
      </c>
      <c r="T197" s="10">
        <f t="shared" si="8"/>
        <v>3</v>
      </c>
      <c r="U197" s="11"/>
      <c r="V197" s="12"/>
      <c r="W197" s="12"/>
      <c r="X197" s="12"/>
      <c r="Y197" s="12"/>
      <c r="Z197" s="12"/>
    </row>
    <row r="198" ht="13.5" hidden="1" customHeight="1">
      <c r="A198" s="1" t="s">
        <v>138</v>
      </c>
      <c r="B198" s="35">
        <v>12.0</v>
      </c>
      <c r="C198" s="10">
        <v>37.58</v>
      </c>
      <c r="D198" s="10">
        <v>25.0</v>
      </c>
      <c r="E198" s="10">
        <v>1.139</v>
      </c>
      <c r="F198" s="22"/>
      <c r="G198" s="23">
        <v>45252.0</v>
      </c>
      <c r="H198" s="24"/>
      <c r="I198" s="25">
        <v>45259.0</v>
      </c>
      <c r="J198" s="26">
        <f t="shared" si="14"/>
        <v>45252</v>
      </c>
      <c r="K198" s="27">
        <f>IFERROR(__xludf.DUMMYFUNCTION("if(isblank(J198),,index(googlefinance(A198,K$2,J198-1),2,2))"),217.67)</f>
        <v>217.67</v>
      </c>
      <c r="L198" s="28">
        <f t="shared" si="2"/>
        <v>45259</v>
      </c>
      <c r="M198" s="29">
        <f>IFERROR(__xludf.DUMMYFUNCTION("if(isblank(L198),, index(googlefinance(A198,M$2,L198-1),2,2))"),207.37)</f>
        <v>207.37</v>
      </c>
      <c r="N198" s="30">
        <f>IFERROR(__xludf.DUMMYFUNCTION("if(isblank(A198),,googlefinance(A198))"),229.52)</f>
        <v>229.52</v>
      </c>
      <c r="O198" s="31" t="str">
        <f t="shared" si="11"/>
        <v>Completed</v>
      </c>
      <c r="P198" s="32" t="str">
        <f t="shared" si="4"/>
        <v>Profit</v>
      </c>
      <c r="Q198" s="33">
        <f t="shared" si="5"/>
        <v>41.2</v>
      </c>
      <c r="R198" s="31" t="b">
        <f t="shared" si="6"/>
        <v>1</v>
      </c>
      <c r="S198" s="34">
        <f t="shared" si="12"/>
        <v>-10.3</v>
      </c>
      <c r="T198" s="10">
        <f t="shared" si="8"/>
        <v>4</v>
      </c>
      <c r="U198" s="11"/>
      <c r="V198" s="12"/>
      <c r="W198" s="12"/>
      <c r="X198" s="12"/>
      <c r="Y198" s="12"/>
      <c r="Z198" s="12"/>
    </row>
    <row r="199" ht="13.5" hidden="1" customHeight="1">
      <c r="A199" s="1" t="s">
        <v>74</v>
      </c>
      <c r="B199" s="35">
        <v>14.0</v>
      </c>
      <c r="C199" s="31">
        <v>150.26</v>
      </c>
      <c r="D199" s="10">
        <v>42.857</v>
      </c>
      <c r="E199" s="10">
        <v>1.987</v>
      </c>
      <c r="F199" s="22"/>
      <c r="G199" s="23">
        <v>45258.0</v>
      </c>
      <c r="H199" s="24"/>
      <c r="I199" s="25">
        <v>45260.0</v>
      </c>
      <c r="J199" s="26">
        <f t="shared" si="14"/>
        <v>45258</v>
      </c>
      <c r="K199" s="27">
        <f>IFERROR(__xludf.DUMMYFUNCTION("if(isblank(J199),,index(googlefinance(A199,K$2,J199-1),2,2))"),71.53)</f>
        <v>71.53</v>
      </c>
      <c r="L199" s="28">
        <f t="shared" si="2"/>
        <v>45260</v>
      </c>
      <c r="M199" s="29">
        <f>IFERROR(__xludf.DUMMYFUNCTION("if(isblank(L199),, index(googlefinance(A199,M$2,L199-1),2,2))"),70.6)</f>
        <v>70.6</v>
      </c>
      <c r="N199" s="30">
        <f>IFERROR(__xludf.DUMMYFUNCTION("if(isblank(A199),,googlefinance(A199))"),72.95)</f>
        <v>72.95</v>
      </c>
      <c r="O199" s="31" t="str">
        <f t="shared" si="11"/>
        <v>Completed</v>
      </c>
      <c r="P199" s="32" t="str">
        <f t="shared" si="4"/>
        <v>Profit</v>
      </c>
      <c r="Q199" s="33">
        <f t="shared" si="5"/>
        <v>12.09</v>
      </c>
      <c r="R199" s="31" t="b">
        <f t="shared" si="6"/>
        <v>1</v>
      </c>
      <c r="S199" s="34">
        <f t="shared" si="12"/>
        <v>-0.93</v>
      </c>
      <c r="T199" s="10">
        <f t="shared" si="8"/>
        <v>13</v>
      </c>
      <c r="U199" s="11"/>
      <c r="V199" s="5"/>
      <c r="W199" s="5"/>
      <c r="X199" s="5"/>
      <c r="Y199" s="5"/>
      <c r="Z199" s="12"/>
    </row>
    <row r="200" ht="13.5" hidden="1" customHeight="1">
      <c r="A200" s="1" t="s">
        <v>172</v>
      </c>
      <c r="B200" s="35">
        <v>16.0</v>
      </c>
      <c r="C200" s="31">
        <v>122.3</v>
      </c>
      <c r="D200" s="10">
        <v>31.25</v>
      </c>
      <c r="E200" s="10">
        <v>1.533</v>
      </c>
      <c r="F200" s="10"/>
      <c r="G200" s="23">
        <v>45259.0</v>
      </c>
      <c r="H200" s="48"/>
      <c r="I200" s="25">
        <v>45268.0</v>
      </c>
      <c r="J200" s="26">
        <f t="shared" si="14"/>
        <v>45259</v>
      </c>
      <c r="K200" s="27">
        <f>IFERROR(__xludf.DUMMYFUNCTION("if(isblank(J200),,index(googlefinance(A200,K$2,J200-1),2,2))"),946.35)</f>
        <v>946.35</v>
      </c>
      <c r="L200" s="28">
        <f t="shared" si="2"/>
        <v>45268</v>
      </c>
      <c r="M200" s="29">
        <f>IFERROR(__xludf.DUMMYFUNCTION("if(isblank(L200),, index(googlefinance(A200,M$2,L200-1),2,2))"),922.26)</f>
        <v>922.26</v>
      </c>
      <c r="N200" s="30">
        <f>IFERROR(__xludf.DUMMYFUNCTION("if(isblank(A200),,googlefinance(A200))"),1049.28)</f>
        <v>1049.28</v>
      </c>
      <c r="O200" s="31" t="str">
        <f t="shared" si="11"/>
        <v>Completed</v>
      </c>
      <c r="P200" s="32" t="str">
        <f t="shared" si="4"/>
        <v>Profit</v>
      </c>
      <c r="Q200" s="33">
        <f t="shared" si="5"/>
        <v>24.09</v>
      </c>
      <c r="R200" s="31" t="b">
        <f t="shared" si="6"/>
        <v>1</v>
      </c>
      <c r="S200" s="34">
        <f t="shared" si="12"/>
        <v>-24.09</v>
      </c>
      <c r="T200" s="10">
        <f t="shared" si="8"/>
        <v>1</v>
      </c>
      <c r="U200" s="11"/>
      <c r="V200" s="12"/>
      <c r="W200" s="12"/>
      <c r="X200" s="12"/>
      <c r="Y200" s="12"/>
      <c r="Z200" s="12"/>
    </row>
    <row r="201" ht="13.5" hidden="1" customHeight="1">
      <c r="A201" s="1" t="s">
        <v>173</v>
      </c>
      <c r="B201" s="35">
        <v>7.0</v>
      </c>
      <c r="C201" s="31">
        <v>129.99</v>
      </c>
      <c r="D201" s="10">
        <v>71.429</v>
      </c>
      <c r="E201" s="10">
        <v>5.49</v>
      </c>
      <c r="F201" s="23">
        <v>45260.0</v>
      </c>
      <c r="G201" s="49"/>
      <c r="H201" s="25">
        <v>45278.0</v>
      </c>
      <c r="I201" s="48"/>
      <c r="J201" s="36">
        <f t="shared" si="14"/>
        <v>45260</v>
      </c>
      <c r="K201" s="27">
        <f>IFERROR(__xludf.DUMMYFUNCTION("if(isblank(J201),,index(googlefinance(A201,K$2,J201-1),2,2))"),75.23)</f>
        <v>75.23</v>
      </c>
      <c r="L201" s="37">
        <f t="shared" si="2"/>
        <v>45278</v>
      </c>
      <c r="M201" s="29">
        <f>IFERROR(__xludf.DUMMYFUNCTION("if(isblank(L201),, index(googlefinance(A201,M$2,L201-1),2,2))"),79.5)</f>
        <v>79.5</v>
      </c>
      <c r="N201" s="30">
        <f>IFERROR(__xludf.DUMMYFUNCTION("if(isblank(A201),,googlefinance(A201))"),83.31)</f>
        <v>83.31</v>
      </c>
      <c r="O201" s="31" t="str">
        <f t="shared" si="11"/>
        <v>Completed</v>
      </c>
      <c r="P201" s="32" t="str">
        <f t="shared" si="4"/>
        <v>Profit</v>
      </c>
      <c r="Q201" s="33">
        <f t="shared" si="5"/>
        <v>55.51</v>
      </c>
      <c r="R201" s="31" t="b">
        <f t="shared" si="6"/>
        <v>1</v>
      </c>
      <c r="S201" s="34">
        <f t="shared" si="12"/>
        <v>4.27</v>
      </c>
      <c r="T201" s="10">
        <f t="shared" si="8"/>
        <v>13</v>
      </c>
      <c r="U201" s="11"/>
      <c r="V201" s="12"/>
      <c r="W201" s="12"/>
      <c r="X201" s="12"/>
      <c r="Y201" s="12"/>
      <c r="Z201" s="12"/>
    </row>
    <row r="202" ht="13.5" hidden="1" customHeight="1">
      <c r="A202" s="1" t="s">
        <v>174</v>
      </c>
      <c r="B202" s="35">
        <v>13.0</v>
      </c>
      <c r="C202" s="10">
        <v>52.32</v>
      </c>
      <c r="D202" s="10">
        <v>53.846</v>
      </c>
      <c r="E202" s="10">
        <v>1.757</v>
      </c>
      <c r="F202" s="23">
        <v>45261.0</v>
      </c>
      <c r="G202" s="49"/>
      <c r="H202" s="25">
        <v>45268.0</v>
      </c>
      <c r="I202" s="48"/>
      <c r="J202" s="36">
        <f t="shared" si="14"/>
        <v>45261</v>
      </c>
      <c r="K202" s="27" t="str">
        <f>IFERROR(__xludf.DUMMYFUNCTION("if(isblank(J202),,index(googlefinance(A202,K$2,J202-1),2,2))"),"#N/A")</f>
        <v>#N/A</v>
      </c>
      <c r="L202" s="37">
        <f t="shared" si="2"/>
        <v>45268</v>
      </c>
      <c r="M202" s="29">
        <f>IFERROR(__xludf.DUMMYFUNCTION("if(isblank(L202),, index(googlefinance(A202,M$2,L202-1),2,2))"),31.85)</f>
        <v>31.85</v>
      </c>
      <c r="N202" s="30">
        <f>IFERROR(__xludf.DUMMYFUNCTION("if(isblank(A202),,googlefinance(A202))"),32.16)</f>
        <v>32.16</v>
      </c>
      <c r="O202" s="31" t="str">
        <f t="shared" si="11"/>
        <v>Completed</v>
      </c>
      <c r="P202" s="32" t="str">
        <f t="shared" si="4"/>
        <v>#N/A</v>
      </c>
      <c r="Q202" s="33" t="str">
        <f t="shared" si="5"/>
        <v>#N/A</v>
      </c>
      <c r="R202" s="31" t="str">
        <f t="shared" si="6"/>
        <v>#N/A</v>
      </c>
      <c r="S202" s="34" t="str">
        <f t="shared" si="12"/>
        <v>#N/A</v>
      </c>
      <c r="T202" s="10" t="str">
        <f t="shared" si="8"/>
        <v>#N/A</v>
      </c>
      <c r="U202" s="11"/>
      <c r="V202" s="12"/>
      <c r="W202" s="12"/>
      <c r="X202" s="12"/>
      <c r="Y202" s="12"/>
      <c r="Z202" s="12"/>
    </row>
    <row r="203" ht="13.5" hidden="1" customHeight="1">
      <c r="A203" s="1" t="s">
        <v>169</v>
      </c>
      <c r="B203" s="35">
        <v>12.0</v>
      </c>
      <c r="C203" s="10">
        <v>282.81</v>
      </c>
      <c r="D203" s="10">
        <v>50.0</v>
      </c>
      <c r="E203" s="10">
        <v>2.731</v>
      </c>
      <c r="F203" s="49"/>
      <c r="G203" s="23">
        <v>45264.0</v>
      </c>
      <c r="H203" s="48"/>
      <c r="I203" s="25">
        <v>45272.0</v>
      </c>
      <c r="J203" s="26">
        <f t="shared" si="14"/>
        <v>45264</v>
      </c>
      <c r="K203" s="27">
        <f>IFERROR(__xludf.DUMMYFUNCTION("if(isblank(J203),,index(googlefinance(A203,K$2,J203-1),2,2))"),34.08)</f>
        <v>34.08</v>
      </c>
      <c r="L203" s="28">
        <f t="shared" si="2"/>
        <v>45272</v>
      </c>
      <c r="M203" s="29">
        <f>IFERROR(__xludf.DUMMYFUNCTION("if(isblank(L203),, index(googlefinance(A203,M$2,L203-1),2,2))"),35.75)</f>
        <v>35.75</v>
      </c>
      <c r="N203" s="30">
        <f>IFERROR(__xludf.DUMMYFUNCTION("if(isblank(A203),,googlefinance(A203))"),37.95)</f>
        <v>37.95</v>
      </c>
      <c r="O203" s="31" t="str">
        <f t="shared" si="11"/>
        <v>Completed</v>
      </c>
      <c r="P203" s="38" t="str">
        <f t="shared" si="4"/>
        <v>Loss</v>
      </c>
      <c r="Q203" s="39">
        <f t="shared" si="5"/>
        <v>-48.43</v>
      </c>
      <c r="R203" s="31" t="b">
        <f t="shared" si="6"/>
        <v>0</v>
      </c>
      <c r="S203" s="34">
        <f t="shared" si="12"/>
        <v>1.67</v>
      </c>
      <c r="T203" s="10">
        <f t="shared" si="8"/>
        <v>29</v>
      </c>
      <c r="U203" s="11"/>
      <c r="V203" s="12"/>
      <c r="W203" s="12"/>
      <c r="X203" s="12"/>
      <c r="Y203" s="12"/>
      <c r="Z203" s="12"/>
    </row>
    <row r="204" ht="13.5" hidden="1" customHeight="1">
      <c r="A204" s="1" t="s">
        <v>37</v>
      </c>
      <c r="B204" s="35">
        <v>11.0</v>
      </c>
      <c r="C204" s="10">
        <v>88.3</v>
      </c>
      <c r="D204" s="10">
        <v>36.364</v>
      </c>
      <c r="E204" s="31">
        <v>1.912</v>
      </c>
      <c r="F204" s="49"/>
      <c r="G204" s="23">
        <v>45264.0</v>
      </c>
      <c r="H204" s="48"/>
      <c r="I204" s="25">
        <v>45273.0</v>
      </c>
      <c r="J204" s="26">
        <f t="shared" si="14"/>
        <v>45264</v>
      </c>
      <c r="K204" s="27">
        <f>IFERROR(__xludf.DUMMYFUNCTION("if(isblank(J204),,index(googlefinance(A204,K$2,J204-1),2,2))"),63.28)</f>
        <v>63.28</v>
      </c>
      <c r="L204" s="28">
        <f t="shared" si="2"/>
        <v>45273</v>
      </c>
      <c r="M204" s="29">
        <f>IFERROR(__xludf.DUMMYFUNCTION("if(isblank(L204),, index(googlefinance(A204,M$2,L204-1),2,2))"),62.49)</f>
        <v>62.49</v>
      </c>
      <c r="N204" s="30">
        <f>IFERROR(__xludf.DUMMYFUNCTION("if(isblank(A204),,googlefinance(A204))"),61.73)</f>
        <v>61.73</v>
      </c>
      <c r="O204" s="31" t="str">
        <f t="shared" si="11"/>
        <v>Completed</v>
      </c>
      <c r="P204" s="32" t="str">
        <f t="shared" si="4"/>
        <v>Profit</v>
      </c>
      <c r="Q204" s="33">
        <f t="shared" si="5"/>
        <v>11.85</v>
      </c>
      <c r="R204" s="31" t="b">
        <f t="shared" si="6"/>
        <v>1</v>
      </c>
      <c r="S204" s="34">
        <f t="shared" si="12"/>
        <v>-0.79</v>
      </c>
      <c r="T204" s="10">
        <f t="shared" si="8"/>
        <v>15</v>
      </c>
      <c r="U204" s="11"/>
      <c r="V204" s="12"/>
      <c r="W204" s="12"/>
      <c r="X204" s="12"/>
      <c r="Y204" s="12"/>
      <c r="Z204" s="12"/>
    </row>
    <row r="205" ht="13.5" hidden="1" customHeight="1">
      <c r="A205" s="1" t="s">
        <v>79</v>
      </c>
      <c r="B205" s="35">
        <v>13.0</v>
      </c>
      <c r="C205" s="10">
        <v>120.2</v>
      </c>
      <c r="D205" s="10">
        <v>30.769</v>
      </c>
      <c r="E205" s="10">
        <v>2.0</v>
      </c>
      <c r="F205" s="49"/>
      <c r="G205" s="23">
        <v>45264.0</v>
      </c>
      <c r="H205" s="48"/>
      <c r="I205" s="25">
        <v>45271.0</v>
      </c>
      <c r="J205" s="26">
        <f t="shared" si="14"/>
        <v>45264</v>
      </c>
      <c r="K205" s="27">
        <f>IFERROR(__xludf.DUMMYFUNCTION("if(isblank(J205),,index(googlefinance(A205,K$2,J205-1),2,2))"),92.93)</f>
        <v>92.93</v>
      </c>
      <c r="L205" s="28">
        <f t="shared" si="2"/>
        <v>45271</v>
      </c>
      <c r="M205" s="29">
        <f>IFERROR(__xludf.DUMMYFUNCTION("if(isblank(L205),, index(googlefinance(A205,M$2,L205-1),2,2))"),92.99)</f>
        <v>92.99</v>
      </c>
      <c r="N205" s="30">
        <f>IFERROR(__xludf.DUMMYFUNCTION("if(isblank(A205),,googlefinance(A205))"),95.3)</f>
        <v>95.3</v>
      </c>
      <c r="O205" s="31" t="str">
        <f t="shared" si="11"/>
        <v>Completed</v>
      </c>
      <c r="P205" s="38" t="str">
        <f t="shared" si="4"/>
        <v>Loss</v>
      </c>
      <c r="Q205" s="39">
        <f t="shared" si="5"/>
        <v>-0.6</v>
      </c>
      <c r="R205" s="31" t="b">
        <f t="shared" si="6"/>
        <v>0</v>
      </c>
      <c r="S205" s="34">
        <f t="shared" si="12"/>
        <v>0.06</v>
      </c>
      <c r="T205" s="10">
        <f t="shared" si="8"/>
        <v>10</v>
      </c>
      <c r="U205" s="11"/>
      <c r="V205" s="12"/>
      <c r="W205" s="12"/>
      <c r="X205" s="12"/>
      <c r="Y205" s="12"/>
      <c r="Z205" s="12"/>
    </row>
    <row r="206" ht="13.5" hidden="1" customHeight="1">
      <c r="A206" s="1" t="s">
        <v>90</v>
      </c>
      <c r="B206" s="35">
        <v>6.0</v>
      </c>
      <c r="C206" s="10">
        <v>5.51</v>
      </c>
      <c r="D206" s="10">
        <v>16.667</v>
      </c>
      <c r="E206" s="10">
        <v>1.038</v>
      </c>
      <c r="F206" s="49"/>
      <c r="G206" s="23">
        <v>45265.0</v>
      </c>
      <c r="H206" s="48"/>
      <c r="I206" s="25">
        <v>45279.0</v>
      </c>
      <c r="J206" s="26">
        <f t="shared" si="14"/>
        <v>45265</v>
      </c>
      <c r="K206" s="27">
        <f>IFERROR(__xludf.DUMMYFUNCTION("if(isblank(J206),,index(googlefinance(A206,K$2,J206-1),2,2))"),107.74)</f>
        <v>107.74</v>
      </c>
      <c r="L206" s="28">
        <f t="shared" si="2"/>
        <v>45279</v>
      </c>
      <c r="M206" s="29">
        <f>IFERROR(__xludf.DUMMYFUNCTION("if(isblank(L206),, index(googlefinance(A206,M$2,L206-1),2,2))"),103.73)</f>
        <v>103.73</v>
      </c>
      <c r="N206" s="30">
        <f>IFERROR(__xludf.DUMMYFUNCTION("if(isblank(A206),,googlefinance(A206))"),98.02)</f>
        <v>98.02</v>
      </c>
      <c r="O206" s="31" t="str">
        <f t="shared" si="11"/>
        <v>Completed</v>
      </c>
      <c r="P206" s="32" t="str">
        <f t="shared" si="4"/>
        <v>Profit</v>
      </c>
      <c r="Q206" s="33">
        <f t="shared" si="5"/>
        <v>36.09</v>
      </c>
      <c r="R206" s="31" t="b">
        <f t="shared" si="6"/>
        <v>1</v>
      </c>
      <c r="S206" s="34">
        <f t="shared" si="12"/>
        <v>-4.01</v>
      </c>
      <c r="T206" s="10">
        <f t="shared" si="8"/>
        <v>9</v>
      </c>
      <c r="U206" s="11"/>
      <c r="V206" s="12"/>
      <c r="W206" s="12"/>
      <c r="X206" s="12"/>
      <c r="Y206" s="12"/>
      <c r="Z206" s="12"/>
    </row>
    <row r="207" ht="13.5" hidden="1" customHeight="1">
      <c r="A207" s="1" t="s">
        <v>175</v>
      </c>
      <c r="B207" s="35">
        <v>7.0</v>
      </c>
      <c r="C207" s="10">
        <v>67.76</v>
      </c>
      <c r="D207" s="10">
        <v>42.857</v>
      </c>
      <c r="E207" s="10">
        <v>2.524</v>
      </c>
      <c r="F207" s="49"/>
      <c r="G207" s="23">
        <v>45265.0</v>
      </c>
      <c r="H207" s="48"/>
      <c r="I207" s="25">
        <v>45272.0</v>
      </c>
      <c r="J207" s="26">
        <f t="shared" si="14"/>
        <v>45265</v>
      </c>
      <c r="K207" s="27">
        <f>IFERROR(__xludf.DUMMYFUNCTION("if(isblank(J207),,index(googlefinance(A207,K$2,J207-1),2,2))"),124.17)</f>
        <v>124.17</v>
      </c>
      <c r="L207" s="28">
        <f t="shared" si="2"/>
        <v>45272</v>
      </c>
      <c r="M207" s="29">
        <f>IFERROR(__xludf.DUMMYFUNCTION("if(isblank(L207),, index(googlefinance(A207,M$2,L207-1),2,2))"),120.97)</f>
        <v>120.97</v>
      </c>
      <c r="N207" s="30">
        <f>IFERROR(__xludf.DUMMYFUNCTION("if(isblank(A207),,googlefinance(A207))"),122.25)</f>
        <v>122.25</v>
      </c>
      <c r="O207" s="31" t="str">
        <f t="shared" si="11"/>
        <v>Completed</v>
      </c>
      <c r="P207" s="32" t="str">
        <f t="shared" si="4"/>
        <v>Profit</v>
      </c>
      <c r="Q207" s="33">
        <f t="shared" si="5"/>
        <v>25.6</v>
      </c>
      <c r="R207" s="31" t="b">
        <f t="shared" si="6"/>
        <v>1</v>
      </c>
      <c r="S207" s="34">
        <f t="shared" si="12"/>
        <v>-3.2</v>
      </c>
      <c r="T207" s="10">
        <f t="shared" si="8"/>
        <v>8</v>
      </c>
      <c r="U207" s="11"/>
      <c r="V207" s="12"/>
      <c r="W207" s="12"/>
      <c r="X207" s="12"/>
      <c r="Y207" s="12"/>
      <c r="Z207" s="12"/>
    </row>
    <row r="208" ht="13.5" hidden="1" customHeight="1">
      <c r="A208" s="1" t="s">
        <v>176</v>
      </c>
      <c r="B208" s="35">
        <v>7.0</v>
      </c>
      <c r="C208" s="10">
        <v>226.58</v>
      </c>
      <c r="D208" s="10">
        <v>28.571</v>
      </c>
      <c r="E208" s="10">
        <v>3.959</v>
      </c>
      <c r="F208" s="49"/>
      <c r="G208" s="23">
        <v>45265.0</v>
      </c>
      <c r="H208" s="48"/>
      <c r="I208" s="25">
        <v>45271.0</v>
      </c>
      <c r="J208" s="26">
        <f t="shared" si="14"/>
        <v>45265</v>
      </c>
      <c r="K208" s="27">
        <f>IFERROR(__xludf.DUMMYFUNCTION("if(isblank(J208),,index(googlefinance(A208,K$2,J208-1),2,2))"),22.06)</f>
        <v>22.06</v>
      </c>
      <c r="L208" s="28">
        <f t="shared" si="2"/>
        <v>45271</v>
      </c>
      <c r="M208" s="29">
        <f>IFERROR(__xludf.DUMMYFUNCTION("if(isblank(L208),, index(googlefinance(A208,M$2,L208-1),2,2))"),22.07)</f>
        <v>22.07</v>
      </c>
      <c r="N208" s="30">
        <f>IFERROR(__xludf.DUMMYFUNCTION("if(isblank(A208),,googlefinance(A208))"),24.43)</f>
        <v>24.43</v>
      </c>
      <c r="O208" s="31" t="str">
        <f t="shared" si="11"/>
        <v>Completed</v>
      </c>
      <c r="P208" s="38" t="str">
        <f t="shared" si="4"/>
        <v>Loss</v>
      </c>
      <c r="Q208" s="39">
        <f t="shared" si="5"/>
        <v>-0.45</v>
      </c>
      <c r="R208" s="31" t="b">
        <f t="shared" si="6"/>
        <v>0</v>
      </c>
      <c r="S208" s="34">
        <f t="shared" si="12"/>
        <v>0.01</v>
      </c>
      <c r="T208" s="10">
        <f t="shared" si="8"/>
        <v>45</v>
      </c>
      <c r="U208" s="11"/>
      <c r="V208" s="12"/>
      <c r="W208" s="12"/>
      <c r="X208" s="12"/>
      <c r="Y208" s="12"/>
      <c r="Z208" s="12"/>
    </row>
    <row r="209" ht="13.5" hidden="1" customHeight="1">
      <c r="A209" s="1" t="s">
        <v>27</v>
      </c>
      <c r="B209" s="35">
        <v>12.0</v>
      </c>
      <c r="C209" s="10">
        <v>96.96</v>
      </c>
      <c r="D209" s="10">
        <v>41.667</v>
      </c>
      <c r="E209" s="31">
        <v>1.582</v>
      </c>
      <c r="F209" s="49"/>
      <c r="G209" s="23">
        <v>45266.0</v>
      </c>
      <c r="H209" s="48"/>
      <c r="I209" s="25">
        <v>45271.0</v>
      </c>
      <c r="J209" s="26">
        <f t="shared" si="14"/>
        <v>45266</v>
      </c>
      <c r="K209" s="27">
        <f>IFERROR(__xludf.DUMMYFUNCTION("if(isblank(J209),,index(googlefinance(A209,K$2,J209-1),2,2))"),262.18)</f>
        <v>262.18</v>
      </c>
      <c r="L209" s="28">
        <f t="shared" si="2"/>
        <v>45271</v>
      </c>
      <c r="M209" s="29">
        <f>IFERROR(__xludf.DUMMYFUNCTION("if(isblank(L209),, index(googlefinance(A209,M$2,L209-1),2,2))"),268.75)</f>
        <v>268.75</v>
      </c>
      <c r="N209" s="30">
        <f>IFERROR(__xludf.DUMMYFUNCTION("if(isblank(A209),,googlefinance(A209))"),252.71)</f>
        <v>252.71</v>
      </c>
      <c r="O209" s="31" t="str">
        <f t="shared" si="11"/>
        <v>Completed</v>
      </c>
      <c r="P209" s="38" t="str">
        <f t="shared" si="4"/>
        <v>Loss</v>
      </c>
      <c r="Q209" s="39">
        <f t="shared" si="5"/>
        <v>-19.71</v>
      </c>
      <c r="R209" s="31" t="b">
        <f t="shared" si="6"/>
        <v>0</v>
      </c>
      <c r="S209" s="34">
        <f t="shared" si="12"/>
        <v>6.57</v>
      </c>
      <c r="T209" s="10">
        <f t="shared" si="8"/>
        <v>3</v>
      </c>
      <c r="U209" s="11"/>
      <c r="V209" s="12"/>
      <c r="W209" s="12"/>
      <c r="X209" s="12"/>
      <c r="Y209" s="12"/>
      <c r="Z209" s="12"/>
    </row>
    <row r="210" ht="13.5" hidden="1" customHeight="1">
      <c r="A210" s="1" t="s">
        <v>71</v>
      </c>
      <c r="B210" s="35">
        <v>10.0</v>
      </c>
      <c r="C210" s="10">
        <v>144.06</v>
      </c>
      <c r="D210" s="10">
        <v>10.0</v>
      </c>
      <c r="E210" s="10">
        <v>1.788</v>
      </c>
      <c r="F210" s="49"/>
      <c r="G210" s="23">
        <v>45266.0</v>
      </c>
      <c r="H210" s="48"/>
      <c r="I210" s="25">
        <v>45271.0</v>
      </c>
      <c r="J210" s="26">
        <f t="shared" si="14"/>
        <v>45266</v>
      </c>
      <c r="K210" s="27">
        <f>IFERROR(__xludf.DUMMYFUNCTION("if(isblank(J210),,index(googlefinance(A210,K$2,J210-1),2,2))"),22.72)</f>
        <v>22.72</v>
      </c>
      <c r="L210" s="28">
        <f t="shared" si="2"/>
        <v>45271</v>
      </c>
      <c r="M210" s="29">
        <f>IFERROR(__xludf.DUMMYFUNCTION("if(isblank(L210),, index(googlefinance(A210,M$2,L210-1),2,2))"),23.1)</f>
        <v>23.1</v>
      </c>
      <c r="N210" s="30">
        <f>IFERROR(__xludf.DUMMYFUNCTION("if(isblank(A210),,googlefinance(A210))"),25.58)</f>
        <v>25.58</v>
      </c>
      <c r="O210" s="31" t="str">
        <f t="shared" si="11"/>
        <v>Completed</v>
      </c>
      <c r="P210" s="38" t="str">
        <f t="shared" si="4"/>
        <v>Loss</v>
      </c>
      <c r="Q210" s="39">
        <f t="shared" si="5"/>
        <v>-16.72</v>
      </c>
      <c r="R210" s="31" t="b">
        <f t="shared" si="6"/>
        <v>0</v>
      </c>
      <c r="S210" s="34">
        <f t="shared" si="12"/>
        <v>0.38</v>
      </c>
      <c r="T210" s="10">
        <f t="shared" si="8"/>
        <v>44</v>
      </c>
      <c r="U210" s="11"/>
      <c r="V210" s="12"/>
      <c r="W210" s="12"/>
      <c r="X210" s="12"/>
      <c r="Y210" s="12"/>
      <c r="Z210" s="12"/>
    </row>
    <row r="211" ht="13.5" hidden="1" customHeight="1">
      <c r="A211" s="1" t="s">
        <v>177</v>
      </c>
      <c r="B211" s="35">
        <v>11.0</v>
      </c>
      <c r="C211" s="10">
        <v>429.66</v>
      </c>
      <c r="D211" s="10">
        <v>45.455</v>
      </c>
      <c r="E211" s="10">
        <v>3.425</v>
      </c>
      <c r="F211" s="49"/>
      <c r="G211" s="23">
        <v>45266.0</v>
      </c>
      <c r="H211" s="48"/>
      <c r="I211" s="25">
        <v>45282.0</v>
      </c>
      <c r="J211" s="26">
        <f t="shared" si="14"/>
        <v>45266</v>
      </c>
      <c r="K211" s="27">
        <f>IFERROR(__xludf.DUMMYFUNCTION("if(isblank(J211),,index(googlefinance(A211,K$2,J211-1),2,2))"),36.26)</f>
        <v>36.26</v>
      </c>
      <c r="L211" s="28">
        <f t="shared" si="2"/>
        <v>45282</v>
      </c>
      <c r="M211" s="29">
        <f>IFERROR(__xludf.DUMMYFUNCTION("if(isblank(L211),, index(googlefinance(A211,M$2,L211-1),2,2))"),34.97)</f>
        <v>34.97</v>
      </c>
      <c r="N211" s="30">
        <f>IFERROR(__xludf.DUMMYFUNCTION("if(isblank(A211),,googlefinance(A211))"),35.55)</f>
        <v>35.55</v>
      </c>
      <c r="O211" s="31" t="str">
        <f t="shared" si="11"/>
        <v>Completed</v>
      </c>
      <c r="P211" s="32" t="str">
        <f t="shared" si="4"/>
        <v>Profit</v>
      </c>
      <c r="Q211" s="33">
        <f t="shared" si="5"/>
        <v>34.83</v>
      </c>
      <c r="R211" s="31" t="b">
        <f t="shared" si="6"/>
        <v>1</v>
      </c>
      <c r="S211" s="34">
        <f t="shared" si="12"/>
        <v>-1.29</v>
      </c>
      <c r="T211" s="10">
        <f t="shared" si="8"/>
        <v>27</v>
      </c>
      <c r="U211" s="11"/>
      <c r="V211" s="12"/>
      <c r="W211" s="12"/>
      <c r="X211" s="12"/>
      <c r="Y211" s="12"/>
      <c r="Z211" s="12"/>
    </row>
    <row r="212" ht="13.5" hidden="1" customHeight="1">
      <c r="A212" s="1" t="s">
        <v>178</v>
      </c>
      <c r="B212" s="35">
        <v>16.0</v>
      </c>
      <c r="C212" s="10">
        <v>389.78</v>
      </c>
      <c r="D212" s="10">
        <v>43.75</v>
      </c>
      <c r="E212" s="10">
        <v>2.145</v>
      </c>
      <c r="F212" s="49"/>
      <c r="G212" s="23">
        <v>45268.0</v>
      </c>
      <c r="H212" s="48"/>
      <c r="I212" s="25">
        <v>45273.0</v>
      </c>
      <c r="J212" s="26">
        <f t="shared" si="14"/>
        <v>45268</v>
      </c>
      <c r="K212" s="27">
        <f>IFERROR(__xludf.DUMMYFUNCTION("if(isblank(J212),,index(googlefinance(A212,K$2,J212-1),2,2))"),124.62)</f>
        <v>124.62</v>
      </c>
      <c r="L212" s="28">
        <f t="shared" si="2"/>
        <v>45273</v>
      </c>
      <c r="M212" s="29">
        <f>IFERROR(__xludf.DUMMYFUNCTION("if(isblank(L212),, index(googlefinance(A212,M$2,L212-1),2,2))"),125.22)</f>
        <v>125.22</v>
      </c>
      <c r="N212" s="30">
        <f>IFERROR(__xludf.DUMMYFUNCTION("if(isblank(A212),,googlefinance(A212))"),135.24)</f>
        <v>135.24</v>
      </c>
      <c r="O212" s="31" t="str">
        <f t="shared" si="11"/>
        <v>Completed</v>
      </c>
      <c r="P212" s="38" t="str">
        <f t="shared" si="4"/>
        <v>Loss</v>
      </c>
      <c r="Q212" s="39">
        <f t="shared" si="5"/>
        <v>-4.8</v>
      </c>
      <c r="R212" s="31" t="b">
        <f t="shared" si="6"/>
        <v>0</v>
      </c>
      <c r="S212" s="34">
        <f t="shared" si="12"/>
        <v>0.6</v>
      </c>
      <c r="T212" s="10">
        <f t="shared" si="8"/>
        <v>8</v>
      </c>
      <c r="U212" s="11"/>
      <c r="V212" s="12"/>
      <c r="W212" s="12"/>
      <c r="X212" s="12"/>
      <c r="Y212" s="12"/>
      <c r="Z212" s="12"/>
    </row>
    <row r="213" ht="13.5" hidden="1" customHeight="1">
      <c r="A213" s="1" t="s">
        <v>179</v>
      </c>
      <c r="B213" s="35">
        <v>15.0</v>
      </c>
      <c r="C213" s="10">
        <v>193.84</v>
      </c>
      <c r="D213" s="10">
        <v>33.333</v>
      </c>
      <c r="E213" s="10">
        <v>1.539</v>
      </c>
      <c r="F213" s="49"/>
      <c r="G213" s="23">
        <v>45268.0</v>
      </c>
      <c r="H213" s="48"/>
      <c r="I213" s="25">
        <v>45274.0</v>
      </c>
      <c r="J213" s="26">
        <f t="shared" si="14"/>
        <v>45268</v>
      </c>
      <c r="K213" s="27">
        <f>IFERROR(__xludf.DUMMYFUNCTION("if(isblank(J213),,index(googlefinance(A213,K$2,J213-1),2,2))"),114.41)</f>
        <v>114.41</v>
      </c>
      <c r="L213" s="28">
        <f t="shared" si="2"/>
        <v>45274</v>
      </c>
      <c r="M213" s="29">
        <f>IFERROR(__xludf.DUMMYFUNCTION("if(isblank(L213),, index(googlefinance(A213,M$2,L213-1),2,2))"),115.36)</f>
        <v>115.36</v>
      </c>
      <c r="N213" s="30">
        <f>IFERROR(__xludf.DUMMYFUNCTION("if(isblank(A213),,googlefinance(A213))"),116.22)</f>
        <v>116.22</v>
      </c>
      <c r="O213" s="31" t="str">
        <f t="shared" si="11"/>
        <v>Completed</v>
      </c>
      <c r="P213" s="38" t="str">
        <f t="shared" si="4"/>
        <v>Loss</v>
      </c>
      <c r="Q213" s="39">
        <f t="shared" si="5"/>
        <v>-7.6</v>
      </c>
      <c r="R213" s="31" t="b">
        <f t="shared" si="6"/>
        <v>0</v>
      </c>
      <c r="S213" s="34">
        <f t="shared" si="12"/>
        <v>0.95</v>
      </c>
      <c r="T213" s="10">
        <f t="shared" si="8"/>
        <v>8</v>
      </c>
      <c r="U213" s="11"/>
      <c r="V213" s="12"/>
      <c r="W213" s="12"/>
      <c r="X213" s="12"/>
      <c r="Y213" s="12"/>
      <c r="Z213" s="12"/>
    </row>
    <row r="214" ht="13.5" hidden="1" customHeight="1">
      <c r="A214" s="1" t="s">
        <v>137</v>
      </c>
      <c r="B214" s="35">
        <v>11.0</v>
      </c>
      <c r="C214" s="10">
        <v>184.14</v>
      </c>
      <c r="D214" s="10">
        <v>36.364</v>
      </c>
      <c r="E214" s="31">
        <v>1.735</v>
      </c>
      <c r="F214" s="22"/>
      <c r="G214" s="23">
        <v>45268.0</v>
      </c>
      <c r="H214" s="48"/>
      <c r="I214" s="25">
        <v>45273.0</v>
      </c>
      <c r="J214" s="26">
        <f t="shared" si="14"/>
        <v>45268</v>
      </c>
      <c r="K214" s="27">
        <f>IFERROR(__xludf.DUMMYFUNCTION("if(isblank(J214),,index(googlefinance(A214,K$2,J214-1),2,2))"),163.22)</f>
        <v>163.22</v>
      </c>
      <c r="L214" s="28">
        <f t="shared" si="2"/>
        <v>45273</v>
      </c>
      <c r="M214" s="29">
        <f>IFERROR(__xludf.DUMMYFUNCTION("if(isblank(L214),, index(googlefinance(A214,M$2,L214-1),2,2))"),163.76)</f>
        <v>163.76</v>
      </c>
      <c r="N214" s="30">
        <f>IFERROR(__xludf.DUMMYFUNCTION("if(isblank(A214),,googlefinance(A214))"),170.57)</f>
        <v>170.57</v>
      </c>
      <c r="O214" s="31" t="str">
        <f t="shared" si="11"/>
        <v>Completed</v>
      </c>
      <c r="P214" s="38" t="str">
        <f t="shared" si="4"/>
        <v>Loss</v>
      </c>
      <c r="Q214" s="39">
        <f t="shared" si="5"/>
        <v>-3.24</v>
      </c>
      <c r="R214" s="31" t="b">
        <f t="shared" si="6"/>
        <v>0</v>
      </c>
      <c r="S214" s="34">
        <f t="shared" si="12"/>
        <v>0.54</v>
      </c>
      <c r="T214" s="10">
        <f t="shared" si="8"/>
        <v>6</v>
      </c>
      <c r="U214" s="11"/>
      <c r="V214" s="12"/>
      <c r="W214" s="12"/>
      <c r="X214" s="12"/>
      <c r="Y214" s="12"/>
      <c r="Z214" s="12"/>
    </row>
    <row r="215" ht="13.5" hidden="1" customHeight="1">
      <c r="A215" s="1" t="s">
        <v>180</v>
      </c>
      <c r="B215" s="35">
        <v>12.0</v>
      </c>
      <c r="C215" s="10">
        <v>257.865</v>
      </c>
      <c r="D215" s="10">
        <v>66.667</v>
      </c>
      <c r="E215" s="10">
        <v>2.292</v>
      </c>
      <c r="F215" s="22"/>
      <c r="G215" s="23">
        <v>45275.0</v>
      </c>
      <c r="H215" s="48"/>
      <c r="I215" s="25">
        <v>45287.0</v>
      </c>
      <c r="J215" s="26">
        <f t="shared" si="14"/>
        <v>45275</v>
      </c>
      <c r="K215" s="27">
        <f>IFERROR(__xludf.DUMMYFUNCTION("if(isblank(J215),,index(googlefinance(A215,K$2,J215-1),2,2))"),68.28)</f>
        <v>68.28</v>
      </c>
      <c r="L215" s="28">
        <f t="shared" si="2"/>
        <v>45287</v>
      </c>
      <c r="M215" s="29">
        <f>IFERROR(__xludf.DUMMYFUNCTION("if(isblank(L215),, index(googlefinance(A215,M$2,L215-1),2,2))"),68.16)</f>
        <v>68.16</v>
      </c>
      <c r="N215" s="30">
        <f>IFERROR(__xludf.DUMMYFUNCTION("if(isblank(A215),,googlefinance(A215))"),67.24)</f>
        <v>67.24</v>
      </c>
      <c r="O215" s="31" t="str">
        <f t="shared" si="11"/>
        <v>Completed</v>
      </c>
      <c r="P215" s="32" t="str">
        <f t="shared" si="4"/>
        <v>Profit</v>
      </c>
      <c r="Q215" s="33">
        <f t="shared" si="5"/>
        <v>1.68</v>
      </c>
      <c r="R215" s="31" t="b">
        <f t="shared" si="6"/>
        <v>1</v>
      </c>
      <c r="S215" s="34">
        <f t="shared" si="12"/>
        <v>-0.12</v>
      </c>
      <c r="T215" s="10">
        <f t="shared" si="8"/>
        <v>14</v>
      </c>
      <c r="U215" s="11"/>
      <c r="V215" s="12"/>
      <c r="W215" s="12"/>
      <c r="X215" s="12"/>
      <c r="Y215" s="12"/>
      <c r="Z215" s="12"/>
    </row>
    <row r="216" ht="13.5" hidden="1" customHeight="1">
      <c r="A216" s="1" t="s">
        <v>122</v>
      </c>
      <c r="B216" s="35">
        <v>13.0</v>
      </c>
      <c r="C216" s="10">
        <v>3.05</v>
      </c>
      <c r="D216" s="10">
        <v>30.769</v>
      </c>
      <c r="E216" s="10">
        <v>1.013</v>
      </c>
      <c r="F216" s="22"/>
      <c r="G216" s="23">
        <v>45275.0</v>
      </c>
      <c r="H216" s="48"/>
      <c r="I216" s="25">
        <v>45288.0</v>
      </c>
      <c r="J216" s="26">
        <f t="shared" si="14"/>
        <v>45275</v>
      </c>
      <c r="K216" s="27">
        <f>IFERROR(__xludf.DUMMYFUNCTION("if(isblank(J216),,index(googlefinance(A216,K$2,J216-1),2,2))"),62.78)</f>
        <v>62.78</v>
      </c>
      <c r="L216" s="28">
        <f t="shared" si="2"/>
        <v>45288</v>
      </c>
      <c r="M216" s="29">
        <f>IFERROR(__xludf.DUMMYFUNCTION("if(isblank(L216),, index(googlefinance(A216,M$2,L216-1),2,2))"),60.58)</f>
        <v>60.58</v>
      </c>
      <c r="N216" s="30">
        <f>IFERROR(__xludf.DUMMYFUNCTION("if(isblank(A216),,googlefinance(A216))"),62.08)</f>
        <v>62.08</v>
      </c>
      <c r="O216" s="31" t="str">
        <f t="shared" si="11"/>
        <v>Completed</v>
      </c>
      <c r="P216" s="32" t="str">
        <f t="shared" si="4"/>
        <v>Profit</v>
      </c>
      <c r="Q216" s="33">
        <f t="shared" si="5"/>
        <v>33</v>
      </c>
      <c r="R216" s="31" t="b">
        <f t="shared" si="6"/>
        <v>1</v>
      </c>
      <c r="S216" s="34">
        <f t="shared" si="12"/>
        <v>-2.2</v>
      </c>
      <c r="T216" s="10">
        <f t="shared" si="8"/>
        <v>15</v>
      </c>
      <c r="U216" s="11"/>
      <c r="V216" s="12"/>
      <c r="W216" s="12"/>
      <c r="X216" s="12"/>
      <c r="Y216" s="12"/>
      <c r="Z216" s="12"/>
    </row>
    <row r="217" ht="13.5" hidden="1" customHeight="1">
      <c r="A217" s="1" t="s">
        <v>36</v>
      </c>
      <c r="B217" s="35">
        <v>7.0</v>
      </c>
      <c r="C217" s="10">
        <v>624.45</v>
      </c>
      <c r="D217" s="10">
        <v>57.143</v>
      </c>
      <c r="E217" s="10">
        <v>5.575</v>
      </c>
      <c r="F217" s="23">
        <v>45275.0</v>
      </c>
      <c r="G217" s="22"/>
      <c r="H217" s="48"/>
      <c r="I217" s="48"/>
      <c r="J217" s="36">
        <f t="shared" si="14"/>
        <v>45275</v>
      </c>
      <c r="K217" s="27">
        <f>IFERROR(__xludf.DUMMYFUNCTION("if(isblank(J217),,index(googlefinance(A217,K$2,J217-1),2,2))"),58.76)</f>
        <v>58.76</v>
      </c>
      <c r="L217" s="50" t="str">
        <f t="shared" si="2"/>
        <v/>
      </c>
      <c r="M217" s="7" t="str">
        <f>IFERROR(__xludf.DUMMYFUNCTION("if(isblank(L217),, index(googlefinance(A217,M$2,L217-1),2,2))"),"")</f>
        <v/>
      </c>
      <c r="N217" s="30">
        <f>IFERROR(__xludf.DUMMYFUNCTION("if(isblank(A217),,googlefinance(A217))"),58.94)</f>
        <v>58.94</v>
      </c>
      <c r="O217" s="51" t="str">
        <f t="shared" si="11"/>
        <v>Ongoing</v>
      </c>
      <c r="P217" s="32" t="str">
        <f t="shared" si="4"/>
        <v>Profit</v>
      </c>
      <c r="Q217" s="33">
        <f t="shared" si="5"/>
        <v>3.06</v>
      </c>
      <c r="R217" s="31" t="b">
        <f t="shared" si="6"/>
        <v>1</v>
      </c>
      <c r="S217" s="34">
        <f t="shared" si="12"/>
        <v>0.18</v>
      </c>
      <c r="T217" s="10">
        <f t="shared" si="8"/>
        <v>17</v>
      </c>
      <c r="U217" s="11"/>
      <c r="V217" s="12"/>
      <c r="W217" s="12"/>
      <c r="X217" s="12"/>
      <c r="Y217" s="12"/>
      <c r="Z217" s="12"/>
    </row>
    <row r="218" ht="13.5" hidden="1" customHeight="1">
      <c r="A218" s="1" t="s">
        <v>100</v>
      </c>
      <c r="B218" s="35">
        <v>12.0</v>
      </c>
      <c r="C218" s="10">
        <v>339.73</v>
      </c>
      <c r="D218" s="10">
        <v>41.667</v>
      </c>
      <c r="E218" s="10">
        <v>2.329</v>
      </c>
      <c r="F218" s="23">
        <v>45275.0</v>
      </c>
      <c r="G218" s="22"/>
      <c r="H218" s="48"/>
      <c r="I218" s="48"/>
      <c r="J218" s="36">
        <f t="shared" si="14"/>
        <v>45275</v>
      </c>
      <c r="K218" s="27">
        <f>IFERROR(__xludf.DUMMYFUNCTION("if(isblank(J218),,index(googlefinance(A218,K$2,J218-1),2,2))"),52.42)</f>
        <v>52.42</v>
      </c>
      <c r="L218" s="50" t="str">
        <f t="shared" si="2"/>
        <v/>
      </c>
      <c r="M218" s="7" t="str">
        <f>IFERROR(__xludf.DUMMYFUNCTION("if(isblank(L218),, index(googlefinance(A218,M$2,L218-1),2,2))"),"")</f>
        <v/>
      </c>
      <c r="N218" s="30">
        <f>IFERROR(__xludf.DUMMYFUNCTION("if(isblank(A218),,googlefinance(A218))"),51.86)</f>
        <v>51.86</v>
      </c>
      <c r="O218" s="51" t="str">
        <f t="shared" si="11"/>
        <v>Ongoing</v>
      </c>
      <c r="P218" s="38" t="str">
        <f t="shared" si="4"/>
        <v>Loss</v>
      </c>
      <c r="Q218" s="39">
        <f t="shared" si="5"/>
        <v>-10.64</v>
      </c>
      <c r="R218" s="31" t="b">
        <f t="shared" si="6"/>
        <v>0</v>
      </c>
      <c r="S218" s="34">
        <f t="shared" si="12"/>
        <v>-0.56</v>
      </c>
      <c r="T218" s="10">
        <f t="shared" si="8"/>
        <v>19</v>
      </c>
      <c r="U218" s="11"/>
      <c r="V218" s="12"/>
      <c r="W218" s="12"/>
      <c r="X218" s="12"/>
      <c r="Y218" s="12"/>
      <c r="Z218" s="12"/>
    </row>
    <row r="219" ht="13.5" hidden="1" customHeight="1">
      <c r="A219" s="1" t="s">
        <v>123</v>
      </c>
      <c r="B219" s="35">
        <v>11.0</v>
      </c>
      <c r="C219" s="10">
        <v>81.88</v>
      </c>
      <c r="D219" s="10">
        <v>63.636</v>
      </c>
      <c r="E219" s="10">
        <v>2.456</v>
      </c>
      <c r="F219" s="22"/>
      <c r="G219" s="23">
        <v>45278.0</v>
      </c>
      <c r="H219" s="48"/>
      <c r="I219" s="25">
        <v>45293.0</v>
      </c>
      <c r="J219" s="26">
        <f t="shared" si="14"/>
        <v>45278</v>
      </c>
      <c r="K219" s="27">
        <f>IFERROR(__xludf.DUMMYFUNCTION("if(isblank(J219),,index(googlefinance(A219,K$2,J219-1),2,2))"),43.76)</f>
        <v>43.76</v>
      </c>
      <c r="L219" s="28">
        <f t="shared" si="2"/>
        <v>45293</v>
      </c>
      <c r="M219" s="29">
        <f>IFERROR(__xludf.DUMMYFUNCTION("if(isblank(L219),, index(googlefinance(A219,M$2,L219-1),2,2))"),44.74)</f>
        <v>44.74</v>
      </c>
      <c r="N219" s="30">
        <f>IFERROR(__xludf.DUMMYFUNCTION("if(isblank(A219),,googlefinance(A219))"),43.61)</f>
        <v>43.61</v>
      </c>
      <c r="O219" s="31" t="str">
        <f t="shared" si="11"/>
        <v>Completed</v>
      </c>
      <c r="P219" s="38" t="str">
        <f t="shared" si="4"/>
        <v>Loss</v>
      </c>
      <c r="Q219" s="39">
        <f t="shared" si="5"/>
        <v>-21.56</v>
      </c>
      <c r="R219" s="31" t="b">
        <f t="shared" si="6"/>
        <v>0</v>
      </c>
      <c r="S219" s="34">
        <f t="shared" si="12"/>
        <v>0.98</v>
      </c>
      <c r="T219" s="10">
        <f t="shared" si="8"/>
        <v>22</v>
      </c>
      <c r="U219" s="11"/>
      <c r="V219" s="12"/>
      <c r="W219" s="12"/>
      <c r="X219" s="12"/>
      <c r="Y219" s="12"/>
      <c r="Z219" s="12"/>
    </row>
    <row r="220" ht="13.5" hidden="1" customHeight="1">
      <c r="A220" s="1" t="s">
        <v>34</v>
      </c>
      <c r="B220" s="35">
        <v>12.0</v>
      </c>
      <c r="C220" s="10">
        <v>296.31</v>
      </c>
      <c r="D220" s="10">
        <v>33.333</v>
      </c>
      <c r="E220" s="10">
        <v>3.573</v>
      </c>
      <c r="F220" s="22"/>
      <c r="G220" s="23">
        <v>45278.0</v>
      </c>
      <c r="H220" s="48"/>
      <c r="I220" s="25">
        <v>45288.0</v>
      </c>
      <c r="J220" s="26">
        <f t="shared" si="14"/>
        <v>45278</v>
      </c>
      <c r="K220" s="27">
        <f>IFERROR(__xludf.DUMMYFUNCTION("if(isblank(J220),,index(googlefinance(A220,K$2,J220-1),2,2))"),51.46)</f>
        <v>51.46</v>
      </c>
      <c r="L220" s="28">
        <f t="shared" si="2"/>
        <v>45288</v>
      </c>
      <c r="M220" s="29">
        <f>IFERROR(__xludf.DUMMYFUNCTION("if(isblank(L220),, index(googlefinance(A220,M$2,L220-1),2,2))"),51.85)</f>
        <v>51.85</v>
      </c>
      <c r="N220" s="30">
        <f>IFERROR(__xludf.DUMMYFUNCTION("if(isblank(A220),,googlefinance(A220))"),53.7)</f>
        <v>53.7</v>
      </c>
      <c r="O220" s="31" t="str">
        <f t="shared" si="11"/>
        <v>Completed</v>
      </c>
      <c r="P220" s="38" t="str">
        <f t="shared" si="4"/>
        <v>Loss</v>
      </c>
      <c r="Q220" s="39">
        <f t="shared" si="5"/>
        <v>-7.41</v>
      </c>
      <c r="R220" s="31" t="b">
        <f t="shared" si="6"/>
        <v>0</v>
      </c>
      <c r="S220" s="34">
        <f t="shared" si="12"/>
        <v>0.39</v>
      </c>
      <c r="T220" s="10">
        <f t="shared" si="8"/>
        <v>19</v>
      </c>
      <c r="U220" s="11"/>
      <c r="V220" s="12"/>
      <c r="W220" s="12"/>
      <c r="X220" s="12"/>
      <c r="Y220" s="12"/>
      <c r="Z220" s="12"/>
    </row>
    <row r="221" ht="13.5" hidden="1" customHeight="1">
      <c r="A221" s="1" t="s">
        <v>181</v>
      </c>
      <c r="B221" s="35">
        <v>9.0</v>
      </c>
      <c r="C221" s="10">
        <v>455.73</v>
      </c>
      <c r="D221" s="10">
        <v>44.444</v>
      </c>
      <c r="E221" s="10">
        <v>3.993</v>
      </c>
      <c r="F221" s="22"/>
      <c r="G221" s="23">
        <v>45278.0</v>
      </c>
      <c r="H221" s="48"/>
      <c r="I221" s="25">
        <v>45282.0</v>
      </c>
      <c r="J221" s="26">
        <f t="shared" si="14"/>
        <v>45278</v>
      </c>
      <c r="K221" s="27">
        <f>IFERROR(__xludf.DUMMYFUNCTION("if(isblank(J221),,index(googlefinance(A221,K$2,J221-1),2,2))"),60.62)</f>
        <v>60.62</v>
      </c>
      <c r="L221" s="28">
        <f t="shared" si="2"/>
        <v>45282</v>
      </c>
      <c r="M221" s="29">
        <f>IFERROR(__xludf.DUMMYFUNCTION("if(isblank(L221),, index(googlefinance(A221,M$2,L221-1),2,2))"),61.69)</f>
        <v>61.69</v>
      </c>
      <c r="N221" s="30">
        <f>IFERROR(__xludf.DUMMYFUNCTION("if(isblank(A221),,googlefinance(A221))"),65.26)</f>
        <v>65.26</v>
      </c>
      <c r="O221" s="31" t="str">
        <f t="shared" si="11"/>
        <v>Completed</v>
      </c>
      <c r="P221" s="38" t="str">
        <f t="shared" si="4"/>
        <v>Loss</v>
      </c>
      <c r="Q221" s="39">
        <f t="shared" si="5"/>
        <v>-17.12</v>
      </c>
      <c r="R221" s="31" t="b">
        <f t="shared" si="6"/>
        <v>0</v>
      </c>
      <c r="S221" s="34">
        <f t="shared" si="12"/>
        <v>1.07</v>
      </c>
      <c r="T221" s="10">
        <f t="shared" si="8"/>
        <v>16</v>
      </c>
      <c r="U221" s="11"/>
      <c r="V221" s="12"/>
      <c r="W221" s="12"/>
      <c r="X221" s="12"/>
      <c r="Y221" s="12"/>
      <c r="Z221" s="12"/>
    </row>
    <row r="222" ht="13.5" hidden="1" customHeight="1">
      <c r="A222" s="1" t="s">
        <v>182</v>
      </c>
      <c r="B222" s="35">
        <v>8.0</v>
      </c>
      <c r="C222" s="10">
        <v>74.67</v>
      </c>
      <c r="D222" s="10">
        <v>37.5</v>
      </c>
      <c r="E222" s="10">
        <v>2.228</v>
      </c>
      <c r="F222" s="22"/>
      <c r="G222" s="23">
        <v>45278.0</v>
      </c>
      <c r="H222" s="48"/>
      <c r="I222" s="25">
        <v>45282.0</v>
      </c>
      <c r="J222" s="26">
        <f t="shared" si="14"/>
        <v>45278</v>
      </c>
      <c r="K222" s="27">
        <f>IFERROR(__xludf.DUMMYFUNCTION("if(isblank(J222),,index(googlefinance(A222,K$2,J222-1),2,2))"),32.4)</f>
        <v>32.4</v>
      </c>
      <c r="L222" s="28">
        <f t="shared" si="2"/>
        <v>45282</v>
      </c>
      <c r="M222" s="29">
        <f>IFERROR(__xludf.DUMMYFUNCTION("if(isblank(L222),, index(googlefinance(A222,M$2,L222-1),2,2))"),32.52)</f>
        <v>32.52</v>
      </c>
      <c r="N222" s="30">
        <f>IFERROR(__xludf.DUMMYFUNCTION("if(isblank(A222),,googlefinance(A222))"),31.97)</f>
        <v>31.97</v>
      </c>
      <c r="O222" s="31" t="str">
        <f t="shared" si="11"/>
        <v>Completed</v>
      </c>
      <c r="P222" s="38" t="str">
        <f t="shared" si="4"/>
        <v>Loss</v>
      </c>
      <c r="Q222" s="39">
        <f t="shared" si="5"/>
        <v>-3.6</v>
      </c>
      <c r="R222" s="31" t="b">
        <f t="shared" si="6"/>
        <v>0</v>
      </c>
      <c r="S222" s="34">
        <f t="shared" si="12"/>
        <v>0.12</v>
      </c>
      <c r="T222" s="10">
        <f t="shared" si="8"/>
        <v>30</v>
      </c>
      <c r="U222" s="11"/>
      <c r="V222" s="12"/>
      <c r="W222" s="12"/>
      <c r="X222" s="12"/>
      <c r="Y222" s="12"/>
      <c r="Z222" s="12"/>
    </row>
    <row r="223" ht="13.5" hidden="1" customHeight="1">
      <c r="A223" s="1" t="s">
        <v>69</v>
      </c>
      <c r="B223" s="35">
        <v>7.0</v>
      </c>
      <c r="C223" s="10">
        <v>103.4</v>
      </c>
      <c r="D223" s="10">
        <v>42.857</v>
      </c>
      <c r="E223" s="10">
        <v>1.976</v>
      </c>
      <c r="F223" s="23">
        <v>45278.0</v>
      </c>
      <c r="G223" s="22"/>
      <c r="H223" s="25">
        <v>45288.0</v>
      </c>
      <c r="I223" s="48"/>
      <c r="J223" s="36">
        <f t="shared" si="14"/>
        <v>45278</v>
      </c>
      <c r="K223" s="27">
        <f>IFERROR(__xludf.DUMMYFUNCTION("if(isblank(J223),,index(googlefinance(A223,K$2,J223-1),2,2))"),101.65)</f>
        <v>101.65</v>
      </c>
      <c r="L223" s="37">
        <f t="shared" si="2"/>
        <v>45288</v>
      </c>
      <c r="M223" s="29">
        <f>IFERROR(__xludf.DUMMYFUNCTION("if(isblank(L223),, index(googlefinance(A223,M$2,L223-1),2,2))"),101.66)</f>
        <v>101.66</v>
      </c>
      <c r="N223" s="30">
        <f>IFERROR(__xludf.DUMMYFUNCTION("if(isblank(A223),,googlefinance(A223))"),102.63)</f>
        <v>102.63</v>
      </c>
      <c r="O223" s="31" t="str">
        <f t="shared" si="11"/>
        <v>Completed</v>
      </c>
      <c r="P223" s="32" t="str">
        <f t="shared" si="4"/>
        <v>Profit</v>
      </c>
      <c r="Q223" s="33">
        <f t="shared" si="5"/>
        <v>0.09</v>
      </c>
      <c r="R223" s="31" t="b">
        <f t="shared" si="6"/>
        <v>1</v>
      </c>
      <c r="S223" s="34">
        <f t="shared" si="12"/>
        <v>0.01</v>
      </c>
      <c r="T223" s="10">
        <f t="shared" si="8"/>
        <v>9</v>
      </c>
      <c r="U223" s="11"/>
      <c r="V223" s="12"/>
      <c r="W223" s="12"/>
      <c r="X223" s="12"/>
      <c r="Y223" s="12"/>
      <c r="Z223" s="12"/>
    </row>
    <row r="224" ht="13.5" hidden="1" customHeight="1">
      <c r="A224" s="1" t="s">
        <v>26</v>
      </c>
      <c r="B224" s="35">
        <v>14.0</v>
      </c>
      <c r="C224" s="10">
        <v>102.58</v>
      </c>
      <c r="D224" s="10">
        <v>50.0</v>
      </c>
      <c r="E224" s="10">
        <v>1.611</v>
      </c>
      <c r="F224" s="22"/>
      <c r="G224" s="23">
        <v>45279.0</v>
      </c>
      <c r="H224" s="48"/>
      <c r="I224" s="25">
        <v>45293.0</v>
      </c>
      <c r="J224" s="26">
        <f t="shared" si="14"/>
        <v>45279</v>
      </c>
      <c r="K224" s="27">
        <f>IFERROR(__xludf.DUMMYFUNCTION("if(isblank(J224),,index(googlefinance(A224,K$2,J224-1),2,2))"),29.49)</f>
        <v>29.49</v>
      </c>
      <c r="L224" s="28">
        <f t="shared" si="2"/>
        <v>45293</v>
      </c>
      <c r="M224" s="29">
        <f>IFERROR(__xludf.DUMMYFUNCTION("if(isblank(L224),, index(googlefinance(A224,M$2,L224-1),2,2))"),29.53)</f>
        <v>29.53</v>
      </c>
      <c r="N224" s="30">
        <f>IFERROR(__xludf.DUMMYFUNCTION("if(isblank(A224),,googlefinance(A224))"),28.21)</f>
        <v>28.21</v>
      </c>
      <c r="O224" s="31" t="str">
        <f t="shared" si="11"/>
        <v>Completed</v>
      </c>
      <c r="P224" s="38" t="str">
        <f t="shared" si="4"/>
        <v>Loss</v>
      </c>
      <c r="Q224" s="39">
        <f t="shared" si="5"/>
        <v>-1.32</v>
      </c>
      <c r="R224" s="31" t="b">
        <f t="shared" si="6"/>
        <v>0</v>
      </c>
      <c r="S224" s="34">
        <f t="shared" si="12"/>
        <v>0.04</v>
      </c>
      <c r="T224" s="10">
        <f t="shared" si="8"/>
        <v>33</v>
      </c>
      <c r="U224" s="11"/>
      <c r="V224" s="12"/>
      <c r="W224" s="12"/>
      <c r="X224" s="12"/>
      <c r="Y224" s="12"/>
      <c r="Z224" s="12"/>
    </row>
    <row r="225" ht="13.5" hidden="1" customHeight="1">
      <c r="A225" s="1" t="s">
        <v>89</v>
      </c>
      <c r="B225" s="35">
        <v>11.0</v>
      </c>
      <c r="C225" s="10">
        <v>235.18</v>
      </c>
      <c r="D225" s="10">
        <v>45.455</v>
      </c>
      <c r="E225" s="10">
        <v>2.571</v>
      </c>
      <c r="F225" s="22"/>
      <c r="G225" s="23">
        <v>45279.0</v>
      </c>
      <c r="H225" s="48"/>
      <c r="I225" s="25">
        <v>45293.0</v>
      </c>
      <c r="J225" s="26">
        <f t="shared" si="14"/>
        <v>45279</v>
      </c>
      <c r="K225" s="27">
        <f>IFERROR(__xludf.DUMMYFUNCTION("if(isblank(J225),,index(googlefinance(A225,K$2,J225-1),2,2))"),366.24)</f>
        <v>366.24</v>
      </c>
      <c r="L225" s="28">
        <f t="shared" si="2"/>
        <v>45293</v>
      </c>
      <c r="M225" s="29">
        <f>IFERROR(__xludf.DUMMYFUNCTION("if(isblank(L225),, index(googlefinance(A225,M$2,L225-1),2,2))"),371.53)</f>
        <v>371.53</v>
      </c>
      <c r="N225" s="30">
        <f>IFERROR(__xludf.DUMMYFUNCTION("if(isblank(A225),,googlefinance(A225))"),378.59)</f>
        <v>378.59</v>
      </c>
      <c r="O225" s="31" t="str">
        <f t="shared" si="11"/>
        <v>Completed</v>
      </c>
      <c r="P225" s="38" t="str">
        <f t="shared" si="4"/>
        <v>Loss</v>
      </c>
      <c r="Q225" s="39">
        <f t="shared" si="5"/>
        <v>-10.58</v>
      </c>
      <c r="R225" s="31" t="b">
        <f t="shared" si="6"/>
        <v>0</v>
      </c>
      <c r="S225" s="34">
        <f t="shared" si="12"/>
        <v>5.29</v>
      </c>
      <c r="T225" s="10">
        <f t="shared" si="8"/>
        <v>2</v>
      </c>
      <c r="U225" s="11"/>
      <c r="V225" s="12"/>
      <c r="W225" s="12"/>
      <c r="X225" s="12"/>
      <c r="Y225" s="12"/>
      <c r="Z225" s="12"/>
    </row>
    <row r="226" ht="13.5" customHeight="1">
      <c r="A226" s="1" t="s">
        <v>166</v>
      </c>
      <c r="B226" s="35">
        <v>10.0</v>
      </c>
      <c r="C226" s="10">
        <v>91.688</v>
      </c>
      <c r="D226" s="10">
        <v>30.0</v>
      </c>
      <c r="E226" s="10">
        <v>1.356</v>
      </c>
      <c r="F226" s="23">
        <v>45279.0</v>
      </c>
      <c r="G226" s="22"/>
      <c r="H226" s="48"/>
      <c r="I226" s="48"/>
      <c r="J226" s="36">
        <f t="shared" si="14"/>
        <v>45279</v>
      </c>
      <c r="K226" s="27">
        <f>IFERROR(__xludf.DUMMYFUNCTION("if(isblank(J226),,index(googlefinance(A226,K$2,J226-1),2,2))"),27.06)</f>
        <v>27.06</v>
      </c>
      <c r="L226" s="50" t="str">
        <f t="shared" si="2"/>
        <v/>
      </c>
      <c r="M226" s="7" t="str">
        <f>IFERROR(__xludf.DUMMYFUNCTION("if(isblank(L226),, index(googlefinance(A226,M$2,L226-1),2,2))"),"")</f>
        <v/>
      </c>
      <c r="N226" s="30">
        <f>IFERROR(__xludf.DUMMYFUNCTION("if(isblank(A226),,googlefinance(A226))"),29.47)</f>
        <v>29.47</v>
      </c>
      <c r="O226" s="51" t="str">
        <f t="shared" si="11"/>
        <v>Ongoing</v>
      </c>
      <c r="P226" s="32" t="str">
        <f t="shared" si="4"/>
        <v>Profit</v>
      </c>
      <c r="Q226" s="33">
        <f t="shared" si="5"/>
        <v>86.76</v>
      </c>
      <c r="R226" s="31" t="b">
        <f t="shared" si="6"/>
        <v>1</v>
      </c>
      <c r="S226" s="34">
        <f t="shared" si="12"/>
        <v>2.41</v>
      </c>
      <c r="T226" s="10">
        <f t="shared" si="8"/>
        <v>36</v>
      </c>
      <c r="U226" s="11"/>
      <c r="Y226" s="12"/>
      <c r="Z226" s="12"/>
    </row>
    <row r="227" ht="13.5" hidden="1" customHeight="1">
      <c r="A227" s="1" t="s">
        <v>183</v>
      </c>
      <c r="B227" s="35">
        <v>10.0</v>
      </c>
      <c r="C227" s="10">
        <v>0.39</v>
      </c>
      <c r="D227" s="10">
        <v>30.0</v>
      </c>
      <c r="E227" s="10">
        <v>1.002</v>
      </c>
      <c r="F227" s="22"/>
      <c r="G227" s="23">
        <v>45279.0</v>
      </c>
      <c r="H227" s="48"/>
      <c r="I227" s="25">
        <v>45287.0</v>
      </c>
      <c r="J227" s="26">
        <f t="shared" si="14"/>
        <v>45279</v>
      </c>
      <c r="K227" s="27">
        <f>IFERROR(__xludf.DUMMYFUNCTION("if(isblank(J227),,index(googlefinance(A227,K$2,J227-1),2,2))"),850.87)</f>
        <v>850.87</v>
      </c>
      <c r="L227" s="28">
        <f t="shared" si="2"/>
        <v>45287</v>
      </c>
      <c r="M227" s="29">
        <f>IFERROR(__xludf.DUMMYFUNCTION("if(isblank(L227),, index(googlefinance(A227,M$2,L227-1),2,2))"),849.53)</f>
        <v>849.53</v>
      </c>
      <c r="N227" s="30">
        <f>IFERROR(__xludf.DUMMYFUNCTION("if(isblank(A227),,googlefinance(A227))"),913.17)</f>
        <v>913.17</v>
      </c>
      <c r="O227" s="31" t="str">
        <f t="shared" si="11"/>
        <v>Completed</v>
      </c>
      <c r="P227" s="32" t="str">
        <f t="shared" si="4"/>
        <v>Profit</v>
      </c>
      <c r="Q227" s="33">
        <f t="shared" si="5"/>
        <v>1.34</v>
      </c>
      <c r="R227" s="31" t="b">
        <f t="shared" si="6"/>
        <v>1</v>
      </c>
      <c r="S227" s="34">
        <f t="shared" si="12"/>
        <v>-1.34</v>
      </c>
      <c r="T227" s="10">
        <f t="shared" si="8"/>
        <v>1</v>
      </c>
      <c r="U227" s="11"/>
      <c r="V227" s="12"/>
      <c r="W227" s="12"/>
      <c r="X227" s="12"/>
      <c r="Y227" s="12"/>
      <c r="Z227" s="12"/>
    </row>
    <row r="228" ht="13.5" customHeight="1">
      <c r="A228" s="1" t="s">
        <v>139</v>
      </c>
      <c r="B228" s="35">
        <v>11.0</v>
      </c>
      <c r="C228" s="10">
        <v>16.73</v>
      </c>
      <c r="D228" s="10">
        <v>9.091</v>
      </c>
      <c r="E228" s="10">
        <v>1.065</v>
      </c>
      <c r="F228" s="49"/>
      <c r="G228" s="23">
        <v>45280.0</v>
      </c>
      <c r="H228" s="48"/>
      <c r="I228" s="48"/>
      <c r="J228" s="26">
        <f t="shared" si="14"/>
        <v>45280</v>
      </c>
      <c r="K228" s="27">
        <f>IFERROR(__xludf.DUMMYFUNCTION("if(isblank(J228),,index(googlefinance(A228,K$2,J228-1),2,2))"),280.0)</f>
        <v>280</v>
      </c>
      <c r="L228" s="50" t="str">
        <f t="shared" si="2"/>
        <v/>
      </c>
      <c r="M228" s="7" t="str">
        <f>IFERROR(__xludf.DUMMYFUNCTION("if(isblank(L228),, index(googlefinance(A228,M$2,L228-1),2,2))"),"")</f>
        <v/>
      </c>
      <c r="N228" s="30">
        <f>IFERROR(__xludf.DUMMYFUNCTION("if(isblank(A228),,googlefinance(A228))"),246.81)</f>
        <v>246.81</v>
      </c>
      <c r="O228" s="51" t="str">
        <f t="shared" si="11"/>
        <v>Ongoing</v>
      </c>
      <c r="P228" s="32" t="str">
        <f t="shared" si="4"/>
        <v>Profit</v>
      </c>
      <c r="Q228" s="33">
        <f t="shared" si="5"/>
        <v>99.57</v>
      </c>
      <c r="R228" s="31" t="b">
        <f t="shared" si="6"/>
        <v>1</v>
      </c>
      <c r="S228" s="34">
        <f t="shared" si="12"/>
        <v>-33.19</v>
      </c>
      <c r="T228" s="10">
        <f t="shared" si="8"/>
        <v>3</v>
      </c>
      <c r="U228" s="11"/>
      <c r="V228" s="12"/>
      <c r="W228" s="12"/>
      <c r="X228" s="12"/>
      <c r="Y228" s="12"/>
      <c r="Z228" s="12"/>
    </row>
    <row r="229" ht="13.5" hidden="1" customHeight="1">
      <c r="A229" s="1" t="s">
        <v>148</v>
      </c>
      <c r="B229" s="35">
        <v>11.0</v>
      </c>
      <c r="C229" s="10">
        <v>131.34</v>
      </c>
      <c r="D229" s="10">
        <v>36.364</v>
      </c>
      <c r="E229" s="10">
        <v>1.63</v>
      </c>
      <c r="F229" s="49"/>
      <c r="G229" s="23">
        <v>45280.0</v>
      </c>
      <c r="H229" s="48"/>
      <c r="I229" s="25">
        <v>45293.0</v>
      </c>
      <c r="J229" s="26">
        <f t="shared" si="14"/>
        <v>45280</v>
      </c>
      <c r="K229" s="27">
        <f>IFERROR(__xludf.DUMMYFUNCTION("if(isblank(J229),,index(googlefinance(A229,K$2,J229-1),2,2))"),139.36)</f>
        <v>139.36</v>
      </c>
      <c r="L229" s="28">
        <f t="shared" si="2"/>
        <v>45293</v>
      </c>
      <c r="M229" s="29">
        <f>IFERROR(__xludf.DUMMYFUNCTION("if(isblank(L229),, index(googlefinance(A229,M$2,L229-1),2,2))"),139.03)</f>
        <v>139.03</v>
      </c>
      <c r="N229" s="30">
        <f>IFERROR(__xludf.DUMMYFUNCTION("if(isblank(A229),,googlefinance(A229))"),138.19)</f>
        <v>138.19</v>
      </c>
      <c r="O229" s="31" t="str">
        <f t="shared" si="11"/>
        <v>Completed</v>
      </c>
      <c r="P229" s="32" t="str">
        <f t="shared" si="4"/>
        <v>Profit</v>
      </c>
      <c r="Q229" s="33">
        <f t="shared" si="5"/>
        <v>2.31</v>
      </c>
      <c r="R229" s="31" t="b">
        <f t="shared" si="6"/>
        <v>1</v>
      </c>
      <c r="S229" s="34">
        <f t="shared" si="12"/>
        <v>-0.33</v>
      </c>
      <c r="T229" s="10">
        <f t="shared" si="8"/>
        <v>7</v>
      </c>
      <c r="U229" s="11"/>
      <c r="V229" s="12"/>
      <c r="W229" s="12"/>
      <c r="X229" s="12"/>
      <c r="Y229" s="12"/>
      <c r="Z229" s="12"/>
    </row>
    <row r="230" ht="13.5" hidden="1" customHeight="1">
      <c r="A230" s="1" t="s">
        <v>140</v>
      </c>
      <c r="B230" s="35">
        <v>8.0</v>
      </c>
      <c r="C230" s="10">
        <v>18.927</v>
      </c>
      <c r="D230" s="10">
        <v>25.0</v>
      </c>
      <c r="E230" s="10">
        <v>1.067</v>
      </c>
      <c r="F230" s="49"/>
      <c r="G230" s="23">
        <v>45280.0</v>
      </c>
      <c r="H230" s="48"/>
      <c r="I230" s="25">
        <v>45286.0</v>
      </c>
      <c r="J230" s="26">
        <f t="shared" si="14"/>
        <v>45280</v>
      </c>
      <c r="K230" s="27">
        <f>IFERROR(__xludf.DUMMYFUNCTION("if(isblank(J230),,index(googlefinance(A230,K$2,J230-1),2,2))"),496.04)</f>
        <v>496.04</v>
      </c>
      <c r="L230" s="28">
        <f t="shared" si="2"/>
        <v>45286</v>
      </c>
      <c r="M230" s="29">
        <f>IFERROR(__xludf.DUMMYFUNCTION("if(isblank(L230),, index(googlefinance(A230,M$2,L230-1),2,2))"),492.79)</f>
        <v>492.79</v>
      </c>
      <c r="N230" s="30">
        <f>IFERROR(__xludf.DUMMYFUNCTION("if(isblank(A230),,googlefinance(A230))"),490.97)</f>
        <v>490.97</v>
      </c>
      <c r="O230" s="31" t="str">
        <f t="shared" si="11"/>
        <v>Completed</v>
      </c>
      <c r="P230" s="32" t="str">
        <f t="shared" si="4"/>
        <v>Profit</v>
      </c>
      <c r="Q230" s="33">
        <f t="shared" si="5"/>
        <v>6.5</v>
      </c>
      <c r="R230" s="31" t="b">
        <f t="shared" si="6"/>
        <v>1</v>
      </c>
      <c r="S230" s="34">
        <f t="shared" si="12"/>
        <v>-3.25</v>
      </c>
      <c r="T230" s="10">
        <f t="shared" si="8"/>
        <v>2</v>
      </c>
      <c r="U230" s="11"/>
      <c r="V230" s="12"/>
      <c r="W230" s="12"/>
      <c r="X230" s="12"/>
      <c r="Y230" s="12"/>
      <c r="Z230" s="12"/>
    </row>
    <row r="231" ht="13.5" customHeight="1">
      <c r="A231" s="1" t="s">
        <v>184</v>
      </c>
      <c r="B231" s="35">
        <v>8.0</v>
      </c>
      <c r="C231" s="10">
        <v>297.94</v>
      </c>
      <c r="D231" s="10">
        <v>37.5</v>
      </c>
      <c r="E231" s="10">
        <v>1.868</v>
      </c>
      <c r="F231" s="49"/>
      <c r="G231" s="23">
        <v>45282.0</v>
      </c>
      <c r="H231" s="48"/>
      <c r="I231" s="48"/>
      <c r="J231" s="26">
        <f t="shared" si="14"/>
        <v>45282</v>
      </c>
      <c r="K231" s="27">
        <f>IFERROR(__xludf.DUMMYFUNCTION("if(isblank(J231),,index(googlefinance(A231,K$2,J231-1),2,2))"),78.55)</f>
        <v>78.55</v>
      </c>
      <c r="L231" s="50" t="str">
        <f t="shared" si="2"/>
        <v/>
      </c>
      <c r="M231" s="7" t="str">
        <f>IFERROR(__xludf.DUMMYFUNCTION("if(isblank(L231),, index(googlefinance(A231,M$2,L231-1),2,2))"),"")</f>
        <v/>
      </c>
      <c r="N231" s="30">
        <f>IFERROR(__xludf.DUMMYFUNCTION("if(isblank(A231),,googlefinance(A231))"),73.0)</f>
        <v>73</v>
      </c>
      <c r="O231" s="51" t="str">
        <f t="shared" si="11"/>
        <v>Ongoing</v>
      </c>
      <c r="P231" s="32" t="str">
        <f t="shared" si="4"/>
        <v>Profit</v>
      </c>
      <c r="Q231" s="33">
        <f t="shared" si="5"/>
        <v>66.6</v>
      </c>
      <c r="R231" s="31" t="b">
        <f t="shared" si="6"/>
        <v>1</v>
      </c>
      <c r="S231" s="34">
        <f t="shared" si="12"/>
        <v>-5.55</v>
      </c>
      <c r="T231" s="10">
        <f t="shared" si="8"/>
        <v>12</v>
      </c>
      <c r="U231" s="11"/>
      <c r="V231" s="12"/>
      <c r="W231" s="12"/>
      <c r="X231" s="12"/>
      <c r="Y231" s="12"/>
      <c r="Z231" s="12"/>
    </row>
    <row r="232" ht="13.5" customHeight="1">
      <c r="A232" s="1" t="s">
        <v>83</v>
      </c>
      <c r="B232" s="35">
        <v>11.0</v>
      </c>
      <c r="C232" s="10">
        <v>5.15</v>
      </c>
      <c r="D232" s="10">
        <v>36.364</v>
      </c>
      <c r="E232" s="10">
        <v>1.031</v>
      </c>
      <c r="F232" s="49"/>
      <c r="G232" s="23">
        <v>45282.0</v>
      </c>
      <c r="H232" s="48"/>
      <c r="I232" s="48"/>
      <c r="J232" s="26">
        <f t="shared" si="14"/>
        <v>45282</v>
      </c>
      <c r="K232" s="27">
        <f>IFERROR(__xludf.DUMMYFUNCTION("if(isblank(J232),,index(googlefinance(A232,K$2,J232-1),2,2))"),122.53)</f>
        <v>122.53</v>
      </c>
      <c r="L232" s="50" t="str">
        <f t="shared" si="2"/>
        <v/>
      </c>
      <c r="M232" s="7" t="str">
        <f>IFERROR(__xludf.DUMMYFUNCTION("if(isblank(L232),, index(googlefinance(A232,M$2,L232-1),2,2))"),"")</f>
        <v/>
      </c>
      <c r="N232" s="30">
        <f>IFERROR(__xludf.DUMMYFUNCTION("if(isblank(A232),,googlefinance(A232))"),102.08)</f>
        <v>102.08</v>
      </c>
      <c r="O232" s="51" t="str">
        <f t="shared" si="11"/>
        <v>Ongoing</v>
      </c>
      <c r="P232" s="32" t="str">
        <f t="shared" si="4"/>
        <v>Profit</v>
      </c>
      <c r="Q232" s="33">
        <f t="shared" si="5"/>
        <v>163.6</v>
      </c>
      <c r="R232" s="31" t="b">
        <f t="shared" si="6"/>
        <v>1</v>
      </c>
      <c r="S232" s="34">
        <f t="shared" si="12"/>
        <v>-20.45</v>
      </c>
      <c r="T232" s="10">
        <f t="shared" si="8"/>
        <v>8</v>
      </c>
      <c r="U232" s="11"/>
      <c r="V232" s="12"/>
      <c r="W232" s="12"/>
      <c r="X232" s="12"/>
      <c r="Y232" s="12"/>
      <c r="Z232" s="12"/>
    </row>
    <row r="233" ht="13.5" customHeight="1">
      <c r="A233" s="1" t="s">
        <v>108</v>
      </c>
      <c r="B233" s="35">
        <v>14.0</v>
      </c>
      <c r="C233" s="10">
        <v>34.47</v>
      </c>
      <c r="D233" s="10">
        <v>42.857</v>
      </c>
      <c r="E233" s="10">
        <v>1.18</v>
      </c>
      <c r="F233" s="22"/>
      <c r="G233" s="23">
        <v>45282.0</v>
      </c>
      <c r="H233" s="48"/>
      <c r="I233" s="48"/>
      <c r="J233" s="26">
        <f t="shared" si="14"/>
        <v>45282</v>
      </c>
      <c r="K233" s="27">
        <f>IFERROR(__xludf.DUMMYFUNCTION("if(isblank(J233),,index(googlefinance(A233,K$2,J233-1),2,2))"),118.9)</f>
        <v>118.9</v>
      </c>
      <c r="L233" s="50" t="str">
        <f t="shared" si="2"/>
        <v/>
      </c>
      <c r="M233" s="7" t="str">
        <f>IFERROR(__xludf.DUMMYFUNCTION("if(isblank(L233),, index(googlefinance(A233,M$2,L233-1),2,2))"),"")</f>
        <v/>
      </c>
      <c r="N233" s="30">
        <f>IFERROR(__xludf.DUMMYFUNCTION("if(isblank(A233),,googlefinance(A233))"),117.98)</f>
        <v>117.98</v>
      </c>
      <c r="O233" s="51" t="str">
        <f t="shared" si="11"/>
        <v>Ongoing</v>
      </c>
      <c r="P233" s="32" t="str">
        <f t="shared" si="4"/>
        <v>Profit</v>
      </c>
      <c r="Q233" s="33">
        <f t="shared" si="5"/>
        <v>7.36</v>
      </c>
      <c r="R233" s="31" t="b">
        <f t="shared" si="6"/>
        <v>1</v>
      </c>
      <c r="S233" s="34">
        <f t="shared" si="12"/>
        <v>-0.92</v>
      </c>
      <c r="T233" s="10">
        <f t="shared" si="8"/>
        <v>8</v>
      </c>
      <c r="U233" s="11"/>
      <c r="V233" s="12"/>
      <c r="W233" s="12"/>
      <c r="X233" s="12"/>
      <c r="Y233" s="12"/>
      <c r="Z233" s="12"/>
    </row>
    <row r="234" ht="13.5" customHeight="1">
      <c r="A234" s="1" t="s">
        <v>39</v>
      </c>
      <c r="B234" s="35">
        <v>13.0</v>
      </c>
      <c r="C234" s="10">
        <v>63.964</v>
      </c>
      <c r="D234" s="10">
        <v>38.462</v>
      </c>
      <c r="E234" s="10">
        <v>1.358</v>
      </c>
      <c r="F234" s="23">
        <v>45288.0</v>
      </c>
      <c r="G234" s="49"/>
      <c r="H234" s="48"/>
      <c r="I234" s="48"/>
      <c r="J234" s="36">
        <f t="shared" si="14"/>
        <v>45288</v>
      </c>
      <c r="K234" s="27">
        <f>IFERROR(__xludf.DUMMYFUNCTION("if(isblank(J234),,index(googlefinance(A234,K$2,J234-1),2,2))"),35.41)</f>
        <v>35.41</v>
      </c>
      <c r="L234" s="50" t="str">
        <f t="shared" si="2"/>
        <v/>
      </c>
      <c r="M234" s="7" t="str">
        <f>IFERROR(__xludf.DUMMYFUNCTION("if(isblank(L234),, index(googlefinance(A234,M$2,L234-1),2,2))"),"")</f>
        <v/>
      </c>
      <c r="N234" s="30">
        <f>IFERROR(__xludf.DUMMYFUNCTION("if(isblank(A234),,googlefinance(A234))"),36.31)</f>
        <v>36.31</v>
      </c>
      <c r="O234" s="51" t="str">
        <f t="shared" si="11"/>
        <v>Ongoing</v>
      </c>
      <c r="P234" s="32" t="str">
        <f t="shared" si="4"/>
        <v>Profit</v>
      </c>
      <c r="Q234" s="52">
        <f t="shared" si="5"/>
        <v>25.2</v>
      </c>
      <c r="R234" s="31" t="b">
        <f t="shared" si="6"/>
        <v>1</v>
      </c>
      <c r="S234" s="34">
        <f t="shared" si="12"/>
        <v>0.9</v>
      </c>
      <c r="T234" s="10">
        <f t="shared" si="8"/>
        <v>28</v>
      </c>
      <c r="U234" s="11"/>
      <c r="V234" s="12"/>
      <c r="W234" s="53"/>
      <c r="X234" s="12"/>
      <c r="Y234" s="12"/>
      <c r="Z234" s="12"/>
    </row>
    <row r="235" ht="13.5" customHeight="1">
      <c r="A235" s="1" t="s">
        <v>27</v>
      </c>
      <c r="B235" s="35">
        <v>12.0</v>
      </c>
      <c r="C235" s="10">
        <v>52.68</v>
      </c>
      <c r="D235" s="10">
        <v>41.667</v>
      </c>
      <c r="E235" s="10">
        <v>1.25</v>
      </c>
      <c r="F235" s="49"/>
      <c r="G235" s="23">
        <v>45289.0</v>
      </c>
      <c r="H235" s="48"/>
      <c r="I235" s="48"/>
      <c r="J235" s="26">
        <f t="shared" si="14"/>
        <v>45289</v>
      </c>
      <c r="K235" s="27">
        <f>IFERROR(__xludf.DUMMYFUNCTION("if(isblank(J235),,index(googlefinance(A235,K$2,J235-1),2,2))"),273.24)</f>
        <v>273.24</v>
      </c>
      <c r="L235" s="50" t="str">
        <f t="shared" si="2"/>
        <v/>
      </c>
      <c r="M235" s="7" t="str">
        <f>IFERROR(__xludf.DUMMYFUNCTION("if(isblank(L235),, index(googlefinance(A235,M$2,L235-1),2,2))"),"")</f>
        <v/>
      </c>
      <c r="N235" s="30">
        <f>IFERROR(__xludf.DUMMYFUNCTION("if(isblank(A235),,googlefinance(A235))"),252.71)</f>
        <v>252.71</v>
      </c>
      <c r="O235" s="51" t="str">
        <f t="shared" si="11"/>
        <v>Ongoing</v>
      </c>
      <c r="P235" s="32" t="str">
        <f t="shared" si="4"/>
        <v>Profit</v>
      </c>
      <c r="Q235" s="33">
        <f t="shared" si="5"/>
        <v>61.59</v>
      </c>
      <c r="R235" s="31" t="b">
        <f t="shared" si="6"/>
        <v>1</v>
      </c>
      <c r="S235" s="34">
        <f t="shared" si="12"/>
        <v>-20.53</v>
      </c>
      <c r="T235" s="10">
        <f t="shared" si="8"/>
        <v>3</v>
      </c>
      <c r="U235" s="11"/>
      <c r="V235" s="12"/>
      <c r="W235" s="12"/>
      <c r="X235" s="12"/>
      <c r="Y235" s="12"/>
      <c r="Z235" s="12"/>
    </row>
    <row r="236" ht="13.5" customHeight="1">
      <c r="A236" s="1" t="s">
        <v>131</v>
      </c>
      <c r="B236" s="35">
        <v>9.0</v>
      </c>
      <c r="C236" s="10">
        <v>99.813</v>
      </c>
      <c r="D236" s="10">
        <v>44.444</v>
      </c>
      <c r="E236" s="10">
        <v>1.968</v>
      </c>
      <c r="F236" s="49"/>
      <c r="G236" s="23">
        <v>45293.0</v>
      </c>
      <c r="H236" s="48"/>
      <c r="I236" s="48"/>
      <c r="J236" s="26">
        <f t="shared" si="14"/>
        <v>45293</v>
      </c>
      <c r="K236" s="27">
        <f>IFERROR(__xludf.DUMMYFUNCTION("if(isblank(J236),,index(googlefinance(A236,K$2,J236-1),2,2))"),139.56)</f>
        <v>139.56</v>
      </c>
      <c r="L236" s="50" t="str">
        <f t="shared" si="2"/>
        <v/>
      </c>
      <c r="M236" s="7" t="str">
        <f>IFERROR(__xludf.DUMMYFUNCTION("if(isblank(L236),, index(googlefinance(A236,M$2,L236-1),2,2))"),"")</f>
        <v/>
      </c>
      <c r="N236" s="30">
        <f>IFERROR(__xludf.DUMMYFUNCTION("if(isblank(A236),,googlefinance(A236))"),137.39)</f>
        <v>137.39</v>
      </c>
      <c r="O236" s="51" t="str">
        <f t="shared" si="11"/>
        <v>Ongoing</v>
      </c>
      <c r="P236" s="32" t="str">
        <f t="shared" si="4"/>
        <v>Profit</v>
      </c>
      <c r="Q236" s="33">
        <f t="shared" si="5"/>
        <v>15.19</v>
      </c>
      <c r="R236" s="31" t="b">
        <f t="shared" si="6"/>
        <v>1</v>
      </c>
      <c r="S236" s="34">
        <f t="shared" si="12"/>
        <v>-2.17</v>
      </c>
      <c r="T236" s="10">
        <f t="shared" si="8"/>
        <v>7</v>
      </c>
      <c r="U236" s="11"/>
      <c r="V236" s="12"/>
      <c r="W236" s="12"/>
      <c r="X236" s="12"/>
      <c r="Y236" s="12"/>
      <c r="Z236" s="12"/>
    </row>
    <row r="237" ht="13.5" customHeight="1">
      <c r="A237" s="1" t="s">
        <v>126</v>
      </c>
      <c r="B237" s="35">
        <v>8.0</v>
      </c>
      <c r="C237" s="10">
        <v>263.024</v>
      </c>
      <c r="D237" s="10">
        <v>75.0</v>
      </c>
      <c r="E237" s="10">
        <v>6.32</v>
      </c>
      <c r="F237" s="49"/>
      <c r="G237" s="23">
        <v>45293.0</v>
      </c>
      <c r="H237" s="48"/>
      <c r="I237" s="48"/>
      <c r="J237" s="26">
        <f t="shared" si="14"/>
        <v>45293</v>
      </c>
      <c r="K237" s="27">
        <f>IFERROR(__xludf.DUMMYFUNCTION("if(isblank(J237),,index(googlefinance(A237,K$2,J237-1),2,2))"),138.17)</f>
        <v>138.17</v>
      </c>
      <c r="L237" s="50" t="str">
        <f t="shared" si="2"/>
        <v/>
      </c>
      <c r="M237" s="7" t="str">
        <f>IFERROR(__xludf.DUMMYFUNCTION("if(isblank(L237),, index(googlefinance(A237,M$2,L237-1),2,2))"),"")</f>
        <v/>
      </c>
      <c r="N237" s="30">
        <f>IFERROR(__xludf.DUMMYFUNCTION("if(isblank(A237),,googlefinance(A237))"),135.73)</f>
        <v>135.73</v>
      </c>
      <c r="O237" s="51" t="str">
        <f t="shared" si="11"/>
        <v>Ongoing</v>
      </c>
      <c r="P237" s="32" t="str">
        <f t="shared" si="4"/>
        <v>Profit</v>
      </c>
      <c r="Q237" s="33">
        <f t="shared" si="5"/>
        <v>17.08</v>
      </c>
      <c r="R237" s="31" t="b">
        <f t="shared" si="6"/>
        <v>1</v>
      </c>
      <c r="S237" s="34">
        <f t="shared" si="12"/>
        <v>-2.44</v>
      </c>
      <c r="T237" s="10">
        <f t="shared" si="8"/>
        <v>7</v>
      </c>
      <c r="U237" s="11"/>
      <c r="V237" s="12"/>
      <c r="W237" s="12"/>
      <c r="X237" s="12"/>
      <c r="Y237" s="12"/>
      <c r="Z237" s="12"/>
    </row>
    <row r="238" ht="13.5" customHeight="1">
      <c r="A238" s="1" t="s">
        <v>185</v>
      </c>
      <c r="B238" s="35">
        <v>12.0</v>
      </c>
      <c r="C238" s="10">
        <v>65.52</v>
      </c>
      <c r="D238" s="10">
        <v>50.0</v>
      </c>
      <c r="E238" s="10">
        <v>1.317</v>
      </c>
      <c r="F238" s="49"/>
      <c r="G238" s="23">
        <v>45294.0</v>
      </c>
      <c r="H238" s="48"/>
      <c r="I238" s="48"/>
      <c r="J238" s="26">
        <f t="shared" si="14"/>
        <v>45294</v>
      </c>
      <c r="K238" s="27">
        <f>IFERROR(__xludf.DUMMYFUNCTION("if(isblank(J238),,index(googlefinance(A238,K$2,J238-1),2,2))"),193.58)</f>
        <v>193.58</v>
      </c>
      <c r="L238" s="50" t="str">
        <f t="shared" si="2"/>
        <v/>
      </c>
      <c r="M238" s="7" t="str">
        <f>IFERROR(__xludf.DUMMYFUNCTION("if(isblank(L238),, index(googlefinance(A238,M$2,L238-1),2,2))"),"")</f>
        <v/>
      </c>
      <c r="N238" s="30">
        <f>IFERROR(__xludf.DUMMYFUNCTION("if(isblank(A238),,googlefinance(A238))"),186.55)</f>
        <v>186.55</v>
      </c>
      <c r="O238" s="51" t="str">
        <f t="shared" si="11"/>
        <v>Ongoing</v>
      </c>
      <c r="P238" s="32" t="str">
        <f t="shared" si="4"/>
        <v>Profit</v>
      </c>
      <c r="Q238" s="33">
        <f t="shared" si="5"/>
        <v>35.15</v>
      </c>
      <c r="R238" s="31" t="b">
        <f t="shared" si="6"/>
        <v>1</v>
      </c>
      <c r="S238" s="34">
        <f t="shared" si="12"/>
        <v>-7.03</v>
      </c>
      <c r="T238" s="10">
        <f t="shared" si="8"/>
        <v>5</v>
      </c>
      <c r="U238" s="11"/>
      <c r="V238" s="12"/>
      <c r="W238" s="12"/>
      <c r="X238" s="12"/>
      <c r="Y238" s="12"/>
      <c r="Z238" s="12"/>
    </row>
    <row r="239" ht="13.5" customHeight="1">
      <c r="A239" s="1" t="s">
        <v>186</v>
      </c>
      <c r="B239" s="35">
        <v>7.0</v>
      </c>
      <c r="C239" s="10">
        <v>16.83</v>
      </c>
      <c r="D239" s="10">
        <v>57.143</v>
      </c>
      <c r="E239" s="10">
        <v>1.153</v>
      </c>
      <c r="F239" s="49"/>
      <c r="G239" s="23">
        <v>45294.0</v>
      </c>
      <c r="H239" s="48"/>
      <c r="I239" s="48"/>
      <c r="J239" s="26">
        <f t="shared" si="14"/>
        <v>45294</v>
      </c>
      <c r="K239" s="27">
        <f>IFERROR(__xludf.DUMMYFUNCTION("if(isblank(J239),,index(googlefinance(A239,K$2,J239-1),2,2))"),716.92)</f>
        <v>716.92</v>
      </c>
      <c r="L239" s="50" t="str">
        <f t="shared" si="2"/>
        <v/>
      </c>
      <c r="M239" s="7" t="str">
        <f>IFERROR(__xludf.DUMMYFUNCTION("if(isblank(L239),, index(googlefinance(A239,M$2,L239-1),2,2))"),"")</f>
        <v/>
      </c>
      <c r="N239" s="30">
        <f>IFERROR(__xludf.DUMMYFUNCTION("if(isblank(A239),,googlefinance(A239))"),703.34)</f>
        <v>703.34</v>
      </c>
      <c r="O239" s="51" t="str">
        <f t="shared" si="11"/>
        <v>Ongoing</v>
      </c>
      <c r="P239" s="32" t="str">
        <f t="shared" si="4"/>
        <v>Profit</v>
      </c>
      <c r="Q239" s="33">
        <f t="shared" si="5"/>
        <v>13.58</v>
      </c>
      <c r="R239" s="31" t="b">
        <f t="shared" si="6"/>
        <v>1</v>
      </c>
      <c r="S239" s="34">
        <f t="shared" si="12"/>
        <v>-13.58</v>
      </c>
      <c r="T239" s="10">
        <f t="shared" si="8"/>
        <v>1</v>
      </c>
      <c r="U239" s="11"/>
      <c r="V239" s="12"/>
      <c r="W239" s="12"/>
      <c r="X239" s="12"/>
      <c r="Y239" s="12"/>
      <c r="Z239" s="12"/>
    </row>
    <row r="240" ht="13.5" customHeight="1">
      <c r="A240" s="1" t="s">
        <v>187</v>
      </c>
      <c r="B240" s="35">
        <v>14.0</v>
      </c>
      <c r="C240" s="10">
        <v>96.71</v>
      </c>
      <c r="D240" s="10">
        <v>42.857</v>
      </c>
      <c r="E240" s="10">
        <v>1.496</v>
      </c>
      <c r="F240" s="49"/>
      <c r="G240" s="23">
        <v>45294.0</v>
      </c>
      <c r="H240" s="48"/>
      <c r="I240" s="48"/>
      <c r="J240" s="26">
        <f t="shared" si="14"/>
        <v>45294</v>
      </c>
      <c r="K240" s="27">
        <f>IFERROR(__xludf.DUMMYFUNCTION("if(isblank(J240),,index(googlefinance(A240,K$2,J240-1),2,2))"),462.74)</f>
        <v>462.74</v>
      </c>
      <c r="L240" s="50" t="str">
        <f t="shared" si="2"/>
        <v/>
      </c>
      <c r="M240" s="7" t="str">
        <f>IFERROR(__xludf.DUMMYFUNCTION("if(isblank(L240),, index(googlefinance(A240,M$2,L240-1),2,2))"),"")</f>
        <v/>
      </c>
      <c r="N240" s="30">
        <f>IFERROR(__xludf.DUMMYFUNCTION("if(isblank(A240),,googlefinance(A240))"),456.58)</f>
        <v>456.58</v>
      </c>
      <c r="O240" s="51" t="str">
        <f t="shared" si="11"/>
        <v>Ongoing</v>
      </c>
      <c r="P240" s="32" t="str">
        <f t="shared" si="4"/>
        <v>Profit</v>
      </c>
      <c r="Q240" s="33">
        <f t="shared" si="5"/>
        <v>12.32</v>
      </c>
      <c r="R240" s="31" t="b">
        <f t="shared" si="6"/>
        <v>1</v>
      </c>
      <c r="S240" s="34">
        <f t="shared" si="12"/>
        <v>-6.16</v>
      </c>
      <c r="T240" s="10">
        <f t="shared" si="8"/>
        <v>2</v>
      </c>
      <c r="U240" s="11"/>
      <c r="V240" s="12"/>
      <c r="W240" s="12"/>
      <c r="X240" s="12"/>
      <c r="Y240" s="12"/>
      <c r="Z240" s="12"/>
    </row>
    <row r="241" ht="13.5" customHeight="1">
      <c r="A241" s="1" t="s">
        <v>188</v>
      </c>
      <c r="B241" s="35">
        <v>13.0</v>
      </c>
      <c r="C241" s="10">
        <v>76.48</v>
      </c>
      <c r="D241" s="10">
        <v>23.077</v>
      </c>
      <c r="E241" s="10">
        <v>1.133</v>
      </c>
      <c r="F241" s="49"/>
      <c r="G241" s="23">
        <v>45294.0</v>
      </c>
      <c r="H241" s="48"/>
      <c r="I241" s="48"/>
      <c r="J241" s="26">
        <f t="shared" si="14"/>
        <v>45294</v>
      </c>
      <c r="K241" s="27">
        <f>IFERROR(__xludf.DUMMYFUNCTION("if(isblank(J241),,index(googlefinance(A241,K$2,J241-1),2,2))"),749.3)</f>
        <v>749.3</v>
      </c>
      <c r="L241" s="50" t="str">
        <f t="shared" si="2"/>
        <v/>
      </c>
      <c r="M241" s="7" t="str">
        <f>IFERROR(__xludf.DUMMYFUNCTION("if(isblank(L241),, index(googlefinance(A241,M$2,L241-1),2,2))"),"")</f>
        <v/>
      </c>
      <c r="N241" s="30">
        <f>IFERROR(__xludf.DUMMYFUNCTION("if(isblank(A241),,googlefinance(A241))"),732.4)</f>
        <v>732.4</v>
      </c>
      <c r="O241" s="51" t="str">
        <f t="shared" si="11"/>
        <v>Ongoing</v>
      </c>
      <c r="P241" s="32" t="str">
        <f t="shared" si="4"/>
        <v>Profit</v>
      </c>
      <c r="Q241" s="33">
        <f t="shared" si="5"/>
        <v>16.9</v>
      </c>
      <c r="R241" s="31" t="b">
        <f t="shared" si="6"/>
        <v>1</v>
      </c>
      <c r="S241" s="34">
        <f t="shared" si="12"/>
        <v>-16.9</v>
      </c>
      <c r="T241" s="10">
        <f t="shared" si="8"/>
        <v>1</v>
      </c>
      <c r="U241" s="11"/>
      <c r="V241" s="12"/>
      <c r="W241" s="12"/>
      <c r="X241" s="12"/>
      <c r="Y241" s="12"/>
      <c r="Z241" s="12"/>
    </row>
    <row r="242" ht="13.5" customHeight="1">
      <c r="A242" s="1" t="s">
        <v>189</v>
      </c>
      <c r="B242" s="35">
        <v>12.0</v>
      </c>
      <c r="C242" s="10">
        <v>48.5</v>
      </c>
      <c r="D242" s="10">
        <v>41.667</v>
      </c>
      <c r="E242" s="10">
        <v>1.147</v>
      </c>
      <c r="F242" s="49"/>
      <c r="G242" s="23">
        <v>45294.0</v>
      </c>
      <c r="H242" s="48"/>
      <c r="I242" s="48"/>
      <c r="J242" s="26">
        <f t="shared" si="14"/>
        <v>45294</v>
      </c>
      <c r="K242" s="27">
        <f>IFERROR(__xludf.DUMMYFUNCTION("if(isblank(J242),,index(googlefinance(A242,K$2,J242-1),2,2))"),604.0)</f>
        <v>604</v>
      </c>
      <c r="L242" s="50" t="str">
        <f t="shared" si="2"/>
        <v/>
      </c>
      <c r="M242" s="7" t="str">
        <f>IFERROR(__xludf.DUMMYFUNCTION("if(isblank(L242),, index(googlefinance(A242,M$2,L242-1),2,2))"),"")</f>
        <v/>
      </c>
      <c r="N242" s="30">
        <f>IFERROR(__xludf.DUMMYFUNCTION("if(isblank(A242),,googlefinance(A242))"),573.99)</f>
        <v>573.99</v>
      </c>
      <c r="O242" s="51" t="str">
        <f t="shared" si="11"/>
        <v>Ongoing</v>
      </c>
      <c r="P242" s="32" t="str">
        <f t="shared" si="4"/>
        <v>Profit</v>
      </c>
      <c r="Q242" s="33">
        <f t="shared" si="5"/>
        <v>30.01</v>
      </c>
      <c r="R242" s="31" t="b">
        <f t="shared" si="6"/>
        <v>1</v>
      </c>
      <c r="S242" s="34">
        <f t="shared" si="12"/>
        <v>-30.01</v>
      </c>
      <c r="T242" s="10">
        <f t="shared" si="8"/>
        <v>1</v>
      </c>
      <c r="U242" s="11"/>
      <c r="V242" s="12"/>
      <c r="W242" s="12"/>
      <c r="X242" s="12"/>
      <c r="Y242" s="12"/>
      <c r="Z242" s="12"/>
    </row>
    <row r="243" ht="15.75" customHeight="1">
      <c r="A243" s="1" t="s">
        <v>93</v>
      </c>
      <c r="B243" s="31">
        <v>10.0</v>
      </c>
      <c r="C243" s="31">
        <v>122.22</v>
      </c>
      <c r="D243" s="31">
        <v>40.0</v>
      </c>
      <c r="E243" s="31">
        <v>1.491</v>
      </c>
      <c r="F243" s="54"/>
      <c r="G243" s="45">
        <v>45295.0</v>
      </c>
      <c r="H243" s="12"/>
      <c r="I243" s="12"/>
      <c r="J243" s="26">
        <f t="shared" ref="J243:J261" si="15">IF(ISBLANK(F243:G243),,IF(COUNTA(F243)=0,G243,F243))</f>
        <v>45295</v>
      </c>
      <c r="K243" s="27">
        <f>IFERROR(__xludf.DUMMYFUNCTION("if(isblank(J243),,index(googlefinance(A243,K$2,J243-1),2,2))"),337.92)</f>
        <v>337.92</v>
      </c>
      <c r="L243" s="50" t="str">
        <f t="shared" ref="L243:L261" si="16">IF(ISBLANK(H243:I243),,IF(COUNTA(H243)=0,I243,H243))</f>
        <v/>
      </c>
      <c r="M243" s="7" t="str">
        <f>IFERROR(__xludf.DUMMYFUNCTION("if(isblank(L243),, index(googlefinance(A243,M$2,L243-1),2,2))"),"")</f>
        <v/>
      </c>
      <c r="N243" s="30">
        <f>IFERROR(__xludf.DUMMYFUNCTION("if(isblank(A243),,googlefinance(A243))"),336.62)</f>
        <v>336.62</v>
      </c>
      <c r="O243" s="51" t="str">
        <f t="shared" si="11"/>
        <v>Ongoing</v>
      </c>
      <c r="P243" s="32" t="str">
        <f t="shared" si="4"/>
        <v>Profit</v>
      </c>
      <c r="Q243" s="33">
        <f t="shared" si="5"/>
        <v>2.6</v>
      </c>
      <c r="R243" s="31" t="b">
        <f t="shared" si="6"/>
        <v>1</v>
      </c>
      <c r="S243" s="34">
        <f t="shared" si="12"/>
        <v>-1.3</v>
      </c>
      <c r="T243" s="10">
        <f t="shared" si="8"/>
        <v>2</v>
      </c>
      <c r="U243" s="11"/>
      <c r="V243" s="12"/>
      <c r="W243" s="12"/>
      <c r="X243" s="12"/>
      <c r="Y243" s="12"/>
      <c r="Z243" s="12"/>
    </row>
    <row r="244" ht="15.75" customHeight="1">
      <c r="A244" s="1" t="s">
        <v>172</v>
      </c>
      <c r="B244" s="31">
        <v>17.0</v>
      </c>
      <c r="C244" s="31">
        <v>118.83</v>
      </c>
      <c r="D244" s="31">
        <v>29.412</v>
      </c>
      <c r="E244" s="31">
        <v>1.51</v>
      </c>
      <c r="F244" s="54"/>
      <c r="G244" s="45">
        <v>45295.0</v>
      </c>
      <c r="H244" s="12"/>
      <c r="I244" s="12"/>
      <c r="J244" s="26">
        <f t="shared" si="15"/>
        <v>45295</v>
      </c>
      <c r="K244" s="27">
        <f>IFERROR(__xludf.DUMMYFUNCTION("if(isblank(J244),,index(googlefinance(A244,K$2,J244-1),2,2))"),1058.58)</f>
        <v>1058.58</v>
      </c>
      <c r="L244" s="50" t="str">
        <f t="shared" si="16"/>
        <v/>
      </c>
      <c r="M244" s="7" t="str">
        <f>IFERROR(__xludf.DUMMYFUNCTION("if(isblank(L244),, index(googlefinance(A244,M$2,L244-1),2,2))"),"")</f>
        <v/>
      </c>
      <c r="N244" s="30">
        <f>IFERROR(__xludf.DUMMYFUNCTION("if(isblank(A244),,googlefinance(A244))"),1049.28)</f>
        <v>1049.28</v>
      </c>
      <c r="O244" s="51" t="str">
        <f t="shared" si="11"/>
        <v>Ongoing</v>
      </c>
      <c r="P244" s="32" t="str">
        <f t="shared" si="4"/>
        <v>Profit</v>
      </c>
      <c r="Q244" s="43">
        <f t="shared" si="5"/>
        <v>0</v>
      </c>
      <c r="R244" s="31" t="b">
        <f t="shared" si="6"/>
        <v>0</v>
      </c>
      <c r="S244" s="34">
        <f t="shared" si="12"/>
        <v>-9.3</v>
      </c>
      <c r="T244" s="10">
        <f t="shared" si="8"/>
        <v>0</v>
      </c>
      <c r="U244" s="11"/>
      <c r="V244" s="12"/>
      <c r="W244" s="12"/>
      <c r="X244" s="12"/>
      <c r="Y244" s="12"/>
      <c r="Z244" s="12"/>
    </row>
    <row r="245" ht="15.75" customHeight="1">
      <c r="A245" s="1" t="s">
        <v>190</v>
      </c>
      <c r="B245" s="31">
        <v>9.0</v>
      </c>
      <c r="C245" s="31">
        <v>1.29</v>
      </c>
      <c r="D245" s="31">
        <v>44.444</v>
      </c>
      <c r="E245" s="31">
        <v>1.013</v>
      </c>
      <c r="F245" s="54"/>
      <c r="G245" s="45">
        <v>45295.0</v>
      </c>
      <c r="H245" s="12"/>
      <c r="I245" s="12"/>
      <c r="J245" s="26">
        <f t="shared" si="15"/>
        <v>45295</v>
      </c>
      <c r="K245" s="27">
        <f>IFERROR(__xludf.DUMMYFUNCTION("if(isblank(J245),,index(googlefinance(A245,K$2,J245-1),2,2))"),580.28)</f>
        <v>580.28</v>
      </c>
      <c r="L245" s="50" t="str">
        <f t="shared" si="16"/>
        <v/>
      </c>
      <c r="M245" s="7" t="str">
        <f>IFERROR(__xludf.DUMMYFUNCTION("if(isblank(L245),, index(googlefinance(A245,M$2,L245-1),2,2))"),"")</f>
        <v/>
      </c>
      <c r="N245" s="30">
        <f>IFERROR(__xludf.DUMMYFUNCTION("if(isblank(A245),,googlefinance(A245))"),577.26)</f>
        <v>577.26</v>
      </c>
      <c r="O245" s="51" t="str">
        <f t="shared" si="11"/>
        <v>Ongoing</v>
      </c>
      <c r="P245" s="32" t="str">
        <f t="shared" si="4"/>
        <v>Profit</v>
      </c>
      <c r="Q245" s="33">
        <f t="shared" si="5"/>
        <v>3.02</v>
      </c>
      <c r="R245" s="31" t="b">
        <f t="shared" si="6"/>
        <v>1</v>
      </c>
      <c r="S245" s="34">
        <f t="shared" si="12"/>
        <v>-3.02</v>
      </c>
      <c r="T245" s="10">
        <f t="shared" si="8"/>
        <v>1</v>
      </c>
      <c r="U245" s="11"/>
      <c r="V245" s="12"/>
      <c r="W245" s="12"/>
      <c r="X245" s="12"/>
      <c r="Y245" s="12"/>
      <c r="Z245" s="12"/>
    </row>
    <row r="246" ht="15.75" customHeight="1">
      <c r="A246" s="1" t="s">
        <v>191</v>
      </c>
      <c r="B246" s="31">
        <v>11.0</v>
      </c>
      <c r="C246" s="31">
        <v>34.6</v>
      </c>
      <c r="D246" s="31">
        <v>27.273</v>
      </c>
      <c r="E246" s="31">
        <v>1.154</v>
      </c>
      <c r="F246" s="54"/>
      <c r="G246" s="45">
        <v>45295.0</v>
      </c>
      <c r="H246" s="12"/>
      <c r="I246" s="12"/>
      <c r="J246" s="26">
        <f t="shared" si="15"/>
        <v>45295</v>
      </c>
      <c r="K246" s="27">
        <f>IFERROR(__xludf.DUMMYFUNCTION("if(isblank(J246),,index(googlefinance(A246,K$2,J246-1),2,2))"),220.01)</f>
        <v>220.01</v>
      </c>
      <c r="L246" s="50" t="str">
        <f t="shared" si="16"/>
        <v/>
      </c>
      <c r="M246" s="7" t="str">
        <f>IFERROR(__xludf.DUMMYFUNCTION("if(isblank(L246),, index(googlefinance(A246,M$2,L246-1),2,2))"),"")</f>
        <v/>
      </c>
      <c r="N246" s="30">
        <f>IFERROR(__xludf.DUMMYFUNCTION("if(isblank(A246),,googlefinance(A246))"),220.52)</f>
        <v>220.52</v>
      </c>
      <c r="O246" s="51" t="str">
        <f t="shared" si="11"/>
        <v>Ongoing</v>
      </c>
      <c r="P246" s="38" t="str">
        <f t="shared" si="4"/>
        <v>Loss</v>
      </c>
      <c r="Q246" s="39">
        <f t="shared" si="5"/>
        <v>-2.04</v>
      </c>
      <c r="R246" s="31" t="b">
        <f t="shared" si="6"/>
        <v>0</v>
      </c>
      <c r="S246" s="34">
        <f t="shared" si="12"/>
        <v>0.51</v>
      </c>
      <c r="T246" s="10">
        <f t="shared" si="8"/>
        <v>4</v>
      </c>
      <c r="U246" s="11"/>
      <c r="V246" s="12"/>
      <c r="W246" s="12"/>
      <c r="X246" s="12"/>
      <c r="Y246" s="12"/>
      <c r="Z246" s="12"/>
    </row>
    <row r="247" ht="15.75" customHeight="1">
      <c r="A247" s="1" t="s">
        <v>192</v>
      </c>
      <c r="B247" s="31">
        <v>10.0</v>
      </c>
      <c r="C247" s="31">
        <v>37.73</v>
      </c>
      <c r="D247" s="31">
        <v>60.0</v>
      </c>
      <c r="E247" s="31">
        <v>1.231</v>
      </c>
      <c r="F247" s="54"/>
      <c r="G247" s="45">
        <v>45295.0</v>
      </c>
      <c r="H247" s="12"/>
      <c r="I247" s="12"/>
      <c r="J247" s="26">
        <f t="shared" si="15"/>
        <v>45295</v>
      </c>
      <c r="K247" s="27">
        <f>IFERROR(__xludf.DUMMYFUNCTION("if(isblank(J247),,index(googlefinance(A247,K$2,J247-1),2,2))"),212.27)</f>
        <v>212.27</v>
      </c>
      <c r="L247" s="50" t="str">
        <f t="shared" si="16"/>
        <v/>
      </c>
      <c r="M247" s="7" t="str">
        <f>IFERROR(__xludf.DUMMYFUNCTION("if(isblank(L247),, index(googlefinance(A247,M$2,L247-1),2,2))"),"")</f>
        <v/>
      </c>
      <c r="N247" s="30">
        <f>IFERROR(__xludf.DUMMYFUNCTION("if(isblank(A247),,googlefinance(A247))"),212.51)</f>
        <v>212.51</v>
      </c>
      <c r="O247" s="51" t="str">
        <f t="shared" si="11"/>
        <v>Ongoing</v>
      </c>
      <c r="P247" s="38" t="str">
        <f t="shared" si="4"/>
        <v>Loss</v>
      </c>
      <c r="Q247" s="39">
        <f t="shared" si="5"/>
        <v>-0.96</v>
      </c>
      <c r="R247" s="31" t="b">
        <f t="shared" si="6"/>
        <v>0</v>
      </c>
      <c r="S247" s="34">
        <f t="shared" si="12"/>
        <v>0.24</v>
      </c>
      <c r="T247" s="10">
        <f t="shared" si="8"/>
        <v>4</v>
      </c>
      <c r="U247" s="11"/>
      <c r="V247" s="12"/>
      <c r="W247" s="12"/>
      <c r="X247" s="12"/>
      <c r="Y247" s="12"/>
      <c r="Z247" s="12"/>
    </row>
    <row r="248" ht="15.75" customHeight="1">
      <c r="A248" s="1" t="s">
        <v>54</v>
      </c>
      <c r="B248" s="31">
        <v>12.0</v>
      </c>
      <c r="C248" s="31">
        <v>131.94</v>
      </c>
      <c r="D248" s="31">
        <v>33.333</v>
      </c>
      <c r="E248" s="31">
        <v>1.553</v>
      </c>
      <c r="F248" s="54"/>
      <c r="G248" s="45">
        <v>45295.0</v>
      </c>
      <c r="H248" s="12"/>
      <c r="I248" s="12"/>
      <c r="J248" s="26">
        <f t="shared" si="15"/>
        <v>45295</v>
      </c>
      <c r="K248" s="27">
        <f>IFERROR(__xludf.DUMMYFUNCTION("if(isblank(J248),,index(googlefinance(A248,K$2,J248-1),2,2))"),194.45)</f>
        <v>194.45</v>
      </c>
      <c r="L248" s="50" t="str">
        <f t="shared" si="16"/>
        <v/>
      </c>
      <c r="M248" s="7" t="str">
        <f>IFERROR(__xludf.DUMMYFUNCTION("if(isblank(L248),, index(googlefinance(A248,M$2,L248-1),2,2))"),"")</f>
        <v/>
      </c>
      <c r="N248" s="30">
        <f>IFERROR(__xludf.DUMMYFUNCTION("if(isblank(A248),,googlefinance(A248))"),197.15)</f>
        <v>197.15</v>
      </c>
      <c r="O248" s="51" t="str">
        <f t="shared" si="11"/>
        <v>Ongoing</v>
      </c>
      <c r="P248" s="38" t="str">
        <f t="shared" si="4"/>
        <v>Loss</v>
      </c>
      <c r="Q248" s="39">
        <f t="shared" si="5"/>
        <v>-13.5</v>
      </c>
      <c r="R248" s="31" t="b">
        <f t="shared" si="6"/>
        <v>0</v>
      </c>
      <c r="S248" s="34">
        <f t="shared" si="12"/>
        <v>2.7</v>
      </c>
      <c r="T248" s="10">
        <f t="shared" si="8"/>
        <v>5</v>
      </c>
      <c r="U248" s="11"/>
      <c r="V248" s="12"/>
      <c r="W248" s="12"/>
      <c r="X248" s="12"/>
      <c r="Y248" s="12"/>
      <c r="Z248" s="12"/>
    </row>
    <row r="249" ht="15.75" customHeight="1">
      <c r="A249" s="1" t="s">
        <v>193</v>
      </c>
      <c r="B249" s="31">
        <v>12.0</v>
      </c>
      <c r="C249" s="31">
        <v>150.57</v>
      </c>
      <c r="D249" s="31">
        <v>33.333</v>
      </c>
      <c r="E249" s="31">
        <v>1.562</v>
      </c>
      <c r="F249" s="54"/>
      <c r="G249" s="45">
        <v>45295.0</v>
      </c>
      <c r="H249" s="12"/>
      <c r="I249" s="12"/>
      <c r="J249" s="26">
        <f t="shared" si="15"/>
        <v>45295</v>
      </c>
      <c r="K249" s="27">
        <f>IFERROR(__xludf.DUMMYFUNCTION("if(isblank(J249),,index(googlefinance(A249,K$2,J249-1),2,2))"),194.66)</f>
        <v>194.66</v>
      </c>
      <c r="L249" s="50" t="str">
        <f t="shared" si="16"/>
        <v/>
      </c>
      <c r="M249" s="7" t="str">
        <f>IFERROR(__xludf.DUMMYFUNCTION("if(isblank(L249),, index(googlefinance(A249,M$2,L249-1),2,2))"),"")</f>
        <v/>
      </c>
      <c r="N249" s="30">
        <f>IFERROR(__xludf.DUMMYFUNCTION("if(isblank(A249),,googlefinance(A249))"),197.87)</f>
        <v>197.87</v>
      </c>
      <c r="O249" s="51" t="str">
        <f t="shared" si="11"/>
        <v>Ongoing</v>
      </c>
      <c r="P249" s="38" t="str">
        <f t="shared" si="4"/>
        <v>Loss</v>
      </c>
      <c r="Q249" s="39">
        <f t="shared" si="5"/>
        <v>-16.05</v>
      </c>
      <c r="R249" s="31" t="b">
        <f t="shared" si="6"/>
        <v>0</v>
      </c>
      <c r="S249" s="34">
        <f t="shared" si="12"/>
        <v>3.21</v>
      </c>
      <c r="T249" s="10">
        <f t="shared" si="8"/>
        <v>5</v>
      </c>
      <c r="U249" s="11"/>
      <c r="V249" s="12"/>
      <c r="W249" s="12"/>
      <c r="X249" s="12"/>
      <c r="Y249" s="12"/>
      <c r="Z249" s="12"/>
    </row>
    <row r="250" ht="15.75" customHeight="1">
      <c r="A250" s="1" t="s">
        <v>84</v>
      </c>
      <c r="B250" s="31">
        <v>8.0</v>
      </c>
      <c r="C250" s="31">
        <v>246.85</v>
      </c>
      <c r="D250" s="31">
        <v>25.0</v>
      </c>
      <c r="E250" s="31">
        <v>2.629</v>
      </c>
      <c r="F250" s="54"/>
      <c r="G250" s="45">
        <v>45295.0</v>
      </c>
      <c r="H250" s="12"/>
      <c r="I250" s="12"/>
      <c r="J250" s="26">
        <f t="shared" si="15"/>
        <v>45295</v>
      </c>
      <c r="K250" s="27">
        <f>IFERROR(__xludf.DUMMYFUNCTION("if(isblank(J250),,index(googlefinance(A250,K$2,J250-1),2,2))"),117.45)</f>
        <v>117.45</v>
      </c>
      <c r="L250" s="50" t="str">
        <f t="shared" si="16"/>
        <v/>
      </c>
      <c r="M250" s="7" t="str">
        <f>IFERROR(__xludf.DUMMYFUNCTION("if(isblank(L250),, index(googlefinance(A250,M$2,L250-1),2,2))"),"")</f>
        <v/>
      </c>
      <c r="N250" s="30">
        <f>IFERROR(__xludf.DUMMYFUNCTION("if(isblank(A250),,googlefinance(A250))"),122.65)</f>
        <v>122.65</v>
      </c>
      <c r="O250" s="51" t="str">
        <f t="shared" si="11"/>
        <v>Ongoing</v>
      </c>
      <c r="P250" s="38" t="str">
        <f t="shared" si="4"/>
        <v>Loss</v>
      </c>
      <c r="Q250" s="39">
        <f t="shared" si="5"/>
        <v>-41.6</v>
      </c>
      <c r="R250" s="31" t="b">
        <f t="shared" si="6"/>
        <v>0</v>
      </c>
      <c r="S250" s="34">
        <f t="shared" si="12"/>
        <v>5.2</v>
      </c>
      <c r="T250" s="10">
        <f t="shared" si="8"/>
        <v>8</v>
      </c>
      <c r="U250" s="11"/>
      <c r="V250" s="12"/>
      <c r="W250" s="12"/>
      <c r="X250" s="12"/>
      <c r="Y250" s="12"/>
      <c r="Z250" s="12"/>
    </row>
    <row r="251" ht="15.75" customHeight="1">
      <c r="A251" s="1" t="s">
        <v>67</v>
      </c>
      <c r="B251" s="31">
        <v>11.0</v>
      </c>
      <c r="C251" s="31">
        <v>234.82</v>
      </c>
      <c r="D251" s="31">
        <v>54.545</v>
      </c>
      <c r="E251" s="31">
        <v>1.736</v>
      </c>
      <c r="F251" s="54"/>
      <c r="G251" s="45">
        <v>45295.0</v>
      </c>
      <c r="H251" s="12"/>
      <c r="I251" s="12"/>
      <c r="J251" s="26">
        <f t="shared" si="15"/>
        <v>45295</v>
      </c>
      <c r="K251" s="27">
        <f>IFERROR(__xludf.DUMMYFUNCTION("if(isblank(J251),,index(googlefinance(A251,K$2,J251-1),2,2))"),50.34)</f>
        <v>50.34</v>
      </c>
      <c r="L251" s="50" t="str">
        <f t="shared" si="16"/>
        <v/>
      </c>
      <c r="M251" s="7" t="str">
        <f>IFERROR(__xludf.DUMMYFUNCTION("if(isblank(L251),, index(googlefinance(A251,M$2,L251-1),2,2))"),"")</f>
        <v/>
      </c>
      <c r="N251" s="30">
        <f>IFERROR(__xludf.DUMMYFUNCTION("if(isblank(A251),,googlefinance(A251))"),50.05)</f>
        <v>50.05</v>
      </c>
      <c r="O251" s="51" t="str">
        <f t="shared" si="11"/>
        <v>Ongoing</v>
      </c>
      <c r="P251" s="32" t="str">
        <f t="shared" si="4"/>
        <v>Profit</v>
      </c>
      <c r="Q251" s="33">
        <f t="shared" si="5"/>
        <v>5.51</v>
      </c>
      <c r="R251" s="31" t="b">
        <f t="shared" si="6"/>
        <v>1</v>
      </c>
      <c r="S251" s="34">
        <f t="shared" si="12"/>
        <v>-0.29</v>
      </c>
      <c r="T251" s="10">
        <f t="shared" si="8"/>
        <v>19</v>
      </c>
      <c r="U251" s="11"/>
      <c r="V251" s="12"/>
      <c r="W251" s="12"/>
      <c r="X251" s="12"/>
      <c r="Y251" s="12"/>
      <c r="Z251" s="12"/>
    </row>
    <row r="252" ht="15.75" customHeight="1">
      <c r="A252" s="1" t="s">
        <v>133</v>
      </c>
      <c r="B252" s="31">
        <v>12.0</v>
      </c>
      <c r="C252" s="31">
        <v>441.51</v>
      </c>
      <c r="D252" s="31">
        <v>41.667</v>
      </c>
      <c r="E252" s="31">
        <v>2.222</v>
      </c>
      <c r="F252" s="54"/>
      <c r="G252" s="55">
        <v>45295.0</v>
      </c>
      <c r="H252" s="12"/>
      <c r="I252" s="12"/>
      <c r="J252" s="26">
        <f t="shared" si="15"/>
        <v>45295</v>
      </c>
      <c r="K252" s="27">
        <f>IFERROR(__xludf.DUMMYFUNCTION("if(isblank(J252),,index(googlefinance(A252,K$2,J252-1),2,2))"),210.24)</f>
        <v>210.24</v>
      </c>
      <c r="L252" s="50" t="str">
        <f t="shared" si="16"/>
        <v/>
      </c>
      <c r="M252" s="7" t="str">
        <f>IFERROR(__xludf.DUMMYFUNCTION("if(isblank(L252),, index(googlefinance(A252,M$2,L252-1),2,2))"),"")</f>
        <v/>
      </c>
      <c r="N252" s="30">
        <f>IFERROR(__xludf.DUMMYFUNCTION("if(isblank(A252),,googlefinance(A252))"),209.81)</f>
        <v>209.81</v>
      </c>
      <c r="O252" s="51" t="str">
        <f t="shared" si="11"/>
        <v>Ongoing</v>
      </c>
      <c r="P252" s="32" t="str">
        <f t="shared" si="4"/>
        <v>Profit</v>
      </c>
      <c r="Q252" s="33">
        <f t="shared" si="5"/>
        <v>1.72</v>
      </c>
      <c r="R252" s="31" t="b">
        <f t="shared" si="6"/>
        <v>1</v>
      </c>
      <c r="S252" s="34">
        <f t="shared" si="12"/>
        <v>-0.43</v>
      </c>
      <c r="T252" s="10">
        <f t="shared" si="8"/>
        <v>4</v>
      </c>
      <c r="U252" s="11"/>
      <c r="V252" s="12"/>
      <c r="W252" s="12"/>
      <c r="X252" s="12"/>
      <c r="Y252" s="12"/>
      <c r="Z252" s="12"/>
    </row>
    <row r="253" ht="15.75" customHeight="1">
      <c r="A253" s="1" t="s">
        <v>142</v>
      </c>
      <c r="B253" s="34">
        <v>14.0</v>
      </c>
      <c r="C253" s="34">
        <v>220.57</v>
      </c>
      <c r="D253" s="34">
        <v>57.143</v>
      </c>
      <c r="E253" s="34">
        <v>1.795</v>
      </c>
      <c r="F253" s="54"/>
      <c r="G253" s="56">
        <v>45296.0</v>
      </c>
      <c r="H253" s="12"/>
      <c r="I253" s="12"/>
      <c r="J253" s="26">
        <f t="shared" si="15"/>
        <v>45296</v>
      </c>
      <c r="K253" s="27">
        <f>IFERROR(__xludf.DUMMYFUNCTION("if(isblank(J253),,index(googlefinance(A253,K$2,J253-1),2,2))"),197.09)</f>
        <v>197.09</v>
      </c>
      <c r="L253" s="50" t="str">
        <f t="shared" si="16"/>
        <v/>
      </c>
      <c r="M253" s="7" t="str">
        <f>IFERROR(__xludf.DUMMYFUNCTION("if(isblank(L253),, index(googlefinance(A253,M$2,L253-1),2,2))"),"")</f>
        <v/>
      </c>
      <c r="N253" s="30">
        <f>IFERROR(__xludf.DUMMYFUNCTION("if(isblank(A253),,googlefinance(A253))"),196.35)</f>
        <v>196.35</v>
      </c>
      <c r="O253" s="51" t="str">
        <f t="shared" si="11"/>
        <v>Ongoing</v>
      </c>
      <c r="P253" s="32" t="str">
        <f t="shared" si="4"/>
        <v>Profit</v>
      </c>
      <c r="Q253" s="33">
        <f t="shared" si="5"/>
        <v>3.7</v>
      </c>
      <c r="R253" s="31" t="b">
        <f t="shared" si="6"/>
        <v>1</v>
      </c>
      <c r="S253" s="34">
        <f t="shared" si="12"/>
        <v>-0.74</v>
      </c>
      <c r="T253" s="10">
        <f t="shared" si="8"/>
        <v>5</v>
      </c>
      <c r="U253" s="11"/>
      <c r="V253" s="12"/>
      <c r="W253" s="12"/>
      <c r="X253" s="12"/>
      <c r="Y253" s="12"/>
      <c r="Z253" s="12"/>
    </row>
    <row r="254" ht="15.75" customHeight="1">
      <c r="A254" s="1" t="s">
        <v>194</v>
      </c>
      <c r="B254" s="34">
        <v>10.0</v>
      </c>
      <c r="C254" s="34">
        <v>111.89</v>
      </c>
      <c r="D254" s="34">
        <v>40.0</v>
      </c>
      <c r="E254" s="34">
        <v>1.652</v>
      </c>
      <c r="F254" s="54"/>
      <c r="G254" s="56">
        <v>45296.0</v>
      </c>
      <c r="H254" s="12"/>
      <c r="I254" s="12"/>
      <c r="J254" s="26">
        <f t="shared" si="15"/>
        <v>45296</v>
      </c>
      <c r="K254" s="27">
        <f>IFERROR(__xludf.DUMMYFUNCTION("if(isblank(J254),,index(googlefinance(A254,K$2,J254-1),2,2))"),122.9)</f>
        <v>122.9</v>
      </c>
      <c r="L254" s="50" t="str">
        <f t="shared" si="16"/>
        <v/>
      </c>
      <c r="M254" s="7" t="str">
        <f>IFERROR(__xludf.DUMMYFUNCTION("if(isblank(L254),, index(googlefinance(A254,M$2,L254-1),2,2))"),"")</f>
        <v/>
      </c>
      <c r="N254" s="30">
        <f>IFERROR(__xludf.DUMMYFUNCTION("if(isblank(A254),,googlefinance(A254))"),122.21)</f>
        <v>122.21</v>
      </c>
      <c r="O254" s="51" t="str">
        <f t="shared" si="11"/>
        <v>Ongoing</v>
      </c>
      <c r="P254" s="32" t="str">
        <f t="shared" si="4"/>
        <v>Profit</v>
      </c>
      <c r="Q254" s="33">
        <f t="shared" si="5"/>
        <v>5.52</v>
      </c>
      <c r="R254" s="31" t="b">
        <f t="shared" si="6"/>
        <v>1</v>
      </c>
      <c r="S254" s="34">
        <f t="shared" si="12"/>
        <v>-0.69</v>
      </c>
      <c r="T254" s="10">
        <f t="shared" si="8"/>
        <v>8</v>
      </c>
      <c r="U254" s="11"/>
      <c r="V254" s="12"/>
      <c r="W254" s="12"/>
      <c r="X254" s="12"/>
      <c r="Y254" s="12"/>
      <c r="Z254" s="12"/>
    </row>
    <row r="255" ht="15.75" customHeight="1">
      <c r="A255" s="1" t="s">
        <v>195</v>
      </c>
      <c r="B255" s="34">
        <v>14.0</v>
      </c>
      <c r="C255" s="34">
        <v>53.59</v>
      </c>
      <c r="D255" s="34">
        <v>42.857</v>
      </c>
      <c r="E255" s="34">
        <v>1.215</v>
      </c>
      <c r="F255" s="54"/>
      <c r="G255" s="56">
        <v>45296.0</v>
      </c>
      <c r="H255" s="12"/>
      <c r="I255" s="12"/>
      <c r="J255" s="26">
        <f t="shared" si="15"/>
        <v>45296</v>
      </c>
      <c r="K255" s="27">
        <f>IFERROR(__xludf.DUMMYFUNCTION("if(isblank(J255),,index(googlefinance(A255,K$2,J255-1),2,2))"),87.42)</f>
        <v>87.42</v>
      </c>
      <c r="L255" s="50" t="str">
        <f t="shared" si="16"/>
        <v/>
      </c>
      <c r="M255" s="7" t="str">
        <f>IFERROR(__xludf.DUMMYFUNCTION("if(isblank(L255),, index(googlefinance(A255,M$2,L255-1),2,2))"),"")</f>
        <v/>
      </c>
      <c r="N255" s="30">
        <f>IFERROR(__xludf.DUMMYFUNCTION("if(isblank(A255),,googlefinance(A255))"),87.05)</f>
        <v>87.05</v>
      </c>
      <c r="O255" s="51" t="str">
        <f t="shared" si="11"/>
        <v>Ongoing</v>
      </c>
      <c r="P255" s="32" t="str">
        <f t="shared" si="4"/>
        <v>Profit</v>
      </c>
      <c r="Q255" s="33">
        <f t="shared" si="5"/>
        <v>4.07</v>
      </c>
      <c r="R255" s="31" t="b">
        <f t="shared" si="6"/>
        <v>1</v>
      </c>
      <c r="S255" s="34">
        <f t="shared" si="12"/>
        <v>-0.37</v>
      </c>
      <c r="T255" s="10">
        <f t="shared" si="8"/>
        <v>11</v>
      </c>
      <c r="U255" s="11"/>
      <c r="V255" s="12"/>
      <c r="W255" s="12"/>
      <c r="X255" s="12"/>
      <c r="Y255" s="12"/>
      <c r="Z255" s="12"/>
    </row>
    <row r="256" ht="15.75" customHeight="1">
      <c r="A256" s="1" t="s">
        <v>196</v>
      </c>
      <c r="B256" s="34">
        <v>10.0</v>
      </c>
      <c r="C256" s="34">
        <v>339.09</v>
      </c>
      <c r="D256" s="34">
        <v>30.0</v>
      </c>
      <c r="E256" s="34">
        <v>2.032</v>
      </c>
      <c r="F256" s="54"/>
      <c r="G256" s="56">
        <v>45296.0</v>
      </c>
      <c r="H256" s="12"/>
      <c r="I256" s="12"/>
      <c r="J256" s="26">
        <f t="shared" si="15"/>
        <v>45296</v>
      </c>
      <c r="K256" s="27">
        <f>IFERROR(__xludf.DUMMYFUNCTION("if(isblank(J256),,index(googlefinance(A256,K$2,J256-1),2,2))"),118.07)</f>
        <v>118.07</v>
      </c>
      <c r="L256" s="50" t="str">
        <f t="shared" si="16"/>
        <v/>
      </c>
      <c r="M256" s="7" t="str">
        <f>IFERROR(__xludf.DUMMYFUNCTION("if(isblank(L256),, index(googlefinance(A256,M$2,L256-1),2,2))"),"")</f>
        <v/>
      </c>
      <c r="N256" s="30">
        <f>IFERROR(__xludf.DUMMYFUNCTION("if(isblank(A256),,googlefinance(A256))"),115.39)</f>
        <v>115.39</v>
      </c>
      <c r="O256" s="51" t="str">
        <f t="shared" si="11"/>
        <v>Ongoing</v>
      </c>
      <c r="P256" s="32" t="str">
        <f t="shared" si="4"/>
        <v>Profit</v>
      </c>
      <c r="Q256" s="33">
        <f t="shared" si="5"/>
        <v>21.44</v>
      </c>
      <c r="R256" s="31" t="b">
        <f t="shared" si="6"/>
        <v>1</v>
      </c>
      <c r="S256" s="34">
        <f t="shared" si="12"/>
        <v>-2.68</v>
      </c>
      <c r="T256" s="10">
        <f t="shared" si="8"/>
        <v>8</v>
      </c>
      <c r="U256" s="11"/>
      <c r="V256" s="12"/>
      <c r="W256" s="12"/>
      <c r="X256" s="12"/>
      <c r="Y256" s="12"/>
      <c r="Z256" s="12"/>
    </row>
    <row r="257" ht="15.75" customHeight="1">
      <c r="A257" s="1" t="s">
        <v>70</v>
      </c>
      <c r="B257" s="34">
        <v>10.0</v>
      </c>
      <c r="C257" s="34">
        <v>1.28</v>
      </c>
      <c r="D257" s="34">
        <v>50.0</v>
      </c>
      <c r="E257" s="34">
        <v>1.015</v>
      </c>
      <c r="F257" s="54"/>
      <c r="G257" s="56">
        <v>45296.0</v>
      </c>
      <c r="H257" s="12"/>
      <c r="I257" s="12"/>
      <c r="J257" s="26">
        <f t="shared" si="15"/>
        <v>45296</v>
      </c>
      <c r="K257" s="27">
        <f>IFERROR(__xludf.DUMMYFUNCTION("if(isblank(J257),,index(googlefinance(A257,K$2,J257-1),2,2))"),256.18)</f>
        <v>256.18</v>
      </c>
      <c r="L257" s="50" t="str">
        <f t="shared" si="16"/>
        <v/>
      </c>
      <c r="M257" s="7" t="str">
        <f>IFERROR(__xludf.DUMMYFUNCTION("if(isblank(L257),, index(googlefinance(A257,M$2,L257-1),2,2))"),"")</f>
        <v/>
      </c>
      <c r="N257" s="30">
        <f>IFERROR(__xludf.DUMMYFUNCTION("if(isblank(A257),,googlefinance(A257))"),253.9)</f>
        <v>253.9</v>
      </c>
      <c r="O257" s="51" t="str">
        <f t="shared" si="11"/>
        <v>Ongoing</v>
      </c>
      <c r="P257" s="32" t="str">
        <f t="shared" si="4"/>
        <v>Profit</v>
      </c>
      <c r="Q257" s="33">
        <f t="shared" si="5"/>
        <v>6.84</v>
      </c>
      <c r="R257" s="31" t="b">
        <f t="shared" si="6"/>
        <v>1</v>
      </c>
      <c r="S257" s="34">
        <f t="shared" si="12"/>
        <v>-2.28</v>
      </c>
      <c r="T257" s="10">
        <f t="shared" si="8"/>
        <v>3</v>
      </c>
      <c r="U257" s="11"/>
      <c r="V257" s="12"/>
      <c r="W257" s="12"/>
      <c r="X257" s="12"/>
      <c r="Y257" s="12"/>
      <c r="Z257" s="12"/>
    </row>
    <row r="258" ht="15.75" customHeight="1">
      <c r="A258" s="1" t="s">
        <v>147</v>
      </c>
      <c r="B258" s="34">
        <v>17.0</v>
      </c>
      <c r="C258" s="34">
        <v>297.68</v>
      </c>
      <c r="D258" s="34">
        <v>35.294</v>
      </c>
      <c r="E258" s="34">
        <v>1.928</v>
      </c>
      <c r="F258" s="54"/>
      <c r="G258" s="56">
        <v>45296.0</v>
      </c>
      <c r="H258" s="12"/>
      <c r="I258" s="12"/>
      <c r="J258" s="26">
        <f t="shared" si="15"/>
        <v>45296</v>
      </c>
      <c r="K258" s="27">
        <f>IFERROR(__xludf.DUMMYFUNCTION("if(isblank(J258),,index(googlefinance(A258,K$2,J258-1),2,2))"),74.94)</f>
        <v>74.94</v>
      </c>
      <c r="L258" s="50" t="str">
        <f t="shared" si="16"/>
        <v/>
      </c>
      <c r="M258" s="7" t="str">
        <f>IFERROR(__xludf.DUMMYFUNCTION("if(isblank(L258),, index(googlefinance(A258,M$2,L258-1),2,2))"),"")</f>
        <v/>
      </c>
      <c r="N258" s="30">
        <f>IFERROR(__xludf.DUMMYFUNCTION("if(isblank(A258),,googlefinance(A258))"),74.8)</f>
        <v>74.8</v>
      </c>
      <c r="O258" s="51" t="str">
        <f t="shared" si="11"/>
        <v>Ongoing</v>
      </c>
      <c r="P258" s="32" t="str">
        <f t="shared" si="4"/>
        <v>Profit</v>
      </c>
      <c r="Q258" s="33">
        <f t="shared" si="5"/>
        <v>1.82</v>
      </c>
      <c r="R258" s="31" t="b">
        <f t="shared" si="6"/>
        <v>1</v>
      </c>
      <c r="S258" s="34">
        <f t="shared" si="12"/>
        <v>-0.14</v>
      </c>
      <c r="T258" s="10">
        <f t="shared" si="8"/>
        <v>13</v>
      </c>
      <c r="U258" s="11"/>
      <c r="V258" s="12"/>
      <c r="W258" s="12"/>
      <c r="X258" s="12"/>
      <c r="Y258" s="12"/>
      <c r="Z258" s="12"/>
    </row>
    <row r="259" ht="15.75" customHeight="1">
      <c r="A259" s="1" t="s">
        <v>197</v>
      </c>
      <c r="B259" s="34">
        <v>11.0</v>
      </c>
      <c r="C259" s="34">
        <v>215.37</v>
      </c>
      <c r="D259" s="34">
        <v>54.545</v>
      </c>
      <c r="E259" s="34">
        <v>2.427</v>
      </c>
      <c r="F259" s="54"/>
      <c r="G259" s="56">
        <v>45296.0</v>
      </c>
      <c r="H259" s="12"/>
      <c r="I259" s="12"/>
      <c r="J259" s="26">
        <f t="shared" si="15"/>
        <v>45296</v>
      </c>
      <c r="K259" s="27">
        <f>IFERROR(__xludf.DUMMYFUNCTION("if(isblank(J259),,index(googlefinance(A259,K$2,J259-1),2,2))"),66.56)</f>
        <v>66.56</v>
      </c>
      <c r="L259" s="50" t="str">
        <f t="shared" si="16"/>
        <v/>
      </c>
      <c r="M259" s="7" t="str">
        <f>IFERROR(__xludf.DUMMYFUNCTION("if(isblank(L259),, index(googlefinance(A259,M$2,L259-1),2,2))"),"")</f>
        <v/>
      </c>
      <c r="N259" s="30">
        <f>IFERROR(__xludf.DUMMYFUNCTION("if(isblank(A259),,googlefinance(A259))"),66.75)</f>
        <v>66.75</v>
      </c>
      <c r="O259" s="51" t="str">
        <f t="shared" si="11"/>
        <v>Ongoing</v>
      </c>
      <c r="P259" s="38" t="str">
        <f t="shared" si="4"/>
        <v>Loss</v>
      </c>
      <c r="Q259" s="39">
        <f t="shared" si="5"/>
        <v>-2.85</v>
      </c>
      <c r="R259" s="31" t="b">
        <f t="shared" si="6"/>
        <v>0</v>
      </c>
      <c r="S259" s="34">
        <f t="shared" si="12"/>
        <v>0.19</v>
      </c>
      <c r="T259" s="10">
        <f t="shared" si="8"/>
        <v>15</v>
      </c>
      <c r="U259" s="11"/>
      <c r="V259" s="12"/>
      <c r="W259" s="1"/>
      <c r="X259" s="1"/>
      <c r="Y259" s="12"/>
      <c r="Z259" s="12"/>
    </row>
    <row r="260" ht="15.75" customHeight="1">
      <c r="A260" s="1" t="s">
        <v>198</v>
      </c>
      <c r="B260" s="34">
        <v>14.0</v>
      </c>
      <c r="C260" s="34">
        <v>10.23</v>
      </c>
      <c r="D260" s="34">
        <v>21.429</v>
      </c>
      <c r="E260" s="34">
        <v>1.042</v>
      </c>
      <c r="F260" s="54"/>
      <c r="G260" s="56">
        <v>45296.0</v>
      </c>
      <c r="H260" s="12"/>
      <c r="I260" s="12"/>
      <c r="J260" s="26">
        <f t="shared" si="15"/>
        <v>45296</v>
      </c>
      <c r="K260" s="27">
        <f>IFERROR(__xludf.DUMMYFUNCTION("if(isblank(J260),,index(googlefinance(A260,K$2,J260-1),2,2))"),251.15)</f>
        <v>251.15</v>
      </c>
      <c r="L260" s="50" t="str">
        <f t="shared" si="16"/>
        <v/>
      </c>
      <c r="M260" s="7" t="str">
        <f>IFERROR(__xludf.DUMMYFUNCTION("if(isblank(L260),, index(googlefinance(A260,M$2,L260-1),2,2))"),"")</f>
        <v/>
      </c>
      <c r="N260" s="30">
        <f>IFERROR(__xludf.DUMMYFUNCTION("if(isblank(A260),,googlefinance(A260))"),249.73)</f>
        <v>249.73</v>
      </c>
      <c r="O260" s="51" t="str">
        <f t="shared" si="11"/>
        <v>Ongoing</v>
      </c>
      <c r="P260" s="32" t="str">
        <f t="shared" si="4"/>
        <v>Profit</v>
      </c>
      <c r="Q260" s="33">
        <f t="shared" si="5"/>
        <v>4.26</v>
      </c>
      <c r="R260" s="31" t="b">
        <f t="shared" si="6"/>
        <v>1</v>
      </c>
      <c r="S260" s="34">
        <f t="shared" si="12"/>
        <v>-1.42</v>
      </c>
      <c r="T260" s="10">
        <f t="shared" si="8"/>
        <v>3</v>
      </c>
      <c r="U260" s="11"/>
      <c r="V260" s="57"/>
      <c r="W260" s="41"/>
      <c r="X260" s="41"/>
      <c r="Y260" s="12"/>
      <c r="Z260" s="12"/>
    </row>
    <row r="261" ht="15.75" customHeight="1">
      <c r="A261" s="1" t="s">
        <v>48</v>
      </c>
      <c r="B261" s="34">
        <v>12.0</v>
      </c>
      <c r="C261" s="34">
        <v>348.77</v>
      </c>
      <c r="D261" s="34">
        <v>50.0</v>
      </c>
      <c r="E261" s="34">
        <v>2.704</v>
      </c>
      <c r="F261" s="54"/>
      <c r="G261" s="56">
        <v>45296.0</v>
      </c>
      <c r="H261" s="12"/>
      <c r="I261" s="12"/>
      <c r="J261" s="26">
        <f t="shared" si="15"/>
        <v>45296</v>
      </c>
      <c r="K261" s="27">
        <f>IFERROR(__xludf.DUMMYFUNCTION("if(isblank(J261),,index(googlefinance(A261,K$2,J261-1),2,2))"),307.37)</f>
        <v>307.37</v>
      </c>
      <c r="L261" s="50" t="str">
        <f t="shared" si="16"/>
        <v/>
      </c>
      <c r="M261" s="7" t="str">
        <f>IFERROR(__xludf.DUMMYFUNCTION("if(isblank(L261),, index(googlefinance(A261,M$2,L261-1),2,2))"),"")</f>
        <v/>
      </c>
      <c r="N261" s="30">
        <f>IFERROR(__xludf.DUMMYFUNCTION("if(isblank(A261),,googlefinance(A261))"),305.07)</f>
        <v>305.07</v>
      </c>
      <c r="O261" s="51" t="str">
        <f t="shared" si="11"/>
        <v>Ongoing</v>
      </c>
      <c r="P261" s="32" t="str">
        <f t="shared" si="4"/>
        <v>Profit</v>
      </c>
      <c r="Q261" s="33">
        <f t="shared" si="5"/>
        <v>6.9</v>
      </c>
      <c r="R261" s="31" t="b">
        <f t="shared" si="6"/>
        <v>1</v>
      </c>
      <c r="S261" s="34">
        <f t="shared" si="12"/>
        <v>-2.3</v>
      </c>
      <c r="T261" s="10">
        <f t="shared" si="8"/>
        <v>3</v>
      </c>
      <c r="U261" s="11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34"/>
      <c r="G262" s="34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34"/>
      <c r="G263" s="34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34"/>
      <c r="G264" s="34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34"/>
      <c r="G265" s="34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34"/>
      <c r="G266" s="34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34"/>
      <c r="G267" s="34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34"/>
      <c r="G268" s="34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34"/>
      <c r="G269" s="34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34"/>
      <c r="G270" s="34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34"/>
      <c r="G271" s="34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34"/>
      <c r="G272" s="34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34"/>
      <c r="G273" s="34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34"/>
      <c r="G274" s="34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34"/>
      <c r="G275" s="34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34"/>
      <c r="G276" s="34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34"/>
      <c r="G277" s="34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34"/>
      <c r="G278" s="34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34"/>
      <c r="G279" s="34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34"/>
      <c r="G280" s="34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34"/>
      <c r="G281" s="34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34"/>
      <c r="G282" s="34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34"/>
      <c r="G283" s="34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34"/>
      <c r="G284" s="34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34"/>
      <c r="G285" s="34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34"/>
      <c r="G286" s="34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34"/>
      <c r="G287" s="34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34"/>
      <c r="G288" s="34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34"/>
      <c r="G289" s="34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34"/>
      <c r="G290" s="34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34"/>
      <c r="G291" s="34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34"/>
      <c r="G292" s="34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34"/>
      <c r="G293" s="34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34"/>
      <c r="G294" s="34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34"/>
      <c r="G295" s="34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34"/>
      <c r="G296" s="34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34"/>
      <c r="G297" s="34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34"/>
      <c r="G298" s="34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34"/>
      <c r="G299" s="34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34"/>
      <c r="G300" s="34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34"/>
      <c r="G301" s="34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34"/>
      <c r="G302" s="34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34"/>
      <c r="G303" s="34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34"/>
      <c r="G304" s="34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34"/>
      <c r="G305" s="34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34"/>
      <c r="G306" s="34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34"/>
      <c r="G307" s="34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34"/>
      <c r="G308" s="34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34"/>
      <c r="G309" s="34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34"/>
      <c r="G310" s="34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34"/>
      <c r="G311" s="34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34"/>
      <c r="G312" s="34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34"/>
      <c r="G313" s="34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34"/>
      <c r="G314" s="34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34"/>
      <c r="G315" s="34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34"/>
      <c r="G316" s="34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34"/>
      <c r="G317" s="34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34"/>
      <c r="G318" s="34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34"/>
      <c r="G319" s="34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34"/>
      <c r="G320" s="34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34"/>
      <c r="G321" s="34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34"/>
      <c r="G322" s="34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34"/>
      <c r="G323" s="34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34"/>
      <c r="G324" s="34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34"/>
      <c r="G325" s="34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34"/>
      <c r="G326" s="34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34"/>
      <c r="G327" s="34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34"/>
      <c r="G328" s="34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34"/>
      <c r="G329" s="34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34"/>
      <c r="G330" s="34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34"/>
      <c r="G331" s="34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34"/>
      <c r="G332" s="34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34"/>
      <c r="G333" s="34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34"/>
      <c r="G334" s="34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34"/>
      <c r="G335" s="34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34"/>
      <c r="G336" s="34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34"/>
      <c r="G337" s="34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34"/>
      <c r="G338" s="34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34"/>
      <c r="G339" s="34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34"/>
      <c r="G340" s="34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34"/>
      <c r="G341" s="34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34"/>
      <c r="G342" s="34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34"/>
      <c r="G343" s="34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34"/>
      <c r="G344" s="34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34"/>
      <c r="G345" s="34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34"/>
      <c r="G346" s="34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34"/>
      <c r="G347" s="34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34"/>
      <c r="G348" s="34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34"/>
      <c r="G349" s="34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34"/>
      <c r="G350" s="34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34"/>
      <c r="G351" s="34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34"/>
      <c r="G352" s="34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34"/>
      <c r="G353" s="34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34"/>
      <c r="G354" s="34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34"/>
      <c r="G355" s="34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34"/>
      <c r="G356" s="34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34"/>
      <c r="G357" s="34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34"/>
      <c r="G358" s="34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34"/>
      <c r="G359" s="34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34"/>
      <c r="G360" s="34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34"/>
      <c r="G361" s="34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34"/>
      <c r="G362" s="34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34"/>
      <c r="G363" s="34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34"/>
      <c r="G364" s="34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34"/>
      <c r="G365" s="34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34"/>
      <c r="G366" s="34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34"/>
      <c r="G367" s="34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34"/>
      <c r="G368" s="34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34"/>
      <c r="G369" s="34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34"/>
      <c r="G370" s="34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34"/>
      <c r="G371" s="34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34"/>
      <c r="G372" s="34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34"/>
      <c r="G373" s="34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34"/>
      <c r="G374" s="34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34"/>
      <c r="G375" s="34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34"/>
      <c r="G376" s="34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34"/>
      <c r="G377" s="34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34"/>
      <c r="G378" s="34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34"/>
      <c r="G379" s="34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34"/>
      <c r="G380" s="34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34"/>
      <c r="G381" s="34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34"/>
      <c r="G382" s="34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34"/>
      <c r="G383" s="34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34"/>
      <c r="G384" s="34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34"/>
      <c r="G385" s="34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34"/>
      <c r="G386" s="34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34"/>
      <c r="G387" s="34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34"/>
      <c r="G388" s="34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34"/>
      <c r="G389" s="34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34"/>
      <c r="G390" s="34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34"/>
      <c r="G391" s="34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34"/>
      <c r="G392" s="34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34"/>
      <c r="G393" s="34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34"/>
      <c r="G394" s="34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34"/>
      <c r="G395" s="34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34"/>
      <c r="G396" s="34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34"/>
      <c r="G397" s="34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34"/>
      <c r="G398" s="34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34"/>
      <c r="G399" s="34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34"/>
      <c r="G400" s="34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34"/>
      <c r="G401" s="34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34"/>
      <c r="G402" s="34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34"/>
      <c r="G403" s="34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34"/>
      <c r="G404" s="34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34"/>
      <c r="G405" s="34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34"/>
      <c r="G406" s="34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34"/>
      <c r="G407" s="34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34"/>
      <c r="G408" s="34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34"/>
      <c r="G409" s="34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34"/>
      <c r="G410" s="34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34"/>
      <c r="G411" s="34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34"/>
      <c r="G412" s="34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34"/>
      <c r="G413" s="34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34"/>
      <c r="G414" s="34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34"/>
      <c r="G415" s="34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34"/>
      <c r="G416" s="34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34"/>
      <c r="G417" s="34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34"/>
      <c r="G418" s="34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34"/>
      <c r="G419" s="34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34"/>
      <c r="G420" s="34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34"/>
      <c r="G421" s="34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34"/>
      <c r="G422" s="34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34"/>
      <c r="G423" s="34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34"/>
      <c r="G424" s="34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34"/>
      <c r="G425" s="34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34"/>
      <c r="G426" s="34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34"/>
      <c r="G427" s="34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34"/>
      <c r="G428" s="34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34"/>
      <c r="G429" s="34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34"/>
      <c r="G430" s="34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34"/>
      <c r="G431" s="34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34"/>
      <c r="G432" s="34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34"/>
      <c r="G433" s="34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34"/>
      <c r="G434" s="34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34"/>
      <c r="G435" s="34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34"/>
      <c r="G436" s="34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34"/>
      <c r="G437" s="34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34"/>
      <c r="G438" s="34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34"/>
      <c r="G439" s="34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34"/>
      <c r="G440" s="34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34"/>
      <c r="G441" s="34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34"/>
      <c r="G442" s="34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34"/>
      <c r="G443" s="34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34"/>
      <c r="G444" s="34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34"/>
      <c r="G445" s="34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34"/>
      <c r="G446" s="34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34"/>
      <c r="G447" s="34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34"/>
      <c r="G448" s="34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34"/>
      <c r="G449" s="34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34"/>
      <c r="G450" s="34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34"/>
      <c r="G451" s="34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34"/>
      <c r="G452" s="34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34"/>
      <c r="G453" s="34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34"/>
      <c r="G454" s="34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34"/>
      <c r="G455" s="34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34"/>
      <c r="G456" s="34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34"/>
      <c r="G457" s="34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34"/>
      <c r="G458" s="34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34"/>
      <c r="G459" s="34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34"/>
      <c r="G460" s="34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34"/>
      <c r="G461" s="34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34"/>
      <c r="G462" s="34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34"/>
      <c r="G463" s="34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34"/>
      <c r="G464" s="34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34"/>
      <c r="G465" s="34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34"/>
      <c r="G466" s="34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34"/>
      <c r="G467" s="34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34"/>
      <c r="G468" s="34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34"/>
      <c r="G469" s="34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34"/>
      <c r="G470" s="34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34"/>
      <c r="G471" s="34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34"/>
      <c r="G472" s="34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34"/>
      <c r="G473" s="34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34"/>
      <c r="G474" s="34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34"/>
      <c r="G475" s="34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34"/>
      <c r="G476" s="34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34"/>
      <c r="G477" s="34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34"/>
      <c r="G478" s="34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34"/>
      <c r="G479" s="34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34"/>
      <c r="G480" s="34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34"/>
      <c r="G481" s="34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34"/>
      <c r="G482" s="34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34"/>
      <c r="G483" s="34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34"/>
      <c r="G484" s="34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34"/>
      <c r="G485" s="34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34"/>
      <c r="G486" s="34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34"/>
      <c r="G487" s="34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34"/>
      <c r="G488" s="34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34"/>
      <c r="G489" s="34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34"/>
      <c r="G490" s="34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34"/>
      <c r="G491" s="34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34"/>
      <c r="G492" s="34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34"/>
      <c r="G493" s="34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34"/>
      <c r="G494" s="34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34"/>
      <c r="G495" s="34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34"/>
      <c r="G496" s="34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34"/>
      <c r="G497" s="34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34"/>
      <c r="G498" s="34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34"/>
      <c r="G499" s="34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34"/>
      <c r="G500" s="34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34"/>
      <c r="G501" s="34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34"/>
      <c r="G502" s="34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34"/>
      <c r="G503" s="34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34"/>
      <c r="G504" s="34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34"/>
      <c r="G505" s="34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34"/>
      <c r="G506" s="34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34"/>
      <c r="G507" s="34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34"/>
      <c r="G508" s="34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34"/>
      <c r="G509" s="34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34"/>
      <c r="G510" s="34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34"/>
      <c r="G511" s="34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34"/>
      <c r="G512" s="34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34"/>
      <c r="G513" s="34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34"/>
      <c r="G514" s="34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34"/>
      <c r="G515" s="34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34"/>
      <c r="G516" s="34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34"/>
      <c r="G517" s="34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34"/>
      <c r="G518" s="34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34"/>
      <c r="G519" s="34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34"/>
      <c r="G520" s="34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34"/>
      <c r="G521" s="34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34"/>
      <c r="G522" s="34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34"/>
      <c r="G523" s="34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34"/>
      <c r="G524" s="34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34"/>
      <c r="G525" s="34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34"/>
      <c r="G526" s="34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34"/>
      <c r="G527" s="34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34"/>
      <c r="G528" s="34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34"/>
      <c r="G529" s="34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34"/>
      <c r="G530" s="34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34"/>
      <c r="G531" s="34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34"/>
      <c r="G532" s="34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34"/>
      <c r="G533" s="34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34"/>
      <c r="G534" s="34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34"/>
      <c r="G535" s="34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34"/>
      <c r="G536" s="34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34"/>
      <c r="G537" s="34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34"/>
      <c r="G538" s="34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34"/>
      <c r="G539" s="34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34"/>
      <c r="G540" s="34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34"/>
      <c r="G541" s="34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34"/>
      <c r="G542" s="34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34"/>
      <c r="G543" s="34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34"/>
      <c r="G544" s="34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34"/>
      <c r="G545" s="34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34"/>
      <c r="G546" s="34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34"/>
      <c r="G547" s="34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34"/>
      <c r="G548" s="34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34"/>
      <c r="G549" s="34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34"/>
      <c r="G550" s="34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34"/>
      <c r="G551" s="34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34"/>
      <c r="G552" s="34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34"/>
      <c r="G553" s="34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34"/>
      <c r="G554" s="34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34"/>
      <c r="G555" s="34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34"/>
      <c r="G556" s="34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34"/>
      <c r="G557" s="34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34"/>
      <c r="G558" s="34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34"/>
      <c r="G559" s="34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34"/>
      <c r="G560" s="34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34"/>
      <c r="G561" s="34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34"/>
      <c r="G562" s="34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34"/>
      <c r="G563" s="34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34"/>
      <c r="G564" s="34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34"/>
      <c r="G565" s="34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34"/>
      <c r="G566" s="34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34"/>
      <c r="G567" s="34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34"/>
      <c r="G568" s="34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34"/>
      <c r="G569" s="34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34"/>
      <c r="G570" s="34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34"/>
      <c r="G571" s="34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34"/>
      <c r="G572" s="34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34"/>
      <c r="G573" s="34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34"/>
      <c r="G574" s="34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34"/>
      <c r="G575" s="34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34"/>
      <c r="G576" s="34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34"/>
      <c r="G577" s="34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34"/>
      <c r="G578" s="34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34"/>
      <c r="G579" s="34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34"/>
      <c r="G580" s="34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34"/>
      <c r="G581" s="34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34"/>
      <c r="G582" s="34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34"/>
      <c r="G583" s="34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34"/>
      <c r="G584" s="34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34"/>
      <c r="G585" s="34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34"/>
      <c r="G586" s="34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34"/>
      <c r="G587" s="34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34"/>
      <c r="G588" s="34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34"/>
      <c r="G589" s="34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34"/>
      <c r="G590" s="34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34"/>
      <c r="G591" s="34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34"/>
      <c r="G592" s="34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34"/>
      <c r="G593" s="34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34"/>
      <c r="G594" s="34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34"/>
      <c r="G595" s="34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34"/>
      <c r="G596" s="34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34"/>
      <c r="G597" s="34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34"/>
      <c r="G598" s="34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34"/>
      <c r="G599" s="34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34"/>
      <c r="G600" s="34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34"/>
      <c r="G601" s="34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34"/>
      <c r="G602" s="34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34"/>
      <c r="G603" s="34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34"/>
      <c r="G604" s="34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34"/>
      <c r="G605" s="34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34"/>
      <c r="G606" s="34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34"/>
      <c r="G607" s="34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34"/>
      <c r="G608" s="34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34"/>
      <c r="G609" s="34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34"/>
      <c r="G610" s="34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34"/>
      <c r="G611" s="34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34"/>
      <c r="G612" s="34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34"/>
      <c r="G613" s="34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34"/>
      <c r="G614" s="34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34"/>
      <c r="G615" s="34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34"/>
      <c r="G616" s="34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34"/>
      <c r="G617" s="34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34"/>
      <c r="G618" s="34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34"/>
      <c r="G619" s="34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34"/>
      <c r="G620" s="34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34"/>
      <c r="G621" s="34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34"/>
      <c r="G622" s="34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34"/>
      <c r="G623" s="34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34"/>
      <c r="G624" s="34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34"/>
      <c r="G625" s="34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34"/>
      <c r="G626" s="34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34"/>
      <c r="G627" s="34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34"/>
      <c r="G628" s="34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34"/>
      <c r="G629" s="34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34"/>
      <c r="G630" s="34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34"/>
      <c r="G631" s="34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34"/>
      <c r="G632" s="34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34"/>
      <c r="G633" s="34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34"/>
      <c r="G634" s="34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34"/>
      <c r="G635" s="34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34"/>
      <c r="G636" s="34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34"/>
      <c r="G637" s="34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34"/>
      <c r="G638" s="34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34"/>
      <c r="G639" s="34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34"/>
      <c r="G640" s="34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34"/>
      <c r="G641" s="34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34"/>
      <c r="G642" s="34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34"/>
      <c r="G643" s="34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34"/>
      <c r="G644" s="34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34"/>
      <c r="G645" s="34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34"/>
      <c r="G646" s="34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34"/>
      <c r="G647" s="34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34"/>
      <c r="G648" s="34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34"/>
      <c r="G649" s="34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34"/>
      <c r="G650" s="34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34"/>
      <c r="G651" s="34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34"/>
      <c r="G652" s="34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34"/>
      <c r="G653" s="34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34"/>
      <c r="G654" s="34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34"/>
      <c r="G655" s="34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34"/>
      <c r="G656" s="34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34"/>
      <c r="G657" s="34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34"/>
      <c r="G658" s="34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34"/>
      <c r="G659" s="34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34"/>
      <c r="G660" s="34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34"/>
      <c r="G661" s="34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34"/>
      <c r="G662" s="34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34"/>
      <c r="G663" s="34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34"/>
      <c r="G664" s="34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34"/>
      <c r="G665" s="34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34"/>
      <c r="G666" s="34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34"/>
      <c r="G667" s="34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34"/>
      <c r="G668" s="34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34"/>
      <c r="G669" s="34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34"/>
      <c r="G670" s="34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34"/>
      <c r="G671" s="34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34"/>
      <c r="G672" s="34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34"/>
      <c r="G673" s="34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34"/>
      <c r="G674" s="34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34"/>
      <c r="G675" s="34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34"/>
      <c r="G676" s="34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34"/>
      <c r="G677" s="34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34"/>
      <c r="G678" s="34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34"/>
      <c r="G679" s="34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34"/>
      <c r="G680" s="34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34"/>
      <c r="G681" s="34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34"/>
      <c r="G682" s="34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34"/>
      <c r="G683" s="34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34"/>
      <c r="G684" s="34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34"/>
      <c r="G685" s="34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34"/>
      <c r="G686" s="34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34"/>
      <c r="G687" s="34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34"/>
      <c r="G688" s="34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34"/>
      <c r="G689" s="34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34"/>
      <c r="G690" s="34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34"/>
      <c r="G691" s="34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34"/>
      <c r="G692" s="34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34"/>
      <c r="G693" s="34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34"/>
      <c r="G694" s="34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34"/>
      <c r="G695" s="34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34"/>
      <c r="G696" s="34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34"/>
      <c r="G697" s="34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34"/>
      <c r="G698" s="34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34"/>
      <c r="G699" s="34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34"/>
      <c r="G700" s="34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34"/>
      <c r="G701" s="34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34"/>
      <c r="G702" s="34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34"/>
      <c r="G703" s="34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34"/>
      <c r="G704" s="34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34"/>
      <c r="G705" s="34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34"/>
      <c r="G706" s="34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34"/>
      <c r="G707" s="34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34"/>
      <c r="G708" s="34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34"/>
      <c r="G709" s="34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34"/>
      <c r="G710" s="34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34"/>
      <c r="G711" s="34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34"/>
      <c r="G712" s="34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34"/>
      <c r="G713" s="34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34"/>
      <c r="G714" s="34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34"/>
      <c r="G715" s="34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34"/>
      <c r="G716" s="34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34"/>
      <c r="G717" s="34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34"/>
      <c r="G718" s="34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34"/>
      <c r="G719" s="34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34"/>
      <c r="G720" s="34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34"/>
      <c r="G721" s="34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34"/>
      <c r="G722" s="34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34"/>
      <c r="G723" s="34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34"/>
      <c r="G724" s="34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34"/>
      <c r="G725" s="34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34"/>
      <c r="G726" s="34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34"/>
      <c r="G727" s="34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34"/>
      <c r="G728" s="34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34"/>
      <c r="G729" s="34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34"/>
      <c r="G730" s="34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34"/>
      <c r="G731" s="34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34"/>
      <c r="G732" s="34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34"/>
      <c r="G733" s="34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34"/>
      <c r="G734" s="34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34"/>
      <c r="G735" s="34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34"/>
      <c r="G736" s="34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34"/>
      <c r="G737" s="34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34"/>
      <c r="G738" s="34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34"/>
      <c r="G739" s="34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34"/>
      <c r="G740" s="34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34"/>
      <c r="G741" s="34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34"/>
      <c r="G742" s="34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34"/>
      <c r="G743" s="34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34"/>
      <c r="G744" s="34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34"/>
      <c r="G745" s="34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34"/>
      <c r="G746" s="34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34"/>
      <c r="G747" s="34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34"/>
      <c r="G748" s="34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34"/>
      <c r="G749" s="34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34"/>
      <c r="G750" s="34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34"/>
      <c r="G751" s="34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34"/>
      <c r="G752" s="34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34"/>
      <c r="G753" s="34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34"/>
      <c r="G754" s="34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34"/>
      <c r="G755" s="34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34"/>
      <c r="G756" s="34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34"/>
      <c r="G757" s="34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34"/>
      <c r="G758" s="34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34"/>
      <c r="G759" s="34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34"/>
      <c r="G760" s="34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34"/>
      <c r="G761" s="34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34"/>
      <c r="G762" s="34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34"/>
      <c r="G763" s="34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34"/>
      <c r="G764" s="34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34"/>
      <c r="G765" s="34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34"/>
      <c r="G766" s="34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34"/>
      <c r="G767" s="34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34"/>
      <c r="G768" s="34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34"/>
      <c r="G769" s="34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34"/>
      <c r="G770" s="34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34"/>
      <c r="G771" s="34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34"/>
      <c r="G772" s="34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34"/>
      <c r="G773" s="34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34"/>
      <c r="G774" s="34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34"/>
      <c r="G775" s="34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34"/>
      <c r="G776" s="34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34"/>
      <c r="G777" s="34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34"/>
      <c r="G778" s="34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34"/>
      <c r="G779" s="34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34"/>
      <c r="G780" s="34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34"/>
      <c r="G781" s="34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34"/>
      <c r="G782" s="34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34"/>
      <c r="G783" s="34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34"/>
      <c r="G784" s="34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34"/>
      <c r="G785" s="34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34"/>
      <c r="G786" s="34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34"/>
      <c r="G787" s="34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34"/>
      <c r="G788" s="34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34"/>
      <c r="G789" s="34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34"/>
      <c r="G790" s="34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34"/>
      <c r="G791" s="34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34"/>
      <c r="G792" s="34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34"/>
      <c r="G793" s="34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34"/>
      <c r="G794" s="34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34"/>
      <c r="G795" s="34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34"/>
      <c r="G796" s="34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34"/>
      <c r="G797" s="34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34"/>
      <c r="G798" s="34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34"/>
      <c r="G799" s="34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34"/>
      <c r="G800" s="34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34"/>
      <c r="G801" s="34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34"/>
      <c r="G802" s="34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34"/>
      <c r="G803" s="34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34"/>
      <c r="G804" s="34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34"/>
      <c r="G805" s="34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34"/>
      <c r="G806" s="34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34"/>
      <c r="G807" s="34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34"/>
      <c r="G808" s="34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34"/>
      <c r="G809" s="34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34"/>
      <c r="G810" s="34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34"/>
      <c r="G811" s="34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34"/>
      <c r="G812" s="34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34"/>
      <c r="G813" s="34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34"/>
      <c r="G814" s="34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34"/>
      <c r="G815" s="34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34"/>
      <c r="G816" s="34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34"/>
      <c r="G817" s="34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34"/>
      <c r="G818" s="34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34"/>
      <c r="G819" s="34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34"/>
      <c r="G820" s="34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34"/>
      <c r="G821" s="34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34"/>
      <c r="G822" s="34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34"/>
      <c r="G823" s="34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34"/>
      <c r="G824" s="34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34"/>
      <c r="G825" s="34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34"/>
      <c r="G826" s="34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34"/>
      <c r="G827" s="34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34"/>
      <c r="G828" s="34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34"/>
      <c r="G829" s="34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34"/>
      <c r="G830" s="34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34"/>
      <c r="G831" s="34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34"/>
      <c r="G832" s="34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34"/>
      <c r="G833" s="34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34"/>
      <c r="G834" s="34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34"/>
      <c r="G835" s="34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34"/>
      <c r="G836" s="34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34"/>
      <c r="G837" s="34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34"/>
      <c r="G838" s="34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34"/>
      <c r="G839" s="34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34"/>
      <c r="G840" s="34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34"/>
      <c r="G841" s="34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34"/>
      <c r="G842" s="34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34"/>
      <c r="G843" s="34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34"/>
      <c r="G844" s="34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34"/>
      <c r="G845" s="34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34"/>
      <c r="G846" s="34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34"/>
      <c r="G847" s="34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34"/>
      <c r="G848" s="34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34"/>
      <c r="G849" s="34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34"/>
      <c r="G850" s="34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34"/>
      <c r="G851" s="34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34"/>
      <c r="G852" s="34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34"/>
      <c r="G853" s="34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34"/>
      <c r="G854" s="34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34"/>
      <c r="G855" s="34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34"/>
      <c r="G856" s="34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34"/>
      <c r="G857" s="34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34"/>
      <c r="G858" s="34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34"/>
      <c r="G859" s="34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34"/>
      <c r="G860" s="34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34"/>
      <c r="G861" s="34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34"/>
      <c r="G862" s="34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34"/>
      <c r="G863" s="34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34"/>
      <c r="G864" s="34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34"/>
      <c r="G865" s="34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34"/>
      <c r="G866" s="34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34"/>
      <c r="G867" s="34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34"/>
      <c r="G868" s="34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34"/>
      <c r="G869" s="34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34"/>
      <c r="G870" s="34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34"/>
      <c r="G871" s="34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34"/>
      <c r="G872" s="34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34"/>
      <c r="G873" s="34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34"/>
      <c r="G874" s="34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34"/>
      <c r="G875" s="34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34"/>
      <c r="G876" s="34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34"/>
      <c r="G877" s="34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34"/>
      <c r="G878" s="34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34"/>
      <c r="G879" s="34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34"/>
      <c r="G880" s="34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34"/>
      <c r="G881" s="34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34"/>
      <c r="G882" s="34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34"/>
      <c r="G883" s="34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34"/>
      <c r="G884" s="34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34"/>
      <c r="G885" s="34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34"/>
      <c r="G886" s="34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34"/>
      <c r="G887" s="34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34"/>
      <c r="G888" s="34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34"/>
      <c r="G889" s="34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34"/>
      <c r="G890" s="34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34"/>
      <c r="G891" s="34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34"/>
      <c r="G892" s="34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34"/>
      <c r="G893" s="34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34"/>
      <c r="G894" s="34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34"/>
      <c r="G895" s="34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34"/>
      <c r="G896" s="34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34"/>
      <c r="G897" s="34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34"/>
      <c r="G898" s="34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34"/>
      <c r="G899" s="34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34"/>
      <c r="G900" s="34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34"/>
      <c r="G901" s="34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34"/>
      <c r="G902" s="34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34"/>
      <c r="G903" s="34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34"/>
      <c r="G904" s="34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34"/>
      <c r="G905" s="34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34"/>
      <c r="G906" s="34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34"/>
      <c r="G907" s="34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34"/>
      <c r="G908" s="34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34"/>
      <c r="G909" s="34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34"/>
      <c r="G910" s="34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34"/>
      <c r="G911" s="34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34"/>
      <c r="G912" s="34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34"/>
      <c r="G913" s="34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34"/>
      <c r="G914" s="34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34"/>
      <c r="G915" s="34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34"/>
      <c r="G916" s="34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34"/>
      <c r="G917" s="34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34"/>
      <c r="G918" s="34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34"/>
      <c r="G919" s="34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34"/>
      <c r="G920" s="34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34"/>
      <c r="G921" s="34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34"/>
      <c r="G922" s="34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34"/>
      <c r="G923" s="34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34"/>
      <c r="G924" s="34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34"/>
      <c r="G925" s="34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34"/>
      <c r="G926" s="34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34"/>
      <c r="G927" s="34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34"/>
      <c r="G928" s="34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34"/>
      <c r="G929" s="34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34"/>
      <c r="G930" s="34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34"/>
      <c r="G931" s="34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34"/>
      <c r="G932" s="34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34"/>
      <c r="G933" s="34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34"/>
      <c r="G934" s="34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34"/>
      <c r="G935" s="34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34"/>
      <c r="G936" s="34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34"/>
      <c r="G937" s="34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34"/>
      <c r="G938" s="34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34"/>
      <c r="G939" s="34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34"/>
      <c r="G940" s="34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34"/>
      <c r="G941" s="34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34"/>
      <c r="G942" s="34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34"/>
      <c r="G943" s="34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34"/>
      <c r="G944" s="34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34"/>
      <c r="G945" s="34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34"/>
      <c r="G946" s="34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34"/>
      <c r="G947" s="34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34"/>
      <c r="G948" s="34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34"/>
      <c r="G949" s="34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34"/>
      <c r="G950" s="34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34"/>
      <c r="G951" s="34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34"/>
      <c r="G952" s="34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34"/>
      <c r="G953" s="34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34"/>
      <c r="G954" s="34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34"/>
      <c r="G955" s="34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34"/>
      <c r="G956" s="34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34"/>
      <c r="G957" s="34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34"/>
      <c r="G958" s="34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34"/>
      <c r="G959" s="34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34"/>
      <c r="G960" s="34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34"/>
      <c r="G961" s="34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34"/>
      <c r="G962" s="34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34"/>
      <c r="G963" s="34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34"/>
      <c r="G964" s="34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34"/>
      <c r="G965" s="34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34"/>
      <c r="G966" s="34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34"/>
      <c r="G967" s="34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34"/>
      <c r="G968" s="34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34"/>
      <c r="G969" s="34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34"/>
      <c r="G970" s="34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34"/>
      <c r="G971" s="34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34"/>
      <c r="G972" s="34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34"/>
      <c r="G973" s="34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34"/>
      <c r="G974" s="34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34"/>
      <c r="G975" s="34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34"/>
      <c r="G976" s="34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34"/>
      <c r="G977" s="34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34"/>
      <c r="G978" s="34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34"/>
      <c r="G979" s="34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34"/>
      <c r="G980" s="34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34"/>
      <c r="G981" s="34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34"/>
      <c r="G982" s="34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34"/>
      <c r="G983" s="34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34"/>
      <c r="G984" s="34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34"/>
      <c r="G985" s="34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34"/>
      <c r="G986" s="34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34"/>
      <c r="G987" s="34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34"/>
      <c r="G988" s="34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34"/>
      <c r="G989" s="34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34"/>
      <c r="G990" s="34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34"/>
      <c r="G991" s="34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34"/>
      <c r="G992" s="34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34"/>
      <c r="G993" s="34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34"/>
      <c r="G994" s="34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34"/>
      <c r="G995" s="34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34"/>
      <c r="G996" s="34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34"/>
      <c r="G997" s="34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34"/>
      <c r="G998" s="34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34"/>
      <c r="G999" s="34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34"/>
      <c r="G1000" s="34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$A$2:$U$242">
    <sortState ref="A2:U242">
      <sortCondition ref="A2:A242"/>
      <sortCondition ref="J2:J242"/>
    </sortState>
  </autoFilter>
  <conditionalFormatting sqref="J3:J261">
    <cfRule type="expression" dxfId="0" priority="1">
      <formula>IF(COUNTA(F3)=1,TRUE,FALSE)</formula>
    </cfRule>
  </conditionalFormatting>
  <conditionalFormatting sqref="J3:J261">
    <cfRule type="expression" dxfId="1" priority="2">
      <formula>IF(COUNTA(G3)=1,TRUE,FALSE)</formula>
    </cfRule>
  </conditionalFormatting>
  <conditionalFormatting sqref="L3:L261">
    <cfRule type="expression" dxfId="1" priority="3">
      <formula>IF(COUNTA(H3)=1,TRUE,FALSE)</formula>
    </cfRule>
  </conditionalFormatting>
  <conditionalFormatting sqref="L3:L261">
    <cfRule type="expression" dxfId="0" priority="4">
      <formula>IF(COUNTA(I3)=1,TRUE,FALSE)</formula>
    </cfRule>
  </conditionalFormatting>
  <conditionalFormatting sqref="O2:O261">
    <cfRule type="cellIs" dxfId="2" priority="5" operator="equal">
      <formula>"Ongoing"</formula>
    </cfRule>
  </conditionalFormatting>
  <conditionalFormatting sqref="P1:P261">
    <cfRule type="cellIs" dxfId="0" priority="6" operator="equal">
      <formula>"Profit"</formula>
    </cfRule>
  </conditionalFormatting>
  <conditionalFormatting sqref="P1:P261">
    <cfRule type="cellIs" dxfId="1" priority="7" operator="equal">
      <formula>"Loss"</formula>
    </cfRule>
  </conditionalFormatting>
  <conditionalFormatting sqref="Q3:Q261">
    <cfRule type="cellIs" dxfId="3" priority="8" operator="greaterThan">
      <formula>0</formula>
    </cfRule>
  </conditionalFormatting>
  <conditionalFormatting sqref="Q3:Q261">
    <cfRule type="cellIs" dxfId="4" priority="9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199</v>
      </c>
      <c r="B1" s="1" t="s">
        <v>10</v>
      </c>
      <c r="C1" s="1" t="s">
        <v>200</v>
      </c>
    </row>
    <row r="2">
      <c r="A2" s="57" t="str">
        <f>sum('2024'!Q:Q)</f>
        <v>#N/A</v>
      </c>
      <c r="B2" s="41" t="str">
        <f>A2/(1000*countif('2024'!O:O,"Completed"))*100</f>
        <v>#N/A</v>
      </c>
      <c r="C2" s="41" t="str">
        <f>B2/(DATEDIF('2024'!G3, TODAY(), "D")/30)</f>
        <v>#N/A</v>
      </c>
    </row>
  </sheetData>
  <drawing r:id="rId1"/>
</worksheet>
</file>