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7140" tabRatio="600" firstSheet="0" activeTab="0" autoFilterDateGrouping="1"/>
  </bookViews>
  <sheets>
    <sheet xmlns:r="http://schemas.openxmlformats.org/officeDocument/2006/relationships" name="2023" sheetId="1" state="visible" r:id="rId1"/>
  </sheets>
  <definedNames>
    <definedName name="_xlnm._FilterDatabase" localSheetId="0" hidden="1">'2023'!$A$2:$U$242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\(#,##0.00\)"/>
    <numFmt numFmtId="165" formatCode="yyyy/m/d"/>
    <numFmt numFmtId="166" formatCode="dd&quot;/&quot;mm"/>
  </numFmts>
  <fonts count="9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Consolas"/>
      <color rgb="FF000000"/>
      <sz val="10"/>
    </font>
    <font>
      <name val="Arial"/>
      <color rgb="FF000000"/>
      <sz val="10"/>
      <scheme val="minor"/>
    </font>
    <font>
      <name val="Arial"/>
      <color theme="1"/>
      <sz val="10"/>
    </font>
    <font>
      <name val="Arial"/>
      <color rgb="FF000000"/>
      <sz val="10"/>
    </font>
    <font>
      <name val="Arial"/>
      <family val="2"/>
      <b val="1"/>
      <color rgb="FF000000"/>
      <sz val="10"/>
      <scheme val="minor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numFmtId="0" fontId="5" fillId="0" borderId="0"/>
  </cellStyleXfs>
  <cellXfs count="89">
    <xf numFmtId="0" fontId="0" fillId="0" borderId="0" pivotButton="0" quotePrefix="0" xfId="0"/>
    <xf numFmtId="1" fontId="1" fillId="2" borderId="0" applyAlignment="1" pivotButton="0" quotePrefix="0" xfId="0">
      <alignment horizontal="center"/>
    </xf>
    <xf numFmtId="4" fontId="1" fillId="2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4" fontId="2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0" fontId="2" fillId="2" borderId="0" pivotButton="0" quotePrefix="0" xfId="0"/>
    <xf numFmtId="1" fontId="2" fillId="2" borderId="0" applyAlignment="1" pivotButton="0" quotePrefix="0" xfId="0">
      <alignment horizontal="center"/>
    </xf>
    <xf numFmtId="4" fontId="2" fillId="2" borderId="0" applyAlignment="1" pivotButton="0" quotePrefix="0" xfId="0">
      <alignment horizontal="center"/>
    </xf>
    <xf numFmtId="165" fontId="4" fillId="0" borderId="0" pivotButton="0" quotePrefix="0" xfId="0"/>
    <xf numFmtId="165" fontId="4" fillId="0" borderId="0" applyAlignment="1" pivotButton="0" quotePrefix="0" xfId="0">
      <alignment horizontal="right"/>
    </xf>
    <xf numFmtId="166" fontId="2" fillId="3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166" fontId="2" fillId="4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" fontId="2" fillId="0" borderId="0" applyAlignment="1" pivotButton="0" quotePrefix="0" xfId="0">
      <alignment horizontal="center"/>
    </xf>
    <xf numFmtId="0" fontId="2" fillId="0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pivotButton="0" quotePrefix="0" xfId="0"/>
    <xf numFmtId="1" fontId="6" fillId="2" borderId="0" applyAlignment="1" pivotButton="0" quotePrefix="0" xfId="0">
      <alignment horizontal="center"/>
    </xf>
    <xf numFmtId="4" fontId="6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6" fillId="0" borderId="0" pivotButton="0" quotePrefix="0" xfId="0"/>
    <xf numFmtId="1" fontId="6" fillId="0" borderId="0" applyAlignment="1" pivotButton="0" quotePrefix="0" xfId="0">
      <alignment horizontal="center"/>
    </xf>
    <xf numFmtId="4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1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4" fontId="7" fillId="0" borderId="0" applyAlignment="1" pivotButton="0" quotePrefix="0" xfId="0">
      <alignment horizontal="center"/>
    </xf>
    <xf numFmtId="0" fontId="7" fillId="0" borderId="0" pivotButton="0" quotePrefix="0" xfId="0"/>
    <xf numFmtId="4" fontId="7" fillId="0" borderId="0" pivotButton="0" quotePrefix="0" xfId="0"/>
    <xf numFmtId="166" fontId="2" fillId="0" borderId="0" applyAlignment="1" pivotButton="0" quotePrefix="0" xfId="0">
      <alignment horizontal="center"/>
    </xf>
    <xf numFmtId="166" fontId="7" fillId="0" borderId="0" pivotButton="0" quotePrefix="0" xfId="0"/>
    <xf numFmtId="166" fontId="7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8" fillId="0" borderId="0" pivotButton="0" quotePrefix="0" xfId="0"/>
    <xf numFmtId="0" fontId="0" fillId="0" borderId="1" pivotButton="0" quotePrefix="0" xfId="0"/>
    <xf numFmtId="1" fontId="1" fillId="2" borderId="1" applyAlignment="1" pivotButton="0" quotePrefix="0" xfId="0">
      <alignment horizontal="center"/>
    </xf>
    <xf numFmtId="4" fontId="1" fillId="2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" fillId="5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4" fontId="2" fillId="0" borderId="1" applyAlignment="1" pivotButton="0" quotePrefix="0" xfId="0">
      <alignment horizontal="center"/>
    </xf>
    <xf numFmtId="0" fontId="8" fillId="0" borderId="1" pivotButton="0" quotePrefix="0" xfId="0"/>
    <xf numFmtId="164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0" fontId="2" fillId="2" borderId="1" pivotButton="0" quotePrefix="0" xfId="0"/>
    <xf numFmtId="1" fontId="2" fillId="2" borderId="1" applyAlignment="1" pivotButton="0" quotePrefix="0" xfId="0">
      <alignment horizontal="center"/>
    </xf>
    <xf numFmtId="4" fontId="2" fillId="2" borderId="1" applyAlignment="1" pivotButton="0" quotePrefix="0" xfId="0">
      <alignment horizontal="center"/>
    </xf>
    <xf numFmtId="165" fontId="4" fillId="0" borderId="1" applyAlignment="1" pivotButton="0" quotePrefix="0" xfId="0">
      <alignment horizontal="center"/>
    </xf>
    <xf numFmtId="166" fontId="2" fillId="3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166" fontId="2" fillId="4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" fontId="2" fillId="0" borderId="1" applyAlignment="1" pivotButton="0" quotePrefix="0" xfId="0">
      <alignment horizontal="center"/>
    </xf>
    <xf numFmtId="0" fontId="5" fillId="2" borderId="1" applyAlignment="1" pivotButton="0" quotePrefix="0" xfId="0">
      <alignment horizontal="center"/>
    </xf>
    <xf numFmtId="0" fontId="2" fillId="0" borderId="1" pivotButton="0" quotePrefix="0" xfId="0"/>
    <xf numFmtId="0" fontId="6" fillId="2" borderId="1" pivotButton="0" quotePrefix="0" xfId="0"/>
    <xf numFmtId="1" fontId="6" fillId="2" borderId="1" applyAlignment="1" pivotButton="0" quotePrefix="0" xfId="0">
      <alignment horizontal="center"/>
    </xf>
    <xf numFmtId="4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6" fillId="0" borderId="1" pivotButton="0" quotePrefix="0" xfId="0"/>
    <xf numFmtId="1" fontId="6" fillId="0" borderId="1" applyAlignment="1" pivotButton="0" quotePrefix="0" xfId="0">
      <alignment horizontal="center"/>
    </xf>
    <xf numFmtId="4" fontId="6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1" fontId="7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4" fontId="7" fillId="0" borderId="1" applyAlignment="1" pivotButton="0" quotePrefix="0" xfId="0">
      <alignment horizontal="center"/>
    </xf>
    <xf numFmtId="0" fontId="7" fillId="0" borderId="1" pivotButton="0" quotePrefix="0" xfId="0"/>
    <xf numFmtId="166" fontId="2" fillId="0" borderId="1" applyAlignment="1" pivotButton="0" quotePrefix="0" xfId="0">
      <alignment horizontal="center"/>
    </xf>
    <xf numFmtId="166" fontId="7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</cellXfs>
  <cellStyles count="1">
    <cellStyle name="Normal" xfId="0" builtinId="0"/>
  </cellStyles>
  <dxfs count="9">
    <dxf>
      <font>
        <b val="1"/>
      </font>
      <fill>
        <patternFill patternType="solid">
          <fgColor rgb="FFF4C7C3"/>
          <bgColor rgb="FFF4C7C3"/>
        </patternFill>
      </fill>
    </dxf>
    <dxf>
      <font>
        <b val="1"/>
      </font>
      <fill>
        <patternFill patternType="solid">
          <fgColor rgb="FFB7E1CD"/>
          <bgColor rgb="FFB7E1CD"/>
        </patternFill>
      </fill>
    </dxf>
    <dxf>
      <font>
        <b val="1"/>
        <color rgb="FF0B8043"/>
      </font>
    </dxf>
    <dxf>
      <font>
        <b val="1"/>
        <color rgb="FFC53929"/>
      </font>
    </dxf>
    <dxf>
      <fill>
        <patternFill patternType="solid">
          <fgColor rgb="FFFCE8B2"/>
          <bgColor rgb="FFFCE8B2"/>
        </patternFill>
      </fill>
    </dxf>
    <dxf>
      <font>
        <b val="1"/>
        <color rgb="FF0B8043"/>
      </font>
    </dxf>
    <dxf>
      <font>
        <b val="1"/>
        <color rgb="FFC53929"/>
      </font>
    </dxf>
    <dxf>
      <font>
        <b val="1"/>
        <color rgb="FFC53929"/>
      </font>
    </dxf>
    <dxf>
      <font>
        <b val="1"/>
        <color rgb="FF0B8043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U261"/>
  <sheetViews>
    <sheetView tabSelected="1" workbookViewId="0">
      <pane xSplit="1" ySplit="2" topLeftCell="B226" activePane="bottomRight" state="frozen"/>
      <selection pane="topRight" activeCell="B1" sqref="B1"/>
      <selection pane="bottomLeft" activeCell="A3" sqref="A3"/>
      <selection pane="bottomRight" activeCell="C235" sqref="C235"/>
    </sheetView>
  </sheetViews>
  <sheetFormatPr baseColWidth="10" defaultColWidth="12.6640625" defaultRowHeight="15.75" customHeight="1"/>
  <cols>
    <col outlineLevel="1" width="12.6640625" customWidth="1" min="2" max="9"/>
  </cols>
  <sheetData>
    <row r="1" hidden="1" ht="13" customHeight="1">
      <c r="A1" s="46" t="n"/>
      <c r="B1" s="47" t="n"/>
      <c r="C1" s="48" t="n"/>
      <c r="D1" s="48" t="n"/>
      <c r="E1" s="48" t="n"/>
      <c r="F1" s="49" t="n"/>
      <c r="G1" s="49" t="n"/>
      <c r="H1" s="49" t="n"/>
      <c r="I1" s="49" t="n"/>
      <c r="J1" s="50" t="n"/>
      <c r="K1" s="50" t="n"/>
      <c r="L1" s="51" t="n"/>
      <c r="M1" s="51" t="n"/>
      <c r="N1" s="52" t="n"/>
      <c r="O1" s="49" t="n"/>
      <c r="P1" s="49" t="n"/>
      <c r="Q1" s="53" t="n"/>
      <c r="R1" s="49" t="n"/>
      <c r="S1" s="54" t="n"/>
      <c r="T1" s="49" t="n"/>
      <c r="U1" s="55" t="n">
        <v>1000</v>
      </c>
    </row>
    <row r="2" ht="13" customHeight="1">
      <c r="A2" s="56" t="inlineStr">
        <is>
          <t>Stock</t>
        </is>
      </c>
      <c r="B2" s="47" t="inlineStr">
        <is>
          <t>No. of Trades in 4 years</t>
        </is>
      </c>
      <c r="C2" s="48" t="inlineStr">
        <is>
          <t>Profit</t>
        </is>
      </c>
      <c r="D2" s="48" t="inlineStr">
        <is>
          <t>Profit %</t>
        </is>
      </c>
      <c r="E2" s="48" t="inlineStr">
        <is>
          <t>Profit Factor</t>
        </is>
      </c>
      <c r="F2" s="49" t="inlineStr">
        <is>
          <t>BUY</t>
        </is>
      </c>
      <c r="G2" s="49" t="inlineStr">
        <is>
          <t>SELL</t>
        </is>
      </c>
      <c r="H2" s="49" t="inlineStr">
        <is>
          <t>CLOSE BUY</t>
        </is>
      </c>
      <c r="I2" s="49" t="inlineStr">
        <is>
          <t>CLOSE SELL</t>
        </is>
      </c>
      <c r="J2" s="50" t="inlineStr">
        <is>
          <t>Open</t>
        </is>
      </c>
      <c r="K2" s="50" t="inlineStr">
        <is>
          <t>Price</t>
        </is>
      </c>
      <c r="L2" s="51" t="inlineStr">
        <is>
          <t>Close</t>
        </is>
      </c>
      <c r="M2" s="51" t="inlineStr">
        <is>
          <t>Price</t>
        </is>
      </c>
      <c r="N2" s="52" t="inlineStr">
        <is>
          <t>Current</t>
        </is>
      </c>
      <c r="O2" s="49" t="inlineStr">
        <is>
          <t>Status</t>
        </is>
      </c>
      <c r="P2" s="49" t="inlineStr">
        <is>
          <t>Result</t>
        </is>
      </c>
      <c r="Q2" s="57" t="inlineStr">
        <is>
          <t>Profit</t>
        </is>
      </c>
      <c r="R2" s="49" t="inlineStr">
        <is>
          <t>Selected</t>
        </is>
      </c>
      <c r="S2" s="54" t="inlineStr">
        <is>
          <t>Profit Trades</t>
        </is>
      </c>
      <c r="T2" s="49" t="inlineStr">
        <is>
          <t>Change</t>
        </is>
      </c>
      <c r="U2" s="58" t="inlineStr">
        <is>
          <t>Shares</t>
        </is>
      </c>
    </row>
    <row r="3" hidden="1" ht="14" customHeight="1">
      <c r="A3" s="59" t="inlineStr">
        <is>
          <t>DXCM</t>
        </is>
      </c>
      <c r="B3" s="60" t="n">
        <v>16</v>
      </c>
      <c r="C3" s="61" t="n">
        <v>105.058</v>
      </c>
      <c r="D3" s="61" t="n">
        <v>25</v>
      </c>
      <c r="E3" s="61" t="n">
        <v>1.312</v>
      </c>
      <c r="F3" s="62" t="n"/>
      <c r="G3" s="62" t="n">
        <v>45129</v>
      </c>
      <c r="H3" s="62" t="n"/>
      <c r="I3" s="62" t="n">
        <v>45148</v>
      </c>
      <c r="J3" s="63">
        <f>IF(ISBLANK(F3:G3),,IF(COUNTA(F3)=0,G3,F3))</f>
        <v/>
      </c>
      <c r="K3" s="64">
        <f>IFERROR(__xludf.DUMMYFUNCTION("if(isblank(J3),,index(googlefinance(A3,K$2,J3-1),2,2))"),130.6)</f>
        <v/>
      </c>
      <c r="L3" s="65">
        <f>IF(ISBLANK(H3:I3),,IF(COUNTA(H3)=0,I3,H3))</f>
        <v/>
      </c>
      <c r="M3" s="66">
        <f>IFERROR(__xludf.DUMMYFUNCTION("if(isblank(L3),, index(googlefinance(A3,M$2,L3-1),2,2))"),110.96)</f>
        <v/>
      </c>
      <c r="N3" s="67">
        <f>IFERROR(__xludf.DUMMYFUNCTION("if(isblank(A3),,googlefinance(A3))"),120.27)</f>
        <v/>
      </c>
      <c r="O3" s="68">
        <f>IF(ISBLANK(J3),,IF(ISBLANK(L3),"Ongoing","Completed"))</f>
        <v/>
      </c>
      <c r="P3" s="68">
        <f>IF(ISBLANK(A3),,IF(AND(COUNTA(F3)=1,T3&gt;0),"Profit",IF(AND(COUNTA(G3)=1,T3&lt;0),"Profit","Loss")))</f>
        <v/>
      </c>
      <c r="Q3" s="53">
        <f>IF(ISBLANK(U3),,IF(P3="Profit",IF(T3&lt;0,U3*-T3,U3*T3),IF(T3&gt;0,U3*-T3,U3*T3)))</f>
        <v/>
      </c>
      <c r="R3" s="68" t="b">
        <v>1</v>
      </c>
      <c r="S3" s="69">
        <f>IF($Q3&gt;0, TRUE, FALSE)</f>
        <v/>
      </c>
      <c r="T3" s="68">
        <f>IF(ISBLANK(J3),,IF(ISBLANK(L3),N3-K3,M3-K3))</f>
        <v/>
      </c>
      <c r="U3" s="55">
        <f>IF(ISBLANK(J3),,ROUNDDOWN(U$1/K3,0))</f>
        <v/>
      </c>
    </row>
    <row r="4" hidden="1" ht="14" customHeight="1">
      <c r="A4" s="59" t="inlineStr">
        <is>
          <t>CAG</t>
        </is>
      </c>
      <c r="B4" s="70" t="n">
        <v>13</v>
      </c>
      <c r="C4" s="55" t="n">
        <v>132.82</v>
      </c>
      <c r="D4" s="55" t="n">
        <v>53.846</v>
      </c>
      <c r="E4" s="55" t="n">
        <v>1.966</v>
      </c>
      <c r="F4" s="62" t="n">
        <v>45131</v>
      </c>
      <c r="G4" s="62" t="n"/>
      <c r="H4" s="62" t="n">
        <v>45138</v>
      </c>
      <c r="I4" s="62" t="n"/>
      <c r="J4" s="63">
        <f>IF(ISBLANK(F4:G4),,IF(COUNTA(F4)=0,G4,F4))</f>
        <v/>
      </c>
      <c r="K4" s="64">
        <f>IFERROR(__xludf.DUMMYFUNCTION("if(isblank(J4),,index(googlefinance(A4,K$2,J4-1),2,2))"),33.26)</f>
        <v/>
      </c>
      <c r="L4" s="65">
        <f>IF(ISBLANK(H4:I4),,IF(COUNTA(H4)=0,I4,H4))</f>
        <v/>
      </c>
      <c r="M4" s="66">
        <f>IFERROR(__xludf.DUMMYFUNCTION("if(isblank(L4),, index(googlefinance(A4,M$2,L4-1),2,2))"),32.81)</f>
        <v/>
      </c>
      <c r="N4" s="67">
        <f>IFERROR(__xludf.DUMMYFUNCTION("if(isblank(A4),,googlefinance(A4))"),29.28)</f>
        <v/>
      </c>
      <c r="O4" s="68">
        <f>IF(ISBLANK(J4),,IF(ISBLANK(L4),"Ongoing","Completed"))</f>
        <v/>
      </c>
      <c r="P4" s="68">
        <f>IF(ISBLANK(A4),,IF(AND(COUNTA(F4)=1,T4&gt;0),"Profit",IF(AND(COUNTA(G4)=1,T4&lt;0),"Profit","Loss")))</f>
        <v/>
      </c>
      <c r="Q4" s="53">
        <f>IF(ISBLANK(U4),,IF(P4="Profit",IF(T4&lt;0,U4*-T4,U4*T4),IF(T4&gt;0,U4*-T4,U4*T4)))</f>
        <v/>
      </c>
      <c r="R4" s="68" t="n"/>
      <c r="S4" s="69">
        <f>IF($Q4&gt;0, TRUE, FALSE)</f>
        <v/>
      </c>
      <c r="T4" s="68">
        <f>IF(ISBLANK(J4),,IF(ISBLANK(L4),N4-K4,M4-K4))</f>
        <v/>
      </c>
      <c r="U4" s="55">
        <f>IF(ISBLANK(J4),,ROUNDDOWN(U$1/K4,0))</f>
        <v/>
      </c>
    </row>
    <row r="5" hidden="1" ht="14" customHeight="1">
      <c r="A5" s="59" t="inlineStr">
        <is>
          <t>CDNS</t>
        </is>
      </c>
      <c r="B5" s="60" t="n">
        <v>10</v>
      </c>
      <c r="C5" s="61" t="n">
        <v>29.92</v>
      </c>
      <c r="D5" s="61" t="n">
        <v>40</v>
      </c>
      <c r="E5" s="61" t="n">
        <v>1.18</v>
      </c>
      <c r="F5" s="62" t="n"/>
      <c r="G5" s="62" t="n">
        <v>45131</v>
      </c>
      <c r="H5" s="62" t="n"/>
      <c r="I5" s="62" t="n">
        <v>45159</v>
      </c>
      <c r="J5" s="63">
        <f>IF(ISBLANK(F5:G5),,IF(COUNTA(F5)=0,G5,F5))</f>
        <v/>
      </c>
      <c r="K5" s="64">
        <f>IFERROR(__xludf.DUMMYFUNCTION("if(isblank(J5),,index(googlefinance(A5,K$2,J5-1),2,2))"),241.27)</f>
        <v/>
      </c>
      <c r="L5" s="65">
        <f>IF(ISBLANK(H5:I5),,IF(COUNTA(H5)=0,I5,H5))</f>
        <v/>
      </c>
      <c r="M5" s="66">
        <f>IFERROR(__xludf.DUMMYFUNCTION("if(isblank(L5),, index(googlefinance(A5,M$2,L5-1),2,2))"),225)</f>
        <v/>
      </c>
      <c r="N5" s="67">
        <f>IFERROR(__xludf.DUMMYFUNCTION("if(isblank(A5),,googlefinance(A5))"),257.28)</f>
        <v/>
      </c>
      <c r="O5" s="68">
        <f>IF(ISBLANK(J5),,IF(ISBLANK(L5),"Ongoing","Completed"))</f>
        <v/>
      </c>
      <c r="P5" s="68">
        <f>IF(ISBLANK(A5),,IF(AND(COUNTA(F5)=1,T5&gt;0),"Profit",IF(AND(COUNTA(G5)=1,T5&lt;0),"Profit","Loss")))</f>
        <v/>
      </c>
      <c r="Q5" s="53">
        <f>IF(ISBLANK(U5),,IF(P5="Profit",IF(T5&lt;0,U5*-T5,U5*T5),IF(T5&gt;0,U5*-T5,U5*T5)))</f>
        <v/>
      </c>
      <c r="R5" s="68" t="n"/>
      <c r="S5" s="69">
        <f>IF($Q5&gt;0, TRUE, FALSE)</f>
        <v/>
      </c>
      <c r="T5" s="68">
        <f>IF(ISBLANK(J5),,IF(ISBLANK(L5),N5-K5,M5-K5))</f>
        <v/>
      </c>
      <c r="U5" s="55">
        <f>IF(ISBLANK(J5),,ROUNDDOWN(U$1/K5,0))</f>
        <v/>
      </c>
    </row>
    <row r="6" hidden="1" ht="14" customHeight="1">
      <c r="A6" s="59" t="inlineStr">
        <is>
          <t>WRB</t>
        </is>
      </c>
      <c r="B6" s="60" t="n">
        <v>11</v>
      </c>
      <c r="C6" s="61" t="n">
        <v>100.773</v>
      </c>
      <c r="D6" s="61" t="n">
        <v>27.273</v>
      </c>
      <c r="E6" s="61" t="n">
        <v>1.665</v>
      </c>
      <c r="F6" s="62" t="n"/>
      <c r="G6" s="62" t="n">
        <v>45131</v>
      </c>
      <c r="H6" s="62" t="n"/>
      <c r="I6" s="62" t="n">
        <v>45134</v>
      </c>
      <c r="J6" s="63">
        <f>IF(ISBLANK(F6:G6),,IF(COUNTA(F6)=0,G6,F6))</f>
        <v/>
      </c>
      <c r="K6" s="64">
        <f>IFERROR(__xludf.DUMMYFUNCTION("if(isblank(J6),,index(googlefinance(A6,K$2,J6-1),2,2))"),61.32)</f>
        <v/>
      </c>
      <c r="L6" s="65">
        <f>IF(ISBLANK(H6:I6),,IF(COUNTA(H6)=0,I6,H6))</f>
        <v/>
      </c>
      <c r="M6" s="66">
        <f>IFERROR(__xludf.DUMMYFUNCTION("if(isblank(L6),, index(googlefinance(A6,M$2,L6-1),2,2))"),61.77)</f>
        <v/>
      </c>
      <c r="N6" s="67">
        <f>IFERROR(__xludf.DUMMYFUNCTION("if(isblank(A6),,googlefinance(A6))"),72.56)</f>
        <v/>
      </c>
      <c r="O6" s="68">
        <f>IF(ISBLANK(J6),,IF(ISBLANK(L6),"Ongoing","Completed"))</f>
        <v/>
      </c>
      <c r="P6" s="68">
        <f>IF(ISBLANK(A6),,IF(AND(COUNTA(F6)=1,T6&gt;0),"Profit",IF(AND(COUNTA(G6)=1,T6&lt;0),"Profit","Loss")))</f>
        <v/>
      </c>
      <c r="Q6" s="53">
        <f>IF(ISBLANK(U6),,IF(P6="Profit",IF(T6&lt;0,U6*-T6,U6*T6),IF(T6&gt;0,U6*-T6,U6*T6)))</f>
        <v/>
      </c>
      <c r="R6" s="68" t="n"/>
      <c r="S6" s="69">
        <f>IF($Q6&gt;0, TRUE, FALSE)</f>
        <v/>
      </c>
      <c r="T6" s="68">
        <f>IF(ISBLANK(J6),,IF(ISBLANK(L6),N6-K6,M6-K6))</f>
        <v/>
      </c>
      <c r="U6" s="55">
        <f>IF(ISBLANK(J6),,ROUNDDOWN(U$1/K6,0))</f>
        <v/>
      </c>
    </row>
    <row r="7" hidden="1" ht="14" customHeight="1">
      <c r="A7" s="59" t="inlineStr">
        <is>
          <t>DVA</t>
        </is>
      </c>
      <c r="B7" s="60" t="n">
        <v>5</v>
      </c>
      <c r="C7" s="61" t="n">
        <v>74.93000000000001</v>
      </c>
      <c r="D7" s="61" t="n">
        <v>40</v>
      </c>
      <c r="E7" s="61" t="n">
        <v>2.047</v>
      </c>
      <c r="F7" s="62" t="n"/>
      <c r="G7" s="62" t="n">
        <v>45132</v>
      </c>
      <c r="H7" s="62" t="n"/>
      <c r="I7" s="62" t="n">
        <v>45139</v>
      </c>
      <c r="J7" s="63">
        <f>IF(ISBLANK(F7:G7),,IF(COUNTA(F7)=0,G7,F7))</f>
        <v/>
      </c>
      <c r="K7" s="64">
        <f>IFERROR(__xludf.DUMMYFUNCTION("if(isblank(J7),,index(googlefinance(A7,K$2,J7-1),2,2))"),102.1)</f>
        <v/>
      </c>
      <c r="L7" s="65">
        <f>IF(ISBLANK(H7:I7),,IF(COUNTA(H7)=0,I7,H7))</f>
        <v/>
      </c>
      <c r="M7" s="66">
        <f>IFERROR(__xludf.DUMMYFUNCTION("if(isblank(L7),, index(googlefinance(A7,M$2,L7-1),2,2))"),101.99)</f>
        <v/>
      </c>
      <c r="N7" s="67">
        <f>IFERROR(__xludf.DUMMYFUNCTION("if(isblank(A7),,googlefinance(A7))"),105.29)</f>
        <v/>
      </c>
      <c r="O7" s="68">
        <f>IF(ISBLANK(J7),,IF(ISBLANK(L7),"Ongoing","Completed"))</f>
        <v/>
      </c>
      <c r="P7" s="68">
        <f>IF(ISBLANK(A7),,IF(AND(COUNTA(F7)=1,T7&gt;0),"Profit",IF(AND(COUNTA(G7)=1,T7&lt;0),"Profit","Loss")))</f>
        <v/>
      </c>
      <c r="Q7" s="53">
        <f>IF(ISBLANK(U7),,IF(P7="Profit",IF(T7&lt;0,U7*-T7,U7*T7),IF(T7&gt;0,U7*-T7,U7*T7)))</f>
        <v/>
      </c>
      <c r="R7" s="68" t="n"/>
      <c r="S7" s="69">
        <f>IF($Q7&gt;0, TRUE, FALSE)</f>
        <v/>
      </c>
      <c r="T7" s="68">
        <f>IF(ISBLANK(J7),,IF(ISBLANK(L7),N7-K7,M7-K7))</f>
        <v/>
      </c>
      <c r="U7" s="55">
        <f>IF(ISBLANK(J7),,ROUNDDOWN(U$1/K7,0))</f>
        <v/>
      </c>
    </row>
    <row r="8" hidden="1" ht="14" customHeight="1">
      <c r="A8" s="59" t="inlineStr">
        <is>
          <t>MTCH</t>
        </is>
      </c>
      <c r="B8" s="60" t="n">
        <v>15</v>
      </c>
      <c r="C8" s="61" t="n">
        <v>177.385</v>
      </c>
      <c r="D8" s="61" t="n">
        <v>33.333</v>
      </c>
      <c r="E8" s="61" t="n">
        <v>1.386</v>
      </c>
      <c r="F8" s="62" t="n"/>
      <c r="G8" s="62" t="n">
        <v>45132</v>
      </c>
      <c r="H8" s="62" t="n"/>
      <c r="I8" s="62" t="n">
        <v>45138</v>
      </c>
      <c r="J8" s="63">
        <f>IF(ISBLANK(F8:G8),,IF(COUNTA(F8)=0,G8,F8))</f>
        <v/>
      </c>
      <c r="K8" s="64">
        <f>IFERROR(__xludf.DUMMYFUNCTION("if(isblank(J8),,index(googlefinance(A8,K$2,J8-1),2,2))"),45.6)</f>
        <v/>
      </c>
      <c r="L8" s="65">
        <f>IF(ISBLANK(H8:I8),,IF(COUNTA(H8)=0,I8,H8))</f>
        <v/>
      </c>
      <c r="M8" s="66">
        <f>IFERROR(__xludf.DUMMYFUNCTION("if(isblank(L8),, index(googlefinance(A8,M$2,L8-1),2,2))"),46.51)</f>
        <v/>
      </c>
      <c r="N8" s="67">
        <f>IFERROR(__xludf.DUMMYFUNCTION("if(isblank(A8),,googlefinance(A8))"),35.86)</f>
        <v/>
      </c>
      <c r="O8" s="68">
        <f>IF(ISBLANK(J8),,IF(ISBLANK(L8),"Ongoing","Completed"))</f>
        <v/>
      </c>
      <c r="P8" s="68">
        <f>IF(ISBLANK(A8),,IF(AND(COUNTA(F8)=1,T8&gt;0),"Profit",IF(AND(COUNTA(G8)=1,T8&lt;0),"Profit","Loss")))</f>
        <v/>
      </c>
      <c r="Q8" s="53">
        <f>IF(ISBLANK(U8),,IF(P8="Profit",IF(T8&lt;0,U8*-T8,U8*T8),IF(T8&gt;0,U8*-T8,U8*T8)))</f>
        <v/>
      </c>
      <c r="R8" s="71" t="b">
        <v>1</v>
      </c>
      <c r="S8" s="69">
        <f>IF($Q8&gt;0, TRUE, FALSE)</f>
        <v/>
      </c>
      <c r="T8" s="68">
        <f>IF(ISBLANK(J8),,IF(ISBLANK(L8),N8-K8,M8-K8))</f>
        <v/>
      </c>
      <c r="U8" s="55">
        <f>IF(ISBLANK(J8),,ROUNDDOWN(U$1/K8,0))</f>
        <v/>
      </c>
    </row>
    <row r="9" hidden="1" ht="14" customHeight="1">
      <c r="A9" s="59" t="inlineStr">
        <is>
          <t>DGX</t>
        </is>
      </c>
      <c r="B9" s="60" t="n">
        <v>15</v>
      </c>
      <c r="C9" s="61" t="n">
        <v>443.86</v>
      </c>
      <c r="D9" s="61" t="n">
        <v>60</v>
      </c>
      <c r="E9" s="61" t="n">
        <v>3.937</v>
      </c>
      <c r="F9" s="62" t="n"/>
      <c r="G9" s="62" t="n">
        <v>45133</v>
      </c>
      <c r="H9" s="62" t="n"/>
      <c r="I9" s="62" t="n">
        <v>45156</v>
      </c>
      <c r="J9" s="63">
        <f>IF(ISBLANK(F9:G9),,IF(COUNTA(F9)=0,G9,F9))</f>
        <v/>
      </c>
      <c r="K9" s="64">
        <f>IFERROR(__xludf.DUMMYFUNCTION("if(isblank(J9),,index(googlefinance(A9,K$2,J9-1),2,2))"),144.92)</f>
        <v/>
      </c>
      <c r="L9" s="65">
        <f>IF(ISBLANK(H9:I9),,IF(COUNTA(H9)=0,I9,H9))</f>
        <v/>
      </c>
      <c r="M9" s="66">
        <f>IFERROR(__xludf.DUMMYFUNCTION("if(isblank(L9),, index(googlefinance(A9,M$2,L9-1),2,2))"),132.24)</f>
        <v/>
      </c>
      <c r="N9" s="67">
        <f>IFERROR(__xludf.DUMMYFUNCTION("if(isblank(A9),,googlefinance(A9))"),139.68)</f>
        <v/>
      </c>
      <c r="O9" s="68">
        <f>IF(ISBLANK(J9),,IF(ISBLANK(L9),"Ongoing","Completed"))</f>
        <v/>
      </c>
      <c r="P9" s="68">
        <f>IF(ISBLANK(A9),,IF(AND(COUNTA(F9)=1,T9&gt;0),"Profit",IF(AND(COUNTA(G9)=1,T9&lt;0),"Profit","Loss")))</f>
        <v/>
      </c>
      <c r="Q9" s="53">
        <f>IF(ISBLANK(U9),,IF(P9="Profit",IF(T9&lt;0,U9*-T9,U9*T9),IF(T9&gt;0,U9*-T9,U9*T9)))</f>
        <v/>
      </c>
      <c r="R9" s="71" t="b">
        <v>1</v>
      </c>
      <c r="S9" s="69">
        <f>IF($Q9&gt;0, TRUE, FALSE)</f>
        <v/>
      </c>
      <c r="T9" s="68">
        <f>IF(ISBLANK(J9),,IF(ISBLANK(L9),N9-K9,M9-K9))</f>
        <v/>
      </c>
      <c r="U9" s="55">
        <f>IF(ISBLANK(J9),,ROUNDDOWN(U$1/K9,0))</f>
        <v/>
      </c>
    </row>
    <row r="10" hidden="1" ht="14" customHeight="1">
      <c r="A10" s="59" t="inlineStr">
        <is>
          <t>D</t>
        </is>
      </c>
      <c r="B10" s="60" t="n">
        <v>7</v>
      </c>
      <c r="C10" s="61" t="n">
        <v>58.15</v>
      </c>
      <c r="D10" s="61" t="n">
        <v>42.857</v>
      </c>
      <c r="E10" s="61" t="n">
        <v>1.871</v>
      </c>
      <c r="F10" s="62" t="n"/>
      <c r="G10" s="62" t="n">
        <v>45134</v>
      </c>
      <c r="H10" s="62" t="n"/>
      <c r="I10" s="62" t="n">
        <v>45163</v>
      </c>
      <c r="J10" s="63">
        <f>IF(ISBLANK(F10:G10),,IF(COUNTA(F10)=0,G10,F10))</f>
        <v/>
      </c>
      <c r="K10" s="64">
        <f>IFERROR(__xludf.DUMMYFUNCTION("if(isblank(J10),,index(googlefinance(A10,K$2,J10-1),2,2))"),54.45)</f>
        <v/>
      </c>
      <c r="L10" s="65">
        <f>IF(ISBLANK(H10:I10),,IF(COUNTA(H10)=0,I10,H10))</f>
        <v/>
      </c>
      <c r="M10" s="66">
        <f>IFERROR(__xludf.DUMMYFUNCTION("if(isblank(L10),, index(googlefinance(A10,M$2,L10-1),2,2))"),48.07)</f>
        <v/>
      </c>
      <c r="N10" s="67">
        <f>IFERROR(__xludf.DUMMYFUNCTION("if(isblank(A10),,googlefinance(A10))"),48.43)</f>
        <v/>
      </c>
      <c r="O10" s="68">
        <f>IF(ISBLANK(J10),,IF(ISBLANK(L10),"Ongoing","Completed"))</f>
        <v/>
      </c>
      <c r="P10" s="68">
        <f>IF(ISBLANK(A10),,IF(AND(COUNTA(F10)=1,T10&gt;0),"Profit",IF(AND(COUNTA(G10)=1,T10&lt;0),"Profit","Loss")))</f>
        <v/>
      </c>
      <c r="Q10" s="53">
        <f>IF(ISBLANK(U10),,IF(P10="Profit",IF(T10&lt;0,U10*-T10,U10*T10),IF(T10&gt;0,U10*-T10,U10*T10)))</f>
        <v/>
      </c>
      <c r="R10" s="68" t="n"/>
      <c r="S10" s="69">
        <f>IF($Q10&gt;0, TRUE, FALSE)</f>
        <v/>
      </c>
      <c r="T10" s="68">
        <f>IF(ISBLANK(J10),,IF(ISBLANK(L10),N10-K10,M10-K10))</f>
        <v/>
      </c>
      <c r="U10" s="55">
        <f>IF(ISBLANK(J10),,ROUNDDOWN(U$1/K10,0))</f>
        <v/>
      </c>
    </row>
    <row r="11" hidden="1" ht="14" customHeight="1">
      <c r="A11" s="59" t="inlineStr">
        <is>
          <t>ES</t>
        </is>
      </c>
      <c r="B11" s="60" t="n">
        <v>10</v>
      </c>
      <c r="C11" s="61" t="n">
        <v>24.11</v>
      </c>
      <c r="D11" s="61" t="n">
        <v>40</v>
      </c>
      <c r="E11" s="61" t="n">
        <v>1.28</v>
      </c>
      <c r="F11" s="62" t="n"/>
      <c r="G11" s="62" t="n">
        <v>45134</v>
      </c>
      <c r="H11" s="62" t="n"/>
      <c r="I11" s="62" t="n">
        <v>45161</v>
      </c>
      <c r="J11" s="63">
        <f>IF(ISBLANK(F11:G11),,IF(COUNTA(F11)=0,G11,F11))</f>
        <v/>
      </c>
      <c r="K11" s="64">
        <f>IFERROR(__xludf.DUMMYFUNCTION("if(isblank(J11),,index(googlefinance(A11,K$2,J11-1),2,2))"),73.62)</f>
        <v/>
      </c>
      <c r="L11" s="65">
        <f>IF(ISBLANK(H11:I11),,IF(COUNTA(H11)=0,I11,H11))</f>
        <v/>
      </c>
      <c r="M11" s="66">
        <f>IFERROR(__xludf.DUMMYFUNCTION("if(isblank(L11),, index(googlefinance(A11,M$2,L11-1),2,2))"),63.87)</f>
        <v/>
      </c>
      <c r="N11" s="67">
        <f>IFERROR(__xludf.DUMMYFUNCTION("if(isblank(A11),,googlefinance(A11))"),64.29)</f>
        <v/>
      </c>
      <c r="O11" s="68">
        <f>IF(ISBLANK(J11),,IF(ISBLANK(L11),"Ongoing","Completed"))</f>
        <v/>
      </c>
      <c r="P11" s="68">
        <f>IF(ISBLANK(A11),,IF(AND(COUNTA(F11)=1,T11&gt;0),"Profit",IF(AND(COUNTA(G11)=1,T11&lt;0),"Profit","Loss")))</f>
        <v/>
      </c>
      <c r="Q11" s="53">
        <f>IF(ISBLANK(U11),,IF(P11="Profit",IF(T11&lt;0,U11*-T11,U11*T11),IF(T11&gt;0,U11*-T11,U11*T11)))</f>
        <v/>
      </c>
      <c r="R11" s="68" t="n"/>
      <c r="S11" s="69">
        <f>IF($Q11&gt;0, TRUE, FALSE)</f>
        <v/>
      </c>
      <c r="T11" s="68">
        <f>IF(ISBLANK(J11),,IF(ISBLANK(L11),N11-K11,M11-K11))</f>
        <v/>
      </c>
      <c r="U11" s="55">
        <f>IF(ISBLANK(J11),,ROUNDDOWN(U$1/K11,0))</f>
        <v/>
      </c>
    </row>
    <row r="12" hidden="1" ht="14" customHeight="1">
      <c r="A12" s="59" t="inlineStr">
        <is>
          <t>EVRG</t>
        </is>
      </c>
      <c r="B12" s="60" t="n">
        <v>11</v>
      </c>
      <c r="C12" s="61" t="n">
        <v>296.91</v>
      </c>
      <c r="D12" s="61" t="n">
        <v>36.364</v>
      </c>
      <c r="E12" s="61" t="n">
        <v>3.592</v>
      </c>
      <c r="F12" s="62" t="n"/>
      <c r="G12" s="62" t="n">
        <v>45134</v>
      </c>
      <c r="H12" s="62" t="n"/>
      <c r="I12" s="62" t="n">
        <v>45160</v>
      </c>
      <c r="J12" s="63">
        <f>IF(ISBLANK(F12:G12),,IF(COUNTA(F12)=0,G12,F12))</f>
        <v/>
      </c>
      <c r="K12" s="64">
        <f>IFERROR(__xludf.DUMMYFUNCTION("if(isblank(J12),,index(googlefinance(A12,K$2,J12-1),2,2))"),61.32)</f>
        <v/>
      </c>
      <c r="L12" s="65">
        <f>IF(ISBLANK(H12:I12),,IF(COUNTA(H12)=0,I12,H12))</f>
        <v/>
      </c>
      <c r="M12" s="66">
        <f>IFERROR(__xludf.DUMMYFUNCTION("if(isblank(L12),, index(googlefinance(A12,M$2,L12-1),2,2))"),56.08)</f>
        <v/>
      </c>
      <c r="N12" s="67">
        <f>IFERROR(__xludf.DUMMYFUNCTION("if(isblank(A12),,googlefinance(A12))"),53.87)</f>
        <v/>
      </c>
      <c r="O12" s="68">
        <f>IF(ISBLANK(J12),,IF(ISBLANK(L12),"Ongoing","Completed"))</f>
        <v/>
      </c>
      <c r="P12" s="68">
        <f>IF(ISBLANK(A12),,IF(AND(COUNTA(F12)=1,T12&gt;0),"Profit",IF(AND(COUNTA(G12)=1,T12&lt;0),"Profit","Loss")))</f>
        <v/>
      </c>
      <c r="Q12" s="53">
        <f>IF(ISBLANK(U12),,IF(P12="Profit",IF(T12&lt;0,U12*-T12,U12*T12),IF(T12&gt;0,U12*-T12,U12*T12)))</f>
        <v/>
      </c>
      <c r="R12" s="71" t="b">
        <v>1</v>
      </c>
      <c r="S12" s="69">
        <f>IF($Q12&gt;0, TRUE, FALSE)</f>
        <v/>
      </c>
      <c r="T12" s="68">
        <f>IF(ISBLANK(J12),,IF(ISBLANK(L12),N12-K12,M12-K12))</f>
        <v/>
      </c>
      <c r="U12" s="55">
        <f>IF(ISBLANK(J12),,ROUNDDOWN(U$1/K12,0))</f>
        <v/>
      </c>
    </row>
    <row r="13" hidden="1" ht="14" customHeight="1">
      <c r="A13" s="59" t="inlineStr">
        <is>
          <t>LHX</t>
        </is>
      </c>
      <c r="B13" s="60" t="n">
        <v>9</v>
      </c>
      <c r="C13" s="61" t="n">
        <v>209.86</v>
      </c>
      <c r="D13" s="61" t="n">
        <v>55.556</v>
      </c>
      <c r="E13" s="61" t="n">
        <v>10.729</v>
      </c>
      <c r="F13" s="62" t="n"/>
      <c r="G13" s="62" t="n">
        <v>45134</v>
      </c>
      <c r="H13" s="62" t="n"/>
      <c r="I13" s="62" t="n">
        <v>45149</v>
      </c>
      <c r="J13" s="63">
        <f>IF(ISBLANK(F13:G13),,IF(COUNTA(F13)=0,G13,F13))</f>
        <v/>
      </c>
      <c r="K13" s="64">
        <f>IFERROR(__xludf.DUMMYFUNCTION("if(isblank(J13),,index(googlefinance(A13,K$2,J13-1),2,2))"),202.56)</f>
        <v/>
      </c>
      <c r="L13" s="65">
        <f>IF(ISBLANK(H13:I13),,IF(COUNTA(H13)=0,I13,H13))</f>
        <v/>
      </c>
      <c r="M13" s="66">
        <f>IFERROR(__xludf.DUMMYFUNCTION("if(isblank(L13),, index(googlefinance(A13,M$2,L13-1),2,2))"),186.41)</f>
        <v/>
      </c>
      <c r="N13" s="67">
        <f>IFERROR(__xludf.DUMMYFUNCTION("if(isblank(A13),,googlefinance(A13))"),209.82)</f>
        <v/>
      </c>
      <c r="O13" s="68">
        <f>IF(ISBLANK(J13),,IF(ISBLANK(L13),"Ongoing","Completed"))</f>
        <v/>
      </c>
      <c r="P13" s="68">
        <f>IF(ISBLANK(A13),,IF(AND(COUNTA(F13)=1,T13&gt;0),"Profit",IF(AND(COUNTA(G13)=1,T13&lt;0),"Profit","Loss")))</f>
        <v/>
      </c>
      <c r="Q13" s="53">
        <f>IF(ISBLANK(U13),,IF(P13="Profit",IF(T13&lt;0,U13*-T13,U13*T13),IF(T13&gt;0,U13*-T13,U13*T13)))</f>
        <v/>
      </c>
      <c r="R13" s="71" t="b">
        <v>1</v>
      </c>
      <c r="S13" s="69">
        <f>IF($Q13&gt;0, TRUE, FALSE)</f>
        <v/>
      </c>
      <c r="T13" s="68">
        <f>IF(ISBLANK(J13),,IF(ISBLANK(L13),N13-K13,M13-K13))</f>
        <v/>
      </c>
      <c r="U13" s="55">
        <f>IF(ISBLANK(J13),,ROUNDDOWN(U$1/K13,0))</f>
        <v/>
      </c>
    </row>
    <row r="14" hidden="1" ht="14" customHeight="1">
      <c r="A14" s="59" t="inlineStr">
        <is>
          <t>OXY</t>
        </is>
      </c>
      <c r="B14" s="60" t="n">
        <v>5</v>
      </c>
      <c r="C14" s="61" t="n">
        <v>635.86</v>
      </c>
      <c r="D14" s="61" t="n">
        <v>60</v>
      </c>
      <c r="E14" s="61" t="n">
        <v>6.215</v>
      </c>
      <c r="F14" s="62" t="n"/>
      <c r="G14" s="62" t="n">
        <v>45134</v>
      </c>
      <c r="H14" s="62" t="n"/>
      <c r="I14" s="62" t="n">
        <v>45138</v>
      </c>
      <c r="J14" s="63">
        <f>IF(ISBLANK(F14:G14),,IF(COUNTA(F14)=0,G14,F14))</f>
        <v/>
      </c>
      <c r="K14" s="64">
        <f>IFERROR(__xludf.DUMMYFUNCTION("if(isblank(J14),,index(googlefinance(A14,K$2,J14-1),2,2))"),62.85)</f>
        <v/>
      </c>
      <c r="L14" s="65">
        <f>IF(ISBLANK(H14:I14),,IF(COUNTA(H14)=0,I14,H14))</f>
        <v/>
      </c>
      <c r="M14" s="66">
        <f>IFERROR(__xludf.DUMMYFUNCTION("if(isblank(L14),, index(googlefinance(A14,M$2,L14-1),2,2))"),63.13)</f>
        <v/>
      </c>
      <c r="N14" s="67">
        <f>IFERROR(__xludf.DUMMYFUNCTION("if(isblank(A14),,googlefinance(A14))"),60.61)</f>
        <v/>
      </c>
      <c r="O14" s="68">
        <f>IF(ISBLANK(J14),,IF(ISBLANK(L14),"Ongoing","Completed"))</f>
        <v/>
      </c>
      <c r="P14" s="68">
        <f>IF(ISBLANK(A14),,IF(AND(COUNTA(F14)=1,T14&gt;0),"Profit",IF(AND(COUNTA(G14)=1,T14&lt;0),"Profit","Loss")))</f>
        <v/>
      </c>
      <c r="Q14" s="53">
        <f>IF(ISBLANK(U14),,IF(P14="Profit",IF(T14&lt;0,U14*-T14,U14*T14),IF(T14&gt;0,U14*-T14,U14*T14)))</f>
        <v/>
      </c>
      <c r="R14" s="71" t="b">
        <v>1</v>
      </c>
      <c r="S14" s="69">
        <f>IF($Q14&gt;0, TRUE, FALSE)</f>
        <v/>
      </c>
      <c r="T14" s="68">
        <f>IF(ISBLANK(J14),,IF(ISBLANK(L14),N14-K14,M14-K14))</f>
        <v/>
      </c>
      <c r="U14" s="55">
        <f>IF(ISBLANK(J14),,ROUNDDOWN(U$1/K14,0))</f>
        <v/>
      </c>
    </row>
    <row r="15" hidden="1" ht="14" customHeight="1">
      <c r="A15" s="59" t="inlineStr">
        <is>
          <t>PEG</t>
        </is>
      </c>
      <c r="B15" s="60" t="n">
        <v>9</v>
      </c>
      <c r="C15" s="61" t="n">
        <v>114.54</v>
      </c>
      <c r="D15" s="61" t="n">
        <v>44.444</v>
      </c>
      <c r="E15" s="61" t="n">
        <v>2.623</v>
      </c>
      <c r="F15" s="62" t="n"/>
      <c r="G15" s="62" t="n">
        <v>45134</v>
      </c>
      <c r="H15" s="62" t="n"/>
      <c r="I15" s="62" t="n">
        <v>45154</v>
      </c>
      <c r="J15" s="63">
        <f>IF(ISBLANK(F15:G15),,IF(COUNTA(F15)=0,G15,F15))</f>
        <v/>
      </c>
      <c r="K15" s="64">
        <f>IFERROR(__xludf.DUMMYFUNCTION("if(isblank(J15),,index(googlefinance(A15,K$2,J15-1),2,2))"),64.92)</f>
        <v/>
      </c>
      <c r="L15" s="65">
        <f>IF(ISBLANK(H15:I15),,IF(COUNTA(H15)=0,I15,H15))</f>
        <v/>
      </c>
      <c r="M15" s="66">
        <f>IFERROR(__xludf.DUMMYFUNCTION("if(isblank(L15),, index(googlefinance(A15,M$2,L15-1),2,2))"),59.43)</f>
        <v/>
      </c>
      <c r="N15" s="67">
        <f>IFERROR(__xludf.DUMMYFUNCTION("if(isblank(A15),,googlefinance(A15))"),61.81)</f>
        <v/>
      </c>
      <c r="O15" s="68">
        <f>IF(ISBLANK(J15),,IF(ISBLANK(L15),"Ongoing","Completed"))</f>
        <v/>
      </c>
      <c r="P15" s="68">
        <f>IF(ISBLANK(A15),,IF(AND(COUNTA(F15)=1,T15&gt;0),"Profit",IF(AND(COUNTA(G15)=1,T15&lt;0),"Profit","Loss")))</f>
        <v/>
      </c>
      <c r="Q15" s="53">
        <f>IF(ISBLANK(U15),,IF(P15="Profit",IF(T15&lt;0,U15*-T15,U15*T15),IF(T15&gt;0,U15*-T15,U15*T15)))</f>
        <v/>
      </c>
      <c r="R15" s="71" t="b">
        <v>1</v>
      </c>
      <c r="S15" s="69">
        <f>IF($Q15&gt;0, TRUE, FALSE)</f>
        <v/>
      </c>
      <c r="T15" s="68">
        <f>IF(ISBLANK(J15),,IF(ISBLANK(L15),N15-K15,M15-K15))</f>
        <v/>
      </c>
      <c r="U15" s="55">
        <f>IF(ISBLANK(J15),,ROUNDDOWN(U$1/K15,0))</f>
        <v/>
      </c>
    </row>
    <row r="16" hidden="1" ht="14" customHeight="1">
      <c r="A16" s="59" t="inlineStr">
        <is>
          <t>ECL</t>
        </is>
      </c>
      <c r="B16" s="60" t="n">
        <v>8</v>
      </c>
      <c r="C16" s="61" t="n">
        <v>75.36</v>
      </c>
      <c r="D16" s="61" t="n">
        <v>50</v>
      </c>
      <c r="E16" s="61" t="n">
        <v>3.193</v>
      </c>
      <c r="F16" s="62" t="n"/>
      <c r="G16" s="62" t="n">
        <v>45135</v>
      </c>
      <c r="H16" s="62" t="n"/>
      <c r="I16" s="62" t="n">
        <v>45146</v>
      </c>
      <c r="J16" s="63">
        <f>IF(ISBLANK(F16:G16),,IF(COUNTA(F16)=0,G16,F16))</f>
        <v/>
      </c>
      <c r="K16" s="64">
        <f>IFERROR(__xludf.DUMMYFUNCTION("if(isblank(J16),,index(googlefinance(A16,K$2,J16-1),2,2))"),183.83)</f>
        <v/>
      </c>
      <c r="L16" s="65">
        <f>IF(ISBLANK(H16:I16),,IF(COUNTA(H16)=0,I16,H16))</f>
        <v/>
      </c>
      <c r="M16" s="66">
        <f>IFERROR(__xludf.DUMMYFUNCTION("if(isblank(L16),, index(googlefinance(A16,M$2,L16-1),2,2))"),184.51)</f>
        <v/>
      </c>
      <c r="N16" s="67">
        <f>IFERROR(__xludf.DUMMYFUNCTION("if(isblank(A16),,googlefinance(A16))"),196.12)</f>
        <v/>
      </c>
      <c r="O16" s="68">
        <f>IF(ISBLANK(J16),,IF(ISBLANK(L16),"Ongoing","Completed"))</f>
        <v/>
      </c>
      <c r="P16" s="68">
        <f>IF(ISBLANK(A16),,IF(AND(COUNTA(F16)=1,T16&gt;0),"Profit",IF(AND(COUNTA(G16)=1,T16&lt;0),"Profit","Loss")))</f>
        <v/>
      </c>
      <c r="Q16" s="53">
        <f>IF(ISBLANK(U16),,IF(P16="Profit",IF(T16&lt;0,U16*-T16,U16*T16),IF(T16&gt;0,U16*-T16,U16*T16)))</f>
        <v/>
      </c>
      <c r="R16" s="68" t="n"/>
      <c r="S16" s="69">
        <f>IF($Q16&gt;0, TRUE, FALSE)</f>
        <v/>
      </c>
      <c r="T16" s="68">
        <f>IF(ISBLANK(J16),,IF(ISBLANK(L16),N16-K16,M16-K16))</f>
        <v/>
      </c>
      <c r="U16" s="55">
        <f>IF(ISBLANK(J16),,ROUNDDOWN(U$1/K16,0))</f>
        <v/>
      </c>
    </row>
    <row r="17" hidden="1" ht="14" customHeight="1">
      <c r="A17" s="59" t="inlineStr">
        <is>
          <t>EXC</t>
        </is>
      </c>
      <c r="B17" s="60" t="n">
        <v>12</v>
      </c>
      <c r="C17" s="61" t="n">
        <v>23.164</v>
      </c>
      <c r="D17" s="61" t="n">
        <v>33.333</v>
      </c>
      <c r="E17" s="61" t="n">
        <v>1.13</v>
      </c>
      <c r="F17" s="62" t="n"/>
      <c r="G17" s="62" t="n">
        <v>45135</v>
      </c>
      <c r="H17" s="62" t="n"/>
      <c r="I17" s="62" t="n">
        <v>45160</v>
      </c>
      <c r="J17" s="63">
        <f>IF(ISBLANK(F17:G17),,IF(COUNTA(F17)=0,G17,F17))</f>
        <v/>
      </c>
      <c r="K17" s="64">
        <f>IFERROR(__xludf.DUMMYFUNCTION("if(isblank(J17),,index(googlefinance(A17,K$2,J17-1),2,2))"),41.96)</f>
        <v/>
      </c>
      <c r="L17" s="65">
        <f>IF(ISBLANK(H17:I17),,IF(COUNTA(H17)=0,I17,H17))</f>
        <v/>
      </c>
      <c r="M17" s="66">
        <f>IFERROR(__xludf.DUMMYFUNCTION("if(isblank(L17),, index(googlefinance(A17,M$2,L17-1),2,2))"),39.74)</f>
        <v/>
      </c>
      <c r="N17" s="67">
        <f>IFERROR(__xludf.DUMMYFUNCTION("if(isblank(A17),,googlefinance(A17))"),36.18)</f>
        <v/>
      </c>
      <c r="O17" s="68">
        <f>IF(ISBLANK(J17),,IF(ISBLANK(L17),"Ongoing","Completed"))</f>
        <v/>
      </c>
      <c r="P17" s="68">
        <f>IF(ISBLANK(A17),,IF(AND(COUNTA(F17)=1,T17&gt;0),"Profit",IF(AND(COUNTA(G17)=1,T17&lt;0),"Profit","Loss")))</f>
        <v/>
      </c>
      <c r="Q17" s="53">
        <f>IF(ISBLANK(U17),,IF(P17="Profit",IF(T17&lt;0,U17*-T17,U17*T17),IF(T17&gt;0,U17*-T17,U17*T17)))</f>
        <v/>
      </c>
      <c r="R17" s="68" t="n"/>
      <c r="S17" s="69">
        <f>IF($Q17&gt;0, TRUE, FALSE)</f>
        <v/>
      </c>
      <c r="T17" s="68">
        <f>IF(ISBLANK(J17),,IF(ISBLANK(L17),N17-K17,M17-K17))</f>
        <v/>
      </c>
      <c r="U17" s="55">
        <f>IF(ISBLANK(J17),,ROUNDDOWN(U$1/K17,0))</f>
        <v/>
      </c>
    </row>
    <row r="18" hidden="1" ht="14" customHeight="1">
      <c r="A18" s="59" t="inlineStr">
        <is>
          <t>FE</t>
        </is>
      </c>
      <c r="B18" s="60" t="n">
        <v>15</v>
      </c>
      <c r="C18" s="61" t="n">
        <v>79.98</v>
      </c>
      <c r="D18" s="61" t="n">
        <v>33.333</v>
      </c>
      <c r="E18" s="61" t="n">
        <v>1.558</v>
      </c>
      <c r="F18" s="62" t="n"/>
      <c r="G18" s="62" t="n">
        <v>45135</v>
      </c>
      <c r="H18" s="62" t="n"/>
      <c r="I18" s="62" t="n">
        <v>45149</v>
      </c>
      <c r="J18" s="63">
        <f>IF(ISBLANK(F18:G18),,IF(COUNTA(F18)=0,G18,F18))</f>
        <v/>
      </c>
      <c r="K18" s="64">
        <f>IFERROR(__xludf.DUMMYFUNCTION("if(isblank(J18),,index(googlefinance(A18,K$2,J18-1),2,2))"),39.24)</f>
        <v/>
      </c>
      <c r="L18" s="65">
        <f>IF(ISBLANK(H18:I18),,IF(COUNTA(H18)=0,I18,H18))</f>
        <v/>
      </c>
      <c r="M18" s="66">
        <f>IFERROR(__xludf.DUMMYFUNCTION("if(isblank(L18),, index(googlefinance(A18,M$2,L18-1),2,2))"),36.3)</f>
        <v/>
      </c>
      <c r="N18" s="67">
        <f>IFERROR(__xludf.DUMMYFUNCTION("if(isblank(A18),,googlefinance(A18))"),37.76)</f>
        <v/>
      </c>
      <c r="O18" s="68">
        <f>IF(ISBLANK(J18),,IF(ISBLANK(L18),"Ongoing","Completed"))</f>
        <v/>
      </c>
      <c r="P18" s="68">
        <f>IF(ISBLANK(A18),,IF(AND(COUNTA(F18)=1,T18&gt;0),"Profit",IF(AND(COUNTA(G18)=1,T18&lt;0),"Profit","Loss")))</f>
        <v/>
      </c>
      <c r="Q18" s="53">
        <f>IF(ISBLANK(U18),,IF(P18="Profit",IF(T18&lt;0,U18*-T18,U18*T18),IF(T18&gt;0,U18*-T18,U18*T18)))</f>
        <v/>
      </c>
      <c r="R18" s="68" t="n"/>
      <c r="S18" s="69">
        <f>IF($Q18&gt;0, TRUE, FALSE)</f>
        <v/>
      </c>
      <c r="T18" s="68">
        <f>IF(ISBLANK(J18),,IF(ISBLANK(L18),N18-K18,M18-K18))</f>
        <v/>
      </c>
      <c r="U18" s="55">
        <f>IF(ISBLANK(J18),,ROUNDDOWN(U$1/K18,0))</f>
        <v/>
      </c>
    </row>
    <row r="19" hidden="1" ht="14" customHeight="1">
      <c r="A19" s="59" t="inlineStr">
        <is>
          <t>GL</t>
        </is>
      </c>
      <c r="B19" s="60" t="n">
        <v>14</v>
      </c>
      <c r="C19" s="61" t="n">
        <v>77.58</v>
      </c>
      <c r="D19" s="61" t="n">
        <v>21.429</v>
      </c>
      <c r="E19" s="61" t="n">
        <v>1.301</v>
      </c>
      <c r="F19" s="62" t="n"/>
      <c r="G19" s="62" t="n">
        <v>45135</v>
      </c>
      <c r="H19" s="62" t="n"/>
      <c r="I19" s="62" t="n">
        <v>45140</v>
      </c>
      <c r="J19" s="63">
        <f>IF(ISBLANK(F19:G19),,IF(COUNTA(F19)=0,G19,F19))</f>
        <v/>
      </c>
      <c r="K19" s="64">
        <f>IFERROR(__xludf.DUMMYFUNCTION("if(isblank(J19),,index(googlefinance(A19,K$2,J19-1),2,2))"),111.13)</f>
        <v/>
      </c>
      <c r="L19" s="65">
        <f>IF(ISBLANK(H19:I19),,IF(COUNTA(H19)=0,I19,H19))</f>
        <v/>
      </c>
      <c r="M19" s="66">
        <f>IFERROR(__xludf.DUMMYFUNCTION("if(isblank(L19),, index(googlefinance(A19,M$2,L19-1),2,2))"),112.57)</f>
        <v/>
      </c>
      <c r="N19" s="67">
        <f>IFERROR(__xludf.DUMMYFUNCTION("if(isblank(A19),,googlefinance(A19))"),121.68)</f>
        <v/>
      </c>
      <c r="O19" s="68">
        <f>IF(ISBLANK(J19),,IF(ISBLANK(L19),"Ongoing","Completed"))</f>
        <v/>
      </c>
      <c r="P19" s="68">
        <f>IF(ISBLANK(A19),,IF(AND(COUNTA(F19)=1,T19&gt;0),"Profit",IF(AND(COUNTA(G19)=1,T19&lt;0),"Profit","Loss")))</f>
        <v/>
      </c>
      <c r="Q19" s="53">
        <f>IF(ISBLANK(U19),,IF(P19="Profit",IF(T19&lt;0,U19*-T19,U19*T19),IF(T19&gt;0,U19*-T19,U19*T19)))</f>
        <v/>
      </c>
      <c r="R19" s="68" t="n"/>
      <c r="S19" s="69">
        <f>IF($Q19&gt;0, TRUE, FALSE)</f>
        <v/>
      </c>
      <c r="T19" s="68">
        <f>IF(ISBLANK(J19),,IF(ISBLANK(L19),N19-K19,M19-K19))</f>
        <v/>
      </c>
      <c r="U19" s="55">
        <f>IF(ISBLANK(J19),,ROUNDDOWN(U$1/K19,0))</f>
        <v/>
      </c>
    </row>
    <row r="20" hidden="1" ht="14" customHeight="1">
      <c r="A20" s="59" t="inlineStr">
        <is>
          <t>MS</t>
        </is>
      </c>
      <c r="B20" s="60" t="n">
        <v>10</v>
      </c>
      <c r="C20" s="61" t="n">
        <v>222.96</v>
      </c>
      <c r="D20" s="61" t="n">
        <v>20</v>
      </c>
      <c r="E20" s="61" t="n">
        <v>2.118</v>
      </c>
      <c r="F20" s="62" t="n"/>
      <c r="G20" s="62" t="n">
        <v>45135</v>
      </c>
      <c r="H20" s="62" t="n"/>
      <c r="I20" s="62" t="n">
        <v>45160</v>
      </c>
      <c r="J20" s="63">
        <f>IF(ISBLANK(F20:G20),,IF(COUNTA(F20)=0,G20,F20))</f>
        <v/>
      </c>
      <c r="K20" s="64">
        <f>IFERROR(__xludf.DUMMYFUNCTION("if(isblank(J20),,index(googlefinance(A20,K$2,J20-1),2,2))"),92.75)</f>
        <v/>
      </c>
      <c r="L20" s="65">
        <f>IF(ISBLANK(H20:I20),,IF(COUNTA(H20)=0,I20,H20))</f>
        <v/>
      </c>
      <c r="M20" s="66">
        <f>IFERROR(__xludf.DUMMYFUNCTION("if(isblank(L20),, index(googlefinance(A20,M$2,L20-1),2,2))"),84.25)</f>
        <v/>
      </c>
      <c r="N20" s="67">
        <f>IFERROR(__xludf.DUMMYFUNCTION("if(isblank(A20),,googlefinance(A20))"),91.91)</f>
        <v/>
      </c>
      <c r="O20" s="68">
        <f>IF(ISBLANK(J20),,IF(ISBLANK(L20),"Ongoing","Completed"))</f>
        <v/>
      </c>
      <c r="P20" s="68">
        <f>IF(ISBLANK(A20),,IF(AND(COUNTA(F20)=1,T20&gt;0),"Profit",IF(AND(COUNTA(G20)=1,T20&lt;0),"Profit","Loss")))</f>
        <v/>
      </c>
      <c r="Q20" s="53">
        <f>IF(ISBLANK(U20),,IF(P20="Profit",IF(T20&lt;0,U20*-T20,U20*T20),IF(T20&gt;0,U20*-T20,U20*T20)))</f>
        <v/>
      </c>
      <c r="R20" s="68" t="n"/>
      <c r="S20" s="69">
        <f>IF($Q20&gt;0, TRUE, FALSE)</f>
        <v/>
      </c>
      <c r="T20" s="68">
        <f>IF(ISBLANK(J20),,IF(ISBLANK(L20),N20-K20,M20-K20))</f>
        <v/>
      </c>
      <c r="U20" s="55">
        <f>IF(ISBLANK(J20),,ROUNDDOWN(U$1/K20,0))</f>
        <v/>
      </c>
    </row>
    <row r="21" hidden="1" ht="14" customHeight="1">
      <c r="A21" s="59" t="inlineStr">
        <is>
          <t>EMN</t>
        </is>
      </c>
      <c r="B21" s="60" t="n">
        <v>13</v>
      </c>
      <c r="C21" s="61" t="n">
        <v>248.03</v>
      </c>
      <c r="D21" s="61" t="n">
        <v>53.846</v>
      </c>
      <c r="E21" s="61" t="n">
        <v>3.281</v>
      </c>
      <c r="F21" s="62" t="n"/>
      <c r="G21" s="62" t="n">
        <v>45138</v>
      </c>
      <c r="H21" s="62" t="n"/>
      <c r="I21" s="62" t="n">
        <v>45148</v>
      </c>
      <c r="J21" s="63">
        <f>IF(ISBLANK(F21:G21),,IF(COUNTA(F21)=0,G21,F21))</f>
        <v/>
      </c>
      <c r="K21" s="64">
        <f>IFERROR(__xludf.DUMMYFUNCTION("if(isblank(J21),,index(googlefinance(A21,K$2,J21-1),2,2))"),85.58)</f>
        <v/>
      </c>
      <c r="L21" s="65">
        <f>IF(ISBLANK(H21:I21),,IF(COUNTA(H21)=0,I21,H21))</f>
        <v/>
      </c>
      <c r="M21" s="66">
        <f>IFERROR(__xludf.DUMMYFUNCTION("if(isblank(L21),, index(googlefinance(A21,M$2,L21-1),2,2))"),84.37)</f>
        <v/>
      </c>
      <c r="N21" s="67">
        <f>IFERROR(__xludf.DUMMYFUNCTION("if(isblank(A21),,googlefinance(A21))"),88.01)</f>
        <v/>
      </c>
      <c r="O21" s="68">
        <f>IF(ISBLANK(J21),,IF(ISBLANK(L21),"Ongoing","Completed"))</f>
        <v/>
      </c>
      <c r="P21" s="68">
        <f>IF(ISBLANK(A21),,IF(AND(COUNTA(F21)=1,T21&gt;0),"Profit",IF(AND(COUNTA(G21)=1,T21&lt;0),"Profit","Loss")))</f>
        <v/>
      </c>
      <c r="Q21" s="53">
        <f>IF(ISBLANK(U21),,IF(P21="Profit",IF(T21&lt;0,U21*-T21,U21*T21),IF(T21&gt;0,U21*-T21,U21*T21)))</f>
        <v/>
      </c>
      <c r="R21" s="71" t="b">
        <v>1</v>
      </c>
      <c r="S21" s="69">
        <f>IF($Q21&gt;0, TRUE, FALSE)</f>
        <v/>
      </c>
      <c r="T21" s="68">
        <f>IF(ISBLANK(J21),,IF(ISBLANK(L21),N21-K21,M21-K21))</f>
        <v/>
      </c>
      <c r="U21" s="55">
        <f>IF(ISBLANK(J21),,ROUNDDOWN(U$1/K21,0))</f>
        <v/>
      </c>
    </row>
    <row r="22" hidden="1" ht="14" customHeight="1">
      <c r="A22" s="59" t="inlineStr">
        <is>
          <t>IFF</t>
        </is>
      </c>
      <c r="B22" s="60" t="n">
        <v>11</v>
      </c>
      <c r="C22" s="61" t="n">
        <v>58.04</v>
      </c>
      <c r="D22" s="61" t="n">
        <v>45.455</v>
      </c>
      <c r="E22" s="61" t="n">
        <v>1.426</v>
      </c>
      <c r="F22" s="62" t="n"/>
      <c r="G22" s="62" t="n">
        <v>45138</v>
      </c>
      <c r="H22" s="62" t="n"/>
      <c r="I22" s="62" t="n">
        <v>45160</v>
      </c>
      <c r="J22" s="63">
        <f>IF(ISBLANK(F22:G22),,IF(COUNTA(F22)=0,G22,F22))</f>
        <v/>
      </c>
      <c r="K22" s="64">
        <f>IFERROR(__xludf.DUMMYFUNCTION("if(isblank(J22),,index(googlefinance(A22,K$2,J22-1),2,2))"),84.61)</f>
        <v/>
      </c>
      <c r="L22" s="65">
        <f>IF(ISBLANK(H22:I22),,IF(COUNTA(H22)=0,I22,H22))</f>
        <v/>
      </c>
      <c r="M22" s="66">
        <f>IFERROR(__xludf.DUMMYFUNCTION("if(isblank(L22),, index(googlefinance(A22,M$2,L22-1),2,2))"),64.57)</f>
        <v/>
      </c>
      <c r="N22" s="67">
        <f>IFERROR(__xludf.DUMMYFUNCTION("if(isblank(A22),,googlefinance(A22))"),79.99)</f>
        <v/>
      </c>
      <c r="O22" s="68">
        <f>IF(ISBLANK(J22),,IF(ISBLANK(L22),"Ongoing","Completed"))</f>
        <v/>
      </c>
      <c r="P22" s="68">
        <f>IF(ISBLANK(A22),,IF(AND(COUNTA(F22)=1,T22&gt;0),"Profit",IF(AND(COUNTA(G22)=1,T22&lt;0),"Profit","Loss")))</f>
        <v/>
      </c>
      <c r="Q22" s="53">
        <f>IF(ISBLANK(U22),,IF(P22="Profit",IF(T22&lt;0,U22*-T22,U22*T22),IF(T22&gt;0,U22*-T22,U22*T22)))</f>
        <v/>
      </c>
      <c r="R22" s="68" t="n"/>
      <c r="S22" s="69">
        <f>IF($Q22&gt;0, TRUE, FALSE)</f>
        <v/>
      </c>
      <c r="T22" s="68">
        <f>IF(ISBLANK(J22),,IF(ISBLANK(L22),N22-K22,M22-K22))</f>
        <v/>
      </c>
      <c r="U22" s="55">
        <f>IF(ISBLANK(J22),,ROUNDDOWN(U$1/K22,0))</f>
        <v/>
      </c>
    </row>
    <row r="23" hidden="1" ht="14" customHeight="1">
      <c r="A23" s="59" t="inlineStr">
        <is>
          <t>JKHY</t>
        </is>
      </c>
      <c r="B23" s="60" t="n">
        <v>7</v>
      </c>
      <c r="C23" s="61" t="n">
        <v>32.79</v>
      </c>
      <c r="D23" s="61" t="n">
        <v>28.571</v>
      </c>
      <c r="E23" s="61" t="n">
        <v>1.339</v>
      </c>
      <c r="F23" s="62" t="n"/>
      <c r="G23" s="62" t="n">
        <v>45138</v>
      </c>
      <c r="H23" s="62" t="n"/>
      <c r="I23" s="62" t="n">
        <v>45139</v>
      </c>
      <c r="J23" s="63">
        <f>IF(ISBLANK(F23:G23),,IF(COUNTA(F23)=0,G23,F23))</f>
        <v/>
      </c>
      <c r="K23" s="64">
        <f>IFERROR(__xludf.DUMMYFUNCTION("if(isblank(J23),,index(googlefinance(A23,K$2,J23-1),2,2))"),167.57)</f>
        <v/>
      </c>
      <c r="L23" s="65">
        <f>IF(ISBLANK(H23:I23),,IF(COUNTA(H23)=0,I23,H23))</f>
        <v/>
      </c>
      <c r="M23" s="66">
        <f>IFERROR(__xludf.DUMMYFUNCTION("if(isblank(L23),, index(googlefinance(A23,M$2,L23-1),2,2))"),167.57)</f>
        <v/>
      </c>
      <c r="N23" s="67">
        <f>IFERROR(__xludf.DUMMYFUNCTION("if(isblank(A23),,googlefinance(A23))"),163.43)</f>
        <v/>
      </c>
      <c r="O23" s="68">
        <f>IF(ISBLANK(J23),,IF(ISBLANK(L23),"Ongoing","Completed"))</f>
        <v/>
      </c>
      <c r="P23" s="68">
        <f>IF(ISBLANK(A23),,IF(AND(COUNTA(F23)=1,T23&gt;0),"Profit",IF(AND(COUNTA(G23)=1,T23&lt;0),"Profit","Loss")))</f>
        <v/>
      </c>
      <c r="Q23" s="53">
        <f>IF(ISBLANK(U23),,IF(P23="Profit",IF(T23&lt;0,U23*-T23,U23*T23),IF(T23&gt;0,U23*-T23,U23*T23)))</f>
        <v/>
      </c>
      <c r="R23" s="68" t="n"/>
      <c r="S23" s="69">
        <f>IF($Q23&gt;0, TRUE, FALSE)</f>
        <v/>
      </c>
      <c r="T23" s="68">
        <f>IF(ISBLANK(J23),,IF(ISBLANK(L23),N23-K23,M23-K23))</f>
        <v/>
      </c>
      <c r="U23" s="55">
        <f>IF(ISBLANK(J23),,ROUNDDOWN(U$1/K23,0))</f>
        <v/>
      </c>
    </row>
    <row r="24" hidden="1" ht="14" customHeight="1">
      <c r="A24" s="59" t="inlineStr">
        <is>
          <t>JNJ</t>
        </is>
      </c>
      <c r="B24" s="60" t="n">
        <v>8</v>
      </c>
      <c r="C24" s="61" t="n">
        <v>94.09999999999999</v>
      </c>
      <c r="D24" s="61" t="n">
        <v>62.5</v>
      </c>
      <c r="E24" s="61" t="n">
        <v>3.937</v>
      </c>
      <c r="F24" s="62" t="n"/>
      <c r="G24" s="62" t="n">
        <v>45138</v>
      </c>
      <c r="H24" s="62" t="n"/>
      <c r="I24" s="62" t="n">
        <v>45145</v>
      </c>
      <c r="J24" s="63">
        <f>IF(ISBLANK(F24:G24),,IF(COUNTA(F24)=0,G24,F24))</f>
        <v/>
      </c>
      <c r="K24" s="64">
        <f>IFERROR(__xludf.DUMMYFUNCTION("if(isblank(J24),,index(googlefinance(A24,K$2,J24-1),2,2))"),167.53)</f>
        <v/>
      </c>
      <c r="L24" s="65">
        <f>IF(ISBLANK(H24:I24),,IF(COUNTA(H24)=0,I24,H24))</f>
        <v/>
      </c>
      <c r="M24" s="66">
        <f>IFERROR(__xludf.DUMMYFUNCTION("if(isblank(L24),, index(googlefinance(A24,M$2,L24-1),2,2))"),173.1)</f>
        <v/>
      </c>
      <c r="N24" s="67">
        <f>IFERROR(__xludf.DUMMYFUNCTION("if(isblank(A24),,googlefinance(A24))"),160.97)</f>
        <v/>
      </c>
      <c r="O24" s="68">
        <f>IF(ISBLANK(J24),,IF(ISBLANK(L24),"Ongoing","Completed"))</f>
        <v/>
      </c>
      <c r="P24" s="68">
        <f>IF(ISBLANK(A24),,IF(AND(COUNTA(F24)=1,T24&gt;0),"Profit",IF(AND(COUNTA(G24)=1,T24&lt;0),"Profit","Loss")))</f>
        <v/>
      </c>
      <c r="Q24" s="53">
        <f>IF(ISBLANK(U24),,IF(P24="Profit",IF(T24&lt;0,U24*-T24,U24*T24),IF(T24&gt;0,U24*-T24,U24*T24)))</f>
        <v/>
      </c>
      <c r="R24" s="68" t="n"/>
      <c r="S24" s="69">
        <f>IF($Q24&gt;0, TRUE, FALSE)</f>
        <v/>
      </c>
      <c r="T24" s="68">
        <f>IF(ISBLANK(J24),,IF(ISBLANK(L24),N24-K24,M24-K24))</f>
        <v/>
      </c>
      <c r="U24" s="55">
        <f>IF(ISBLANK(J24),,ROUNDDOWN(U$1/K24,0))</f>
        <v/>
      </c>
    </row>
    <row r="25" hidden="1" ht="14" customHeight="1">
      <c r="A25" s="59" t="inlineStr">
        <is>
          <t>PEP</t>
        </is>
      </c>
      <c r="B25" s="60" t="n">
        <v>8</v>
      </c>
      <c r="C25" s="61" t="n">
        <v>95.79000000000001</v>
      </c>
      <c r="D25" s="61" t="n">
        <v>50</v>
      </c>
      <c r="E25" s="61" t="n">
        <v>2.758</v>
      </c>
      <c r="F25" s="62" t="n"/>
      <c r="G25" s="62" t="n">
        <v>45138</v>
      </c>
      <c r="H25" s="62" t="n"/>
      <c r="I25" s="62" t="n">
        <v>45161</v>
      </c>
      <c r="J25" s="63">
        <f>IF(ISBLANK(F25:G25),,IF(COUNTA(F25)=0,G25,F25))</f>
        <v/>
      </c>
      <c r="K25" s="64">
        <f>IFERROR(__xludf.DUMMYFUNCTION("if(isblank(J25),,index(googlefinance(A25,K$2,J25-1),2,2))"),187.46)</f>
        <v/>
      </c>
      <c r="L25" s="65">
        <f>IF(ISBLANK(H25:I25),,IF(COUNTA(H25)=0,I25,H25))</f>
        <v/>
      </c>
      <c r="M25" s="66">
        <f>IFERROR(__xludf.DUMMYFUNCTION("if(isblank(L25),, index(googlefinance(A25,M$2,L25-1),2,2))"),175.7)</f>
        <v/>
      </c>
      <c r="N25" s="67">
        <f>IFERROR(__xludf.DUMMYFUNCTION("if(isblank(A25),,googlefinance(A25))"),172.95)</f>
        <v/>
      </c>
      <c r="O25" s="68">
        <f>IF(ISBLANK(J25),,IF(ISBLANK(L25),"Ongoing","Completed"))</f>
        <v/>
      </c>
      <c r="P25" s="68">
        <f>IF(ISBLANK(A25),,IF(AND(COUNTA(F25)=1,T25&gt;0),"Profit",IF(AND(COUNTA(G25)=1,T25&lt;0),"Profit","Loss")))</f>
        <v/>
      </c>
      <c r="Q25" s="53">
        <f>IF(ISBLANK(U25),,IF(P25="Profit",IF(T25&lt;0,U25*-T25,U25*T25),IF(T25&gt;0,U25*-T25,U25*T25)))</f>
        <v/>
      </c>
      <c r="R25" s="71" t="b">
        <v>1</v>
      </c>
      <c r="S25" s="69">
        <f>IF($Q25&gt;0, TRUE, FALSE)</f>
        <v/>
      </c>
      <c r="T25" s="68">
        <f>IF(ISBLANK(J25),,IF(ISBLANK(L25),N25-K25,M25-K25))</f>
        <v/>
      </c>
      <c r="U25" s="55">
        <f>IF(ISBLANK(J25),,ROUNDDOWN(U$1/K25,0))</f>
        <v/>
      </c>
    </row>
    <row r="26" hidden="1" ht="14" customHeight="1">
      <c r="A26" s="59" t="inlineStr">
        <is>
          <t>WAT</t>
        </is>
      </c>
      <c r="B26" s="60" t="n">
        <v>12</v>
      </c>
      <c r="C26" s="61" t="n">
        <v>411.01</v>
      </c>
      <c r="D26" s="61" t="n">
        <v>50</v>
      </c>
      <c r="E26" s="61" t="n">
        <v>3.885</v>
      </c>
      <c r="F26" s="62" t="n"/>
      <c r="G26" s="62" t="n">
        <v>45138</v>
      </c>
      <c r="H26" s="62" t="n"/>
      <c r="I26" s="62" t="n">
        <v>45140</v>
      </c>
      <c r="J26" s="63">
        <f>IF(ISBLANK(F26:G26),,IF(COUNTA(F26)=0,G26,F26))</f>
        <v/>
      </c>
      <c r="K26" s="64">
        <f>IFERROR(__xludf.DUMMYFUNCTION("if(isblank(J26),,index(googlefinance(A26,K$2,J26-1),2,2))"),276.21)</f>
        <v/>
      </c>
      <c r="L26" s="65">
        <f>IF(ISBLANK(H26:I26),,IF(COUNTA(H26)=0,I26,H26))</f>
        <v/>
      </c>
      <c r="M26" s="66">
        <f>IFERROR(__xludf.DUMMYFUNCTION("if(isblank(L26),, index(googlefinance(A26,M$2,L26-1),2,2))"),274.4)</f>
        <v/>
      </c>
      <c r="N26" s="67">
        <f>IFERROR(__xludf.DUMMYFUNCTION("if(isblank(A26),,googlefinance(A26))"),305.88)</f>
        <v/>
      </c>
      <c r="O26" s="68">
        <f>IF(ISBLANK(J26),,IF(ISBLANK(L26),"Ongoing","Completed"))</f>
        <v/>
      </c>
      <c r="P26" s="68">
        <f>IF(ISBLANK(A26),,IF(AND(COUNTA(F26)=1,T26&gt;0),"Profit",IF(AND(COUNTA(G26)=1,T26&lt;0),"Profit","Loss")))</f>
        <v/>
      </c>
      <c r="Q26" s="53">
        <f>IF(ISBLANK(U26),,IF(P26="Profit",IF(T26&lt;0,U26*-T26,U26*T26),IF(T26&gt;0,U26*-T26,U26*T26)))</f>
        <v/>
      </c>
      <c r="R26" s="68" t="n"/>
      <c r="S26" s="69">
        <f>IF($Q26&gt;0, TRUE, FALSE)</f>
        <v/>
      </c>
      <c r="T26" s="68">
        <f>IF(ISBLANK(J26),,IF(ISBLANK(L26),N26-K26,M26-K26))</f>
        <v/>
      </c>
      <c r="U26" s="55">
        <f>IF(ISBLANK(J26),,ROUNDDOWN(U$1/K26,0))</f>
        <v/>
      </c>
    </row>
    <row r="27" hidden="1" ht="14" customHeight="1">
      <c r="A27" s="72" t="inlineStr">
        <is>
          <t>DIS</t>
        </is>
      </c>
      <c r="B27" s="70" t="n">
        <v>10</v>
      </c>
      <c r="C27" s="55" t="n">
        <v>120.55</v>
      </c>
      <c r="D27" s="55" t="n">
        <v>30</v>
      </c>
      <c r="E27" s="55" t="n">
        <v>1.66</v>
      </c>
      <c r="F27" s="62" t="n">
        <v>45139</v>
      </c>
      <c r="G27" s="62" t="n"/>
      <c r="H27" s="62" t="n">
        <v>45140</v>
      </c>
      <c r="I27" s="62" t="n"/>
      <c r="J27" s="63">
        <f>IF(ISBLANK(F27:G27),,IF(COUNTA(F27)=0,G27,F27))</f>
        <v/>
      </c>
      <c r="K27" s="64">
        <f>IFERROR(__xludf.DUMMYFUNCTION("if(isblank(J27),,index(googlefinance(A27,K$2,J27-1),2,2))"),88.89)</f>
        <v/>
      </c>
      <c r="L27" s="65">
        <f>IF(ISBLANK(H27:I27),,IF(COUNTA(H27)=0,I27,H27))</f>
        <v/>
      </c>
      <c r="M27" s="66">
        <f>IFERROR(__xludf.DUMMYFUNCTION("if(isblank(L27),, index(googlefinance(A27,M$2,L27-1),2,2))"),89.03)</f>
        <v/>
      </c>
      <c r="N27" s="67">
        <f>IFERROR(__xludf.DUMMYFUNCTION("if(isblank(A27),,googlefinance(A27))"),91.65)</f>
        <v/>
      </c>
      <c r="O27" s="68">
        <f>IF(ISBLANK(J27),,IF(ISBLANK(L27),"Ongoing","Completed"))</f>
        <v/>
      </c>
      <c r="P27" s="68">
        <f>IF(ISBLANK(A27),,IF(AND(COUNTA(F27)=1,T27&gt;0),"Profit",IF(AND(COUNTA(G27)=1,T27&lt;0),"Profit","Loss")))</f>
        <v/>
      </c>
      <c r="Q27" s="53">
        <f>IF(ISBLANK(U27),,IF(P27="Profit",IF(T27&lt;0,U27*-T27,U27*T27),IF(T27&gt;0,U27*-T27,U27*T27)))</f>
        <v/>
      </c>
      <c r="R27" s="71" t="b">
        <v>1</v>
      </c>
      <c r="S27" s="69">
        <f>IF($Q27&gt;0, TRUE, FALSE)</f>
        <v/>
      </c>
      <c r="T27" s="68">
        <f>IF(ISBLANK(J27),,IF(ISBLANK(L27),N27-K27,M27-K27))</f>
        <v/>
      </c>
      <c r="U27" s="55">
        <f>IF(ISBLANK(J27),,ROUNDDOWN(U$1/K27,0))</f>
        <v/>
      </c>
    </row>
    <row r="28" hidden="1" ht="14" customHeight="1">
      <c r="A28" s="72" t="inlineStr">
        <is>
          <t>AMGN</t>
        </is>
      </c>
      <c r="B28" s="70" t="n">
        <v>6</v>
      </c>
      <c r="C28" s="55" t="n">
        <v>163.28</v>
      </c>
      <c r="D28" s="55" t="n">
        <v>66.667</v>
      </c>
      <c r="E28" s="55" t="n">
        <v>3.738</v>
      </c>
      <c r="F28" s="62" t="n"/>
      <c r="G28" s="62" t="n">
        <v>45140</v>
      </c>
      <c r="H28" s="62" t="n"/>
      <c r="I28" s="62" t="n">
        <v>45142</v>
      </c>
      <c r="J28" s="63">
        <f>IF(ISBLANK(F28:G28),,IF(COUNTA(F28)=0,G28,F28))</f>
        <v/>
      </c>
      <c r="K28" s="64">
        <f>IFERROR(__xludf.DUMMYFUNCTION("if(isblank(J28),,index(googlefinance(A28,K$2,J28-1),2,2))"),232.12)</f>
        <v/>
      </c>
      <c r="L28" s="65">
        <f>IF(ISBLANK(H28:I28),,IF(COUNTA(H28)=0,I28,H28))</f>
        <v/>
      </c>
      <c r="M28" s="66">
        <f>IFERROR(__xludf.DUMMYFUNCTION("if(isblank(L28),, index(googlefinance(A28,M$2,L28-1),2,2))"),230.7)</f>
        <v/>
      </c>
      <c r="N28" s="67">
        <f>IFERROR(__xludf.DUMMYFUNCTION("if(isblank(A28),"""",googlefinance(A28))"),300.69)</f>
        <v/>
      </c>
      <c r="O28" s="68">
        <f>IF(ISBLANK(J28),"",IF(ISBLANK(L28),"Ongoing","Completed"))</f>
        <v/>
      </c>
      <c r="P28" s="68">
        <f>IF(ISBLANK(A28),,IF(AND(COUNTA(F28)=1,T28&gt;0),"Profit",IF(AND(COUNTA(G28)=1,T28&lt;0),"Profit","Loss")))</f>
        <v/>
      </c>
      <c r="Q28" s="53">
        <f>IF(ISBLANK(U28),,IF(P28="Profit",IF(T28&lt;0,U28*-T28,U28*T28),IF(T28&gt;0,U28*-T28,U28*T28)))</f>
        <v/>
      </c>
      <c r="R28" s="68" t="n"/>
      <c r="S28" s="69">
        <f>IF($Q28&gt;0, TRUE, FALSE)</f>
        <v/>
      </c>
      <c r="T28" s="68">
        <f>IF(ISBLANK(J28),"",IF(ISBLANK(L28),N28-K28,M28-K28))</f>
        <v/>
      </c>
      <c r="U28" s="55">
        <f>IF(ISBLANK(J28),,ROUNDDOWN(U$1/K28,0))</f>
        <v/>
      </c>
    </row>
    <row r="29" hidden="1" ht="14" customHeight="1">
      <c r="A29" s="72" t="inlineStr">
        <is>
          <t>BDX</t>
        </is>
      </c>
      <c r="B29" s="70" t="n">
        <v>11</v>
      </c>
      <c r="C29" s="55" t="n">
        <v>240.087</v>
      </c>
      <c r="D29" s="55" t="n">
        <v>45.455</v>
      </c>
      <c r="E29" s="55" t="n">
        <v>3.45</v>
      </c>
      <c r="F29" s="62" t="n"/>
      <c r="G29" s="62" t="n">
        <v>45140</v>
      </c>
      <c r="H29" s="62" t="n"/>
      <c r="I29" s="62" t="n">
        <v>45146</v>
      </c>
      <c r="J29" s="63">
        <f>IF(ISBLANK(F29:G29),,IF(COUNTA(F29)=0,G29,F29))</f>
        <v/>
      </c>
      <c r="K29" s="64">
        <f>IFERROR(__xludf.DUMMYFUNCTION("if(isblank(J29),,index(googlefinance(A29,K$2,J29-1),2,2))"),278.54)</f>
        <v/>
      </c>
      <c r="L29" s="65">
        <f>IF(ISBLANK(H29:I29),,IF(COUNTA(H29)=0,I29,H29))</f>
        <v/>
      </c>
      <c r="M29" s="66">
        <f>IFERROR(__xludf.DUMMYFUNCTION("if(isblank(L29),, index(googlefinance(A29,M$2,L29-1),2,2))"),275.22)</f>
        <v/>
      </c>
      <c r="N29" s="67">
        <f>IFERROR(__xludf.DUMMYFUNCTION("if(isblank(A29),"""",googlefinance(A29))"),240.47)</f>
        <v/>
      </c>
      <c r="O29" s="68">
        <f>IF(ISBLANK(J29),"",IF(ISBLANK(L29),"Ongoing","Completed"))</f>
        <v/>
      </c>
      <c r="P29" s="68">
        <f>IF(ISBLANK(A29),,IF(AND(COUNTA(F29)=1,T29&gt;0),"Profit",IF(AND(COUNTA(G29)=1,T29&lt;0),"Profit","Loss")))</f>
        <v/>
      </c>
      <c r="Q29" s="53">
        <f>IF(ISBLANK(U29),,IF(P29="Profit",IF(T29&lt;0,U29*-T29,U29*T29),IF(T29&gt;0,U29*-T29,U29*T29)))</f>
        <v/>
      </c>
      <c r="R29" s="68" t="n"/>
      <c r="S29" s="69">
        <f>IF($Q29&gt;0, TRUE, FALSE)</f>
        <v/>
      </c>
      <c r="T29" s="68">
        <f>IF(ISBLANK(J29),"",IF(ISBLANK(L29),N29-K29,M29-K29))</f>
        <v/>
      </c>
      <c r="U29" s="55">
        <f>IF(ISBLANK(J29),,ROUNDDOWN(U$1/K29,0))</f>
        <v/>
      </c>
    </row>
    <row r="30" hidden="1" ht="14" customHeight="1">
      <c r="A30" s="72" t="inlineStr">
        <is>
          <t>CFG</t>
        </is>
      </c>
      <c r="B30" s="70" t="n">
        <v>8</v>
      </c>
      <c r="C30" s="55" t="n">
        <v>200.98</v>
      </c>
      <c r="D30" s="55" t="n">
        <v>62.5</v>
      </c>
      <c r="E30" s="55" t="n">
        <v>3.462</v>
      </c>
      <c r="F30" s="62" t="n"/>
      <c r="G30" s="62" t="n">
        <v>45140</v>
      </c>
      <c r="H30" s="62" t="n"/>
      <c r="I30" s="62" t="n">
        <v>45167</v>
      </c>
      <c r="J30" s="63">
        <f>IF(ISBLANK(F30:G30),,IF(COUNTA(F30)=0,G30,F30))</f>
        <v/>
      </c>
      <c r="K30" s="64">
        <f>IFERROR(__xludf.DUMMYFUNCTION("if(isblank(J30),,index(googlefinance(A30,K$2,J30-1),2,2))"),31.1)</f>
        <v/>
      </c>
      <c r="L30" s="65">
        <f>IF(ISBLANK(H30:I30),,IF(COUNTA(H30)=0,I30,H30))</f>
        <v/>
      </c>
      <c r="M30" s="66">
        <f>IFERROR(__xludf.DUMMYFUNCTION("if(isblank(L30),, index(googlefinance(A30,M$2,L30-1),2,2))"),27.37)</f>
        <v/>
      </c>
      <c r="N30" s="67">
        <f>IFERROR(__xludf.DUMMYFUNCTION("if(isblank(A30),"""",googlefinance(A30))"),32.14)</f>
        <v/>
      </c>
      <c r="O30" s="68">
        <f>IF(ISBLANK(J30),"",IF(ISBLANK(L30),"Ongoing","Completed"))</f>
        <v/>
      </c>
      <c r="P30" s="68">
        <f>IF(ISBLANK(A30),,IF(AND(COUNTA(F30)=1,T30&gt;0),"Profit",IF(AND(COUNTA(G30)=1,T30&lt;0),"Profit","Loss")))</f>
        <v/>
      </c>
      <c r="Q30" s="53">
        <f>IF(ISBLANK(U30),,IF(P30="Profit",IF(T30&lt;0,U30*-T30,U30*T30),IF(T30&gt;0,U30*-T30,U30*T30)))</f>
        <v/>
      </c>
      <c r="R30" s="68" t="n"/>
      <c r="S30" s="69">
        <f>IF($Q30&gt;0, TRUE, FALSE)</f>
        <v/>
      </c>
      <c r="T30" s="68">
        <f>IF(ISBLANK(J30),"",IF(ISBLANK(L30),N30-K30,M30-K30))</f>
        <v/>
      </c>
      <c r="U30" s="55">
        <f>IF(ISBLANK(J30),,ROUNDDOWN(U$1/K30,0))</f>
        <v/>
      </c>
    </row>
    <row r="31" hidden="1" ht="14" customHeight="1">
      <c r="A31" s="72" t="inlineStr">
        <is>
          <t>DVN</t>
        </is>
      </c>
      <c r="B31" s="70" t="n">
        <v>7</v>
      </c>
      <c r="C31" s="55" t="n">
        <v>257.38</v>
      </c>
      <c r="D31" s="55" t="n">
        <v>28.571</v>
      </c>
      <c r="E31" s="55" t="n">
        <v>3.065</v>
      </c>
      <c r="F31" s="62" t="n"/>
      <c r="G31" s="62" t="n">
        <v>45140</v>
      </c>
      <c r="H31" s="62" t="n"/>
      <c r="I31" s="62" t="n">
        <v>45156</v>
      </c>
      <c r="J31" s="63">
        <f>IF(ISBLANK(F31:G31),,IF(COUNTA(F31)=0,G31,F31))</f>
        <v/>
      </c>
      <c r="K31" s="64">
        <f>IFERROR(__xludf.DUMMYFUNCTION("if(isblank(J31),,index(googlefinance(A31,K$2,J31-1),2,2))"),53.68)</f>
        <v/>
      </c>
      <c r="L31" s="65">
        <f>IF(ISBLANK(H31:I31),,IF(COUNTA(H31)=0,I31,H31))</f>
        <v/>
      </c>
      <c r="M31" s="66">
        <f>IFERROR(__xludf.DUMMYFUNCTION("if(isblank(L31),, index(googlefinance(A31,M$2,L31-1),2,2))"),49.06)</f>
        <v/>
      </c>
      <c r="N31" s="67">
        <f>IFERROR(__xludf.DUMMYFUNCTION("if(isblank(A31),"""",googlefinance(A31))"),46.81)</f>
        <v/>
      </c>
      <c r="O31" s="68">
        <f>IF(ISBLANK(J31),"",IF(ISBLANK(L31),"Ongoing","Completed"))</f>
        <v/>
      </c>
      <c r="P31" s="68">
        <f>IF(ISBLANK(A31),,IF(AND(COUNTA(F31)=1,T31&gt;0),"Profit",IF(AND(COUNTA(G31)=1,T31&lt;0),"Profit","Loss")))</f>
        <v/>
      </c>
      <c r="Q31" s="53">
        <f>IF(ISBLANK(U31),,IF(P31="Profit",IF(T31&lt;0,U31*-T31,U31*T31),IF(T31&gt;0,U31*-T31,U31*T31)))</f>
        <v/>
      </c>
      <c r="R31" s="68" t="n"/>
      <c r="S31" s="69">
        <f>IF($Q31&gt;0, TRUE, FALSE)</f>
        <v/>
      </c>
      <c r="T31" s="68">
        <f>IF(ISBLANK(J31),"",IF(ISBLANK(L31),N31-K31,M31-K31))</f>
        <v/>
      </c>
      <c r="U31" s="55">
        <f>IF(ISBLANK(J31),,ROUNDDOWN(U$1/K31,0))</f>
        <v/>
      </c>
    </row>
    <row r="32" hidden="1" ht="14" customHeight="1">
      <c r="A32" s="72" t="inlineStr">
        <is>
          <t>PAYC</t>
        </is>
      </c>
      <c r="B32" s="70" t="n">
        <v>12</v>
      </c>
      <c r="C32" s="55" t="n">
        <v>131.94</v>
      </c>
      <c r="D32" s="55" t="n">
        <v>33.333</v>
      </c>
      <c r="E32" s="55" t="n">
        <v>1.553</v>
      </c>
      <c r="F32" s="62" t="n"/>
      <c r="G32" s="62" t="n">
        <v>45140</v>
      </c>
      <c r="H32" s="62" t="n"/>
      <c r="I32" s="62" t="n">
        <v>45160</v>
      </c>
      <c r="J32" s="63">
        <f>IF(ISBLANK(F32:G32),,IF(COUNTA(F32)=0,G32,F32))</f>
        <v/>
      </c>
      <c r="K32" s="64">
        <f>IFERROR(__xludf.DUMMYFUNCTION("if(isblank(J32),,index(googlefinance(A32,K$2,J32-1),2,2))"),370.78)</f>
        <v/>
      </c>
      <c r="L32" s="65">
        <f>IF(ISBLANK(H32:I32),,IF(COUNTA(H32)=0,I32,H32))</f>
        <v/>
      </c>
      <c r="M32" s="66">
        <f>IFERROR(__xludf.DUMMYFUNCTION("if(isblank(L32),, index(googlefinance(A32,M$2,L32-1),2,2))"),283.65)</f>
        <v/>
      </c>
      <c r="N32" s="67">
        <f>IFERROR(__xludf.DUMMYFUNCTION("if(isblank(A32),"""",googlefinance(A32))"),194.45)</f>
        <v/>
      </c>
      <c r="O32" s="68">
        <f>IF(ISBLANK(J32),"",IF(ISBLANK(L32),"Ongoing","Completed"))</f>
        <v/>
      </c>
      <c r="P32" s="68">
        <f>IF(ISBLANK(A32),,IF(AND(COUNTA(F32)=1,T32&gt;0),"Profit",IF(AND(COUNTA(G32)=1,T32&lt;0),"Profit","Loss")))</f>
        <v/>
      </c>
      <c r="Q32" s="53">
        <f>IF(ISBLANK(U32),,IF(P32="Profit",IF(T32&lt;0,U32*-T32,U32*T32),IF(T32&gt;0,U32*-T32,U32*T32)))</f>
        <v/>
      </c>
      <c r="R32" s="68" t="n"/>
      <c r="S32" s="69">
        <f>IF($Q32&gt;0, TRUE, FALSE)</f>
        <v/>
      </c>
      <c r="T32" s="68">
        <f>IF(ISBLANK(J32),"",IF(ISBLANK(L32),N32-K32,M32-K32))</f>
        <v/>
      </c>
      <c r="U32" s="55">
        <f>IF(ISBLANK(J32),,ROUNDDOWN(U$1/K32,0))</f>
        <v/>
      </c>
    </row>
    <row r="33" hidden="1" ht="14" customHeight="1">
      <c r="A33" s="59" t="inlineStr">
        <is>
          <t>APD</t>
        </is>
      </c>
      <c r="B33" s="60" t="n">
        <v>11</v>
      </c>
      <c r="C33" s="61" t="n">
        <v>135.88</v>
      </c>
      <c r="D33" s="61" t="n">
        <v>45.455</v>
      </c>
      <c r="E33" s="61" t="n">
        <v>2.27</v>
      </c>
      <c r="F33" s="62" t="n"/>
      <c r="G33" s="62" t="n">
        <v>45141</v>
      </c>
      <c r="H33" s="62" t="n"/>
      <c r="I33" s="62" t="n">
        <v>45152</v>
      </c>
      <c r="J33" s="63">
        <f>IF(ISBLANK(F33:G33),,IF(COUNTA(F33)=0,G33,F33))</f>
        <v/>
      </c>
      <c r="K33" s="64">
        <f>IFERROR(__xludf.DUMMYFUNCTION("if(isblank(J33),,index(googlefinance(A33,K$2,J33-1),2,2))"),299.32)</f>
        <v/>
      </c>
      <c r="L33" s="65">
        <f>IF(ISBLANK(H33:I33),,IF(COUNTA(H33)=0,I33,H33))</f>
        <v/>
      </c>
      <c r="M33" s="66">
        <f>IFERROR(__xludf.DUMMYFUNCTION("if(isblank(L33),, index(googlefinance(A33,M$2,L33-1),2,2))"),290.73)</f>
        <v/>
      </c>
      <c r="N33" s="67">
        <f>IFERROR(__xludf.DUMMYFUNCTION("if(isblank(A33),"""",googlefinance(A33))"),270.86)</f>
        <v/>
      </c>
      <c r="O33" s="68">
        <f>IF(ISBLANK(J33),"",IF(ISBLANK(L33),"Ongoing","Completed"))</f>
        <v/>
      </c>
      <c r="P33" s="68">
        <f>IF(ISBLANK(A33),,IF(AND(COUNTA(F33)=1,T33&gt;0),"Profit",IF(AND(COUNTA(G33)=1,T33&lt;0),"Profit","Loss")))</f>
        <v/>
      </c>
      <c r="Q33" s="53">
        <f>IF(ISBLANK(U33),,IF(P33="Profit",IF(T33&lt;0,U33*-T33,U33*T33),IF(T33&gt;0,U33*-T33,U33*T33)))</f>
        <v/>
      </c>
      <c r="R33" s="68" t="n"/>
      <c r="S33" s="69">
        <f>IF($Q33&gt;0, TRUE, FALSE)</f>
        <v/>
      </c>
      <c r="T33" s="68">
        <f>IF(ISBLANK(J33),"",IF(ISBLANK(L33),N33-K33,M33-K33))</f>
        <v/>
      </c>
      <c r="U33" s="55">
        <f>IF(ISBLANK(J33),,ROUNDDOWN(U$1/K33,0))</f>
        <v/>
      </c>
    </row>
    <row r="34" hidden="1" ht="14" customHeight="1">
      <c r="A34" s="59" t="inlineStr">
        <is>
          <t>BAC</t>
        </is>
      </c>
      <c r="B34" s="60" t="n">
        <v>12</v>
      </c>
      <c r="C34" s="61" t="n">
        <v>246.07</v>
      </c>
      <c r="D34" s="61" t="n">
        <v>50</v>
      </c>
      <c r="E34" s="61" t="n">
        <v>2.485</v>
      </c>
      <c r="F34" s="62" t="n"/>
      <c r="G34" s="62" t="n">
        <v>45141</v>
      </c>
      <c r="H34" s="62" t="n"/>
      <c r="I34" s="62" t="n">
        <v>45145</v>
      </c>
      <c r="J34" s="63">
        <f>IF(ISBLANK(F34:G34),,IF(COUNTA(F34)=0,G34,F34))</f>
        <v/>
      </c>
      <c r="K34" s="64">
        <f>IFERROR(__xludf.DUMMYFUNCTION("if(isblank(J34),,index(googlefinance(A34,K$2,J34-1),2,2))"),31.19)</f>
        <v/>
      </c>
      <c r="L34" s="65">
        <f>IF(ISBLANK(H34:I34),,IF(COUNTA(H34)=0,I34,H34))</f>
        <v/>
      </c>
      <c r="M34" s="66">
        <f>IFERROR(__xludf.DUMMYFUNCTION("if(isblank(L34),, index(googlefinance(A34,M$2,L34-1),2,2))"),31.88)</f>
        <v/>
      </c>
      <c r="N34" s="67">
        <f>IFERROR(__xludf.DUMMYFUNCTION("if(isblank(A34),"""",googlefinance(A34))"),33.53)</f>
        <v/>
      </c>
      <c r="O34" s="68">
        <f>IF(ISBLANK(J34),"",IF(ISBLANK(L34),"Ongoing","Completed"))</f>
        <v/>
      </c>
      <c r="P34" s="68">
        <f>IF(ISBLANK(A34),,IF(AND(COUNTA(F34)=1,T34&gt;0),"Profit",IF(AND(COUNTA(G34)=1,T34&lt;0),"Profit","Loss")))</f>
        <v/>
      </c>
      <c r="Q34" s="53">
        <f>IF(ISBLANK(U34),,IF(P34="Profit",IF(T34&lt;0,U34*-T34,U34*T34),IF(T34&gt;0,U34*-T34,U34*T34)))</f>
        <v/>
      </c>
      <c r="R34" s="68" t="n"/>
      <c r="S34" s="69">
        <f>IF($Q34&gt;0, TRUE, FALSE)</f>
        <v/>
      </c>
      <c r="T34" s="68">
        <f>IF(ISBLANK(J34),"",IF(ISBLANK(L34),N34-K34,M34-K34))</f>
        <v/>
      </c>
      <c r="U34" s="55">
        <f>IF(ISBLANK(J34),,ROUNDDOWN(U$1/K34,0))</f>
        <v/>
      </c>
    </row>
    <row r="35" hidden="1" ht="14" customHeight="1">
      <c r="A35" s="59" t="inlineStr">
        <is>
          <t>BKNG</t>
        </is>
      </c>
      <c r="B35" s="60" t="n">
        <v>15</v>
      </c>
      <c r="C35" s="61" t="n">
        <v>8.220000000000001</v>
      </c>
      <c r="D35" s="61" t="n">
        <v>13.333</v>
      </c>
      <c r="E35" s="61" t="n">
        <v>1.07</v>
      </c>
      <c r="F35" s="62" t="n"/>
      <c r="G35" s="62" t="n">
        <v>45141</v>
      </c>
      <c r="H35" s="62" t="n"/>
      <c r="I35" s="62" t="n">
        <v>45142</v>
      </c>
      <c r="J35" s="63">
        <f>IF(ISBLANK(F35:G35),,IF(COUNTA(F35)=0,G35,F35))</f>
        <v/>
      </c>
      <c r="K35" s="64">
        <f>IFERROR(__xludf.DUMMYFUNCTION("if(isblank(J35),,index(googlefinance(A35,K$2,J35-1),2,2))"),2884.92)</f>
        <v/>
      </c>
      <c r="L35" s="65">
        <f>IF(ISBLANK(H35:I35),,IF(COUNTA(H35)=0,I35,H35))</f>
        <v/>
      </c>
      <c r="M35" s="66">
        <f>IFERROR(__xludf.DUMMYFUNCTION("if(isblank(L35),, index(googlefinance(A35,M$2,L35-1),2,2))"),2839.91)</f>
        <v/>
      </c>
      <c r="N35" s="67">
        <f>IFERROR(__xludf.DUMMYFUNCTION("if(isblank(A35),"""",googlefinance(A35))"),3409.27)</f>
        <v/>
      </c>
      <c r="O35" s="68">
        <f>IF(ISBLANK(J35),"",IF(ISBLANK(L35),"Ongoing","Completed"))</f>
        <v/>
      </c>
      <c r="P35" s="68">
        <f>IF(ISBLANK(A35),,IF(AND(COUNTA(F35)=1,T35&gt;0),"Profit",IF(AND(COUNTA(G35)=1,T35&lt;0),"Profit","Loss")))</f>
        <v/>
      </c>
      <c r="Q35" s="53">
        <f>IF(ISBLANK(U35),,IF(P35="Profit",IF(T35&lt;0,U35*-T35,U35*T35),IF(T35&gt;0,U35*-T35,U35*T35)))</f>
        <v/>
      </c>
      <c r="R35" s="68" t="n"/>
      <c r="S35" s="69">
        <f>IF($Q35&gt;0, TRUE, FALSE)</f>
        <v/>
      </c>
      <c r="T35" s="68">
        <f>IF(ISBLANK(J35),"",IF(ISBLANK(L35),N35-K35,M35-K35))</f>
        <v/>
      </c>
      <c r="U35" s="55">
        <f>IF(ISBLANK(J35),,ROUNDDOWN(U$1/K35,0))</f>
        <v/>
      </c>
    </row>
    <row r="36" hidden="1" ht="14" customHeight="1">
      <c r="A36" s="59" t="inlineStr">
        <is>
          <t>OGN</t>
        </is>
      </c>
      <c r="B36" s="60" t="n">
        <v>4</v>
      </c>
      <c r="C36" s="61" t="n">
        <v>101.86</v>
      </c>
      <c r="D36" s="61" t="n">
        <v>75</v>
      </c>
      <c r="E36" s="61" t="n">
        <v>8.884</v>
      </c>
      <c r="F36" s="62" t="n"/>
      <c r="G36" s="62" t="n">
        <v>45141</v>
      </c>
      <c r="H36" s="62" t="n"/>
      <c r="I36" s="62" t="n">
        <v>45145</v>
      </c>
      <c r="J36" s="63">
        <f>IF(ISBLANK(F36:G36),,IF(COUNTA(F36)=0,G36,F36))</f>
        <v/>
      </c>
      <c r="K36" s="64">
        <f>IFERROR(__xludf.DUMMYFUNCTION("if(isblank(J36),,index(googlefinance(A36,K$2,J36-1),2,2))"),21.81)</f>
        <v/>
      </c>
      <c r="L36" s="65">
        <f>IF(ISBLANK(H36:I36),,IF(COUNTA(H36)=0,I36,H36))</f>
        <v/>
      </c>
      <c r="M36" s="66">
        <f>IFERROR(__xludf.DUMMYFUNCTION("if(isblank(L36),, index(googlefinance(A36,M$2,L36-1),2,2))"),21.8)</f>
        <v/>
      </c>
      <c r="N36" s="67">
        <f>IFERROR(__xludf.DUMMYFUNCTION("if(isblank(A36),"""",googlefinance(A36))"),14.63)</f>
        <v/>
      </c>
      <c r="O36" s="68">
        <f>IF(ISBLANK(J36),"",IF(ISBLANK(L36),"Ongoing","Completed"))</f>
        <v/>
      </c>
      <c r="P36" s="68">
        <f>IF(ISBLANK(A36),,IF(AND(COUNTA(F36)=1,T36&gt;0),"Profit",IF(AND(COUNTA(G36)=1,T36&lt;0),"Profit","Loss")))</f>
        <v/>
      </c>
      <c r="Q36" s="53">
        <f>IF(ISBLANK(U36),,IF(P36="Profit",IF(T36&lt;0,U36*-T36,U36*T36),IF(T36&gt;0,U36*-T36,U36*T36)))</f>
        <v/>
      </c>
      <c r="R36" s="68" t="n"/>
      <c r="S36" s="69">
        <f>IF($Q36&gt;0, TRUE, FALSE)</f>
        <v/>
      </c>
      <c r="T36" s="68">
        <f>IF(ISBLANK(J36),"",IF(ISBLANK(L36),N36-K36,M36-K36))</f>
        <v/>
      </c>
      <c r="U36" s="55">
        <f>IF(ISBLANK(J36),,ROUNDDOWN(U$1/K36,0))</f>
        <v/>
      </c>
    </row>
    <row r="37" hidden="1" ht="14" customHeight="1">
      <c r="A37" s="59" t="inlineStr">
        <is>
          <t>WDAY</t>
        </is>
      </c>
      <c r="B37" s="60" t="n">
        <v>14</v>
      </c>
      <c r="C37" s="61" t="n">
        <v>182.42</v>
      </c>
      <c r="D37" s="61" t="n">
        <v>35.714</v>
      </c>
      <c r="E37" s="61" t="n">
        <v>1.589</v>
      </c>
      <c r="F37" s="62" t="n"/>
      <c r="G37" s="62" t="n">
        <v>45141</v>
      </c>
      <c r="H37" s="62" t="n"/>
      <c r="I37" s="62" t="n">
        <v>45153</v>
      </c>
      <c r="J37" s="63">
        <f>IF(ISBLANK(F37:G37),,IF(COUNTA(F37)=0,G37,F37))</f>
        <v/>
      </c>
      <c r="K37" s="64">
        <f>IFERROR(__xludf.DUMMYFUNCTION("if(isblank(J37),,index(googlefinance(A37,K$2,J37-1),2,2))"),229.22)</f>
        <v/>
      </c>
      <c r="L37" s="65">
        <f>IF(ISBLANK(H37:I37),,IF(COUNTA(H37)=0,I37,H37))</f>
        <v/>
      </c>
      <c r="M37" s="66">
        <f>IFERROR(__xludf.DUMMYFUNCTION("if(isblank(L37),, index(googlefinance(A37,M$2,L37-1),2,2))"),228.11)</f>
        <v/>
      </c>
      <c r="N37" s="67">
        <f>IFERROR(__xludf.DUMMYFUNCTION("if(isblank(A37),"""",googlefinance(A37))"),268.41)</f>
        <v/>
      </c>
      <c r="O37" s="68">
        <f>IF(ISBLANK(J37),"",IF(ISBLANK(L37),"Ongoing","Completed"))</f>
        <v/>
      </c>
      <c r="P37" s="68">
        <f>IF(ISBLANK(A37),,IF(AND(COUNTA(F37)=1,T37&gt;0),"Profit",IF(AND(COUNTA(G37)=1,T37&lt;0),"Profit","Loss")))</f>
        <v/>
      </c>
      <c r="Q37" s="53">
        <f>IF(ISBLANK(U37),,IF(P37="Profit",IF(T37&lt;0,U37*-T37,U37*T37),IF(T37&gt;0,U37*-T37,U37*T37)))</f>
        <v/>
      </c>
      <c r="R37" s="68" t="n"/>
      <c r="S37" s="69">
        <f>IF($Q37&gt;0, TRUE, FALSE)</f>
        <v/>
      </c>
      <c r="T37" s="68">
        <f>IF(ISBLANK(J37),"",IF(ISBLANK(L37),N37-K37,M37-K37))</f>
        <v/>
      </c>
      <c r="U37" s="55">
        <f>IF(ISBLANK(J37),,ROUNDDOWN(U$1/K37,0))</f>
        <v/>
      </c>
    </row>
    <row r="38" hidden="1" ht="14" customHeight="1">
      <c r="A38" s="59" t="inlineStr">
        <is>
          <t>CMI</t>
        </is>
      </c>
      <c r="B38" s="60" t="n">
        <v>10</v>
      </c>
      <c r="C38" s="61" t="n">
        <v>213.99</v>
      </c>
      <c r="D38" s="61" t="n">
        <v>40</v>
      </c>
      <c r="E38" s="61" t="n">
        <v>2.261</v>
      </c>
      <c r="F38" s="62" t="n"/>
      <c r="G38" s="62" t="n">
        <v>45142</v>
      </c>
      <c r="H38" s="62" t="n"/>
      <c r="I38" s="62" t="n">
        <v>45167</v>
      </c>
      <c r="J38" s="63">
        <f>IF(ISBLANK(F38:G38),,IF(COUNTA(F38)=0,G38,F38))</f>
        <v/>
      </c>
      <c r="K38" s="64">
        <f>IFERROR(__xludf.DUMMYFUNCTION("if(isblank(J38),,index(googlefinance(A38,K$2,J38-1),2,2))"),242.64)</f>
        <v/>
      </c>
      <c r="L38" s="65">
        <f>IF(ISBLANK(H38:I38),,IF(COUNTA(H38)=0,I38,H38))</f>
        <v/>
      </c>
      <c r="M38" s="66">
        <f>IFERROR(__xludf.DUMMYFUNCTION("if(isblank(L38),, index(googlefinance(A38,M$2,L38-1),2,2))"),232.62)</f>
        <v/>
      </c>
      <c r="N38" s="67">
        <f>IFERROR(__xludf.DUMMYFUNCTION("if(isblank(A38),"""",googlefinance(A38))"),237.72)</f>
        <v/>
      </c>
      <c r="O38" s="68">
        <f>IF(ISBLANK(J38),"",IF(ISBLANK(L38),"Ongoing","Completed"))</f>
        <v/>
      </c>
      <c r="P38" s="68">
        <f>IF(ISBLANK(A38),,IF(AND(COUNTA(F38)=1,T38&gt;0),"Profit",IF(AND(COUNTA(G38)=1,T38&lt;0),"Profit","Loss")))</f>
        <v/>
      </c>
      <c r="Q38" s="53">
        <f>IF(ISBLANK(U38),,IF(P38="Profit",IF(T38&lt;0,U38*-T38,U38*T38),IF(T38&gt;0,U38*-T38,U38*T38)))</f>
        <v/>
      </c>
      <c r="R38" s="71" t="b">
        <v>1</v>
      </c>
      <c r="S38" s="69">
        <f>IF($Q38&gt;0, TRUE, FALSE)</f>
        <v/>
      </c>
      <c r="T38" s="68">
        <f>IF(ISBLANK(J38),"",IF(ISBLANK(L38),N38-K38,M38-K38))</f>
        <v/>
      </c>
      <c r="U38" s="55">
        <f>IF(ISBLANK(J38),,ROUNDDOWN(U$1/K38,0))</f>
        <v/>
      </c>
    </row>
    <row r="39" hidden="1" ht="14" customHeight="1">
      <c r="A39" s="59" t="inlineStr">
        <is>
          <t>LIN</t>
        </is>
      </c>
      <c r="B39" s="60" t="n">
        <v>9</v>
      </c>
      <c r="C39" s="61" t="n">
        <v>74.16</v>
      </c>
      <c r="D39" s="61" t="n">
        <v>33.333</v>
      </c>
      <c r="E39" s="61" t="n">
        <v>1.426</v>
      </c>
      <c r="F39" s="62" t="n"/>
      <c r="G39" s="62" t="n">
        <v>45142</v>
      </c>
      <c r="H39" s="62" t="n"/>
      <c r="I39" s="62" t="n">
        <v>45163</v>
      </c>
      <c r="J39" s="63">
        <f>IF(ISBLANK(F39:G39),,IF(COUNTA(F39)=0,G39,F39))</f>
        <v/>
      </c>
      <c r="K39" s="64">
        <f>IFERROR(__xludf.DUMMYFUNCTION("if(isblank(J39),,index(googlefinance(A39,K$2,J39-1),2,2))"),380.75)</f>
        <v/>
      </c>
      <c r="L39" s="65">
        <f>IF(ISBLANK(H39:I39),,IF(COUNTA(H39)=0,I39,H39))</f>
        <v/>
      </c>
      <c r="M39" s="66">
        <f>IFERROR(__xludf.DUMMYFUNCTION("if(isblank(L39),, index(googlefinance(A39,M$2,L39-1),2,2))"),377.94)</f>
        <v/>
      </c>
      <c r="N39" s="67">
        <f>IFERROR(__xludf.DUMMYFUNCTION("if(isblank(A39),"""",googlefinance(A39))"),408.71)</f>
        <v/>
      </c>
      <c r="O39" s="68">
        <f>IF(ISBLANK(J39),"",IF(ISBLANK(L39),"Ongoing","Completed"))</f>
        <v/>
      </c>
      <c r="P39" s="68">
        <f>IF(ISBLANK(A39),,IF(AND(COUNTA(F39)=1,T39&gt;0),"Profit",IF(AND(COUNTA(G39)=1,T39&lt;0),"Profit","Loss")))</f>
        <v/>
      </c>
      <c r="Q39" s="53">
        <f>IF(ISBLANK(U39),,IF(P39="Profit",IF(T39&lt;0,U39*-T39,U39*T39),IF(T39&gt;0,U39*-T39,U39*T39)))</f>
        <v/>
      </c>
      <c r="R39" s="68" t="n"/>
      <c r="S39" s="69">
        <f>IF($Q39&gt;0, TRUE, FALSE)</f>
        <v/>
      </c>
      <c r="T39" s="68">
        <f>IF(ISBLANK(J39),"",IF(ISBLANK(L39),N39-K39,M39-K39))</f>
        <v/>
      </c>
      <c r="U39" s="55">
        <f>IF(ISBLANK(J39),,ROUNDDOWN(U$1/K39,0))</f>
        <v/>
      </c>
    </row>
    <row r="40" hidden="1" ht="14" customHeight="1">
      <c r="A40" s="59" t="inlineStr">
        <is>
          <t>MMM</t>
        </is>
      </c>
      <c r="B40" s="60" t="n">
        <v>5</v>
      </c>
      <c r="C40" s="61" t="n">
        <v>186.41</v>
      </c>
      <c r="D40" s="61" t="n">
        <v>60</v>
      </c>
      <c r="E40" s="61" t="n">
        <v>6.275</v>
      </c>
      <c r="F40" s="62" t="n"/>
      <c r="G40" s="62" t="n">
        <v>45142</v>
      </c>
      <c r="H40" s="62" t="n"/>
      <c r="I40" s="62" t="n">
        <v>45166</v>
      </c>
      <c r="J40" s="63">
        <f>IF(ISBLANK(F40:G40),,IF(COUNTA(F40)=0,G40,F40))</f>
        <v/>
      </c>
      <c r="K40" s="64">
        <f>IFERROR(__xludf.DUMMYFUNCTION("if(isblank(J40),,index(googlefinance(A40,K$2,J40-1),2,2))"),107.19)</f>
        <v/>
      </c>
      <c r="L40" s="65">
        <f>IF(ISBLANK(H40:I40),,IF(COUNTA(H40)=0,I40,H40))</f>
        <v/>
      </c>
      <c r="M40" s="66">
        <f>IFERROR(__xludf.DUMMYFUNCTION("if(isblank(L40),, index(googlefinance(A40,M$2,L40-1),2,2))"),104.12)</f>
        <v/>
      </c>
      <c r="N40" s="67">
        <f>IFERROR(__xludf.DUMMYFUNCTION("if(isblank(A40),"""",googlefinance(A40))"),107.79)</f>
        <v/>
      </c>
      <c r="O40" s="68">
        <f>IF(ISBLANK(J40),"",IF(ISBLANK(L40),"Ongoing","Completed"))</f>
        <v/>
      </c>
      <c r="P40" s="68">
        <f>IF(ISBLANK(A40),,IF(AND(COUNTA(F40)=1,T40&gt;0),"Profit",IF(AND(COUNTA(G40)=1,T40&lt;0),"Profit","Loss")))</f>
        <v/>
      </c>
      <c r="Q40" s="53">
        <f>IF(ISBLANK(U40),,IF(P40="Profit",IF(T40&lt;0,U40*-T40,U40*T40),IF(T40&gt;0,U40*-T40,U40*T40)))</f>
        <v/>
      </c>
      <c r="R40" s="68" t="n"/>
      <c r="S40" s="69">
        <f>IF($Q40&gt;0, TRUE, FALSE)</f>
        <v/>
      </c>
      <c r="T40" s="68">
        <f>IF(ISBLANK(J40),"",IF(ISBLANK(L40),N40-K40,M40-K40))</f>
        <v/>
      </c>
      <c r="U40" s="55">
        <f>IF(ISBLANK(J40),,ROUNDDOWN(U$1/K40,0))</f>
        <v/>
      </c>
    </row>
    <row r="41" hidden="1" ht="14" customHeight="1">
      <c r="A41" s="59" t="inlineStr">
        <is>
          <t>ROST</t>
        </is>
      </c>
      <c r="B41" s="60" t="n">
        <v>9</v>
      </c>
      <c r="C41" s="61" t="n">
        <v>11.2</v>
      </c>
      <c r="D41" s="61" t="n">
        <v>33.333</v>
      </c>
      <c r="E41" s="61" t="n">
        <v>1.051</v>
      </c>
      <c r="F41" s="62" t="n"/>
      <c r="G41" s="62" t="n">
        <v>45142</v>
      </c>
      <c r="H41" s="62" t="n"/>
      <c r="I41" s="62" t="n">
        <v>45148</v>
      </c>
      <c r="J41" s="63">
        <f>IF(ISBLANK(F41:G41),,IF(COUNTA(F41)=0,G41,F41))</f>
        <v/>
      </c>
      <c r="K41" s="64">
        <f>IFERROR(__xludf.DUMMYFUNCTION("if(isblank(J41),,index(googlefinance(A41,K$2,J41-1),2,2))"),112.59)</f>
        <v/>
      </c>
      <c r="L41" s="65">
        <f>IF(ISBLANK(H41:I41),,IF(COUNTA(H41)=0,I41,H41))</f>
        <v/>
      </c>
      <c r="M41" s="66">
        <f>IFERROR(__xludf.DUMMYFUNCTION("if(isblank(L41),, index(googlefinance(A41,M$2,L41-1),2,2))"),113.03)</f>
        <v/>
      </c>
      <c r="N41" s="67">
        <f>IFERROR(__xludf.DUMMYFUNCTION("if(isblank(A41),"""",googlefinance(A41))"),134.77)</f>
        <v/>
      </c>
      <c r="O41" s="68">
        <f>IF(ISBLANK(J41),"",IF(ISBLANK(L41),"Ongoing","Completed"))</f>
        <v/>
      </c>
      <c r="P41" s="68">
        <f>IF(ISBLANK(A41),,IF(AND(COUNTA(F41)=1,T41&gt;0),"Profit",IF(AND(COUNTA(G41)=1,T41&lt;0),"Profit","Loss")))</f>
        <v/>
      </c>
      <c r="Q41" s="53">
        <f>IF(ISBLANK(U41),,IF(P41="Profit",IF(T41&lt;0,U41*-T41,U41*T41),IF(T41&gt;0,U41*-T41,U41*T41)))</f>
        <v/>
      </c>
      <c r="R41" s="68" t="n"/>
      <c r="S41" s="69">
        <f>IF($Q41&gt;0, TRUE, FALSE)</f>
        <v/>
      </c>
      <c r="T41" s="68">
        <f>IF(ISBLANK(J41),"",IF(ISBLANK(L41),N41-K41,M41-K41))</f>
        <v/>
      </c>
      <c r="U41" s="55">
        <f>IF(ISBLANK(J41),,ROUNDDOWN(U$1/K41,0))</f>
        <v/>
      </c>
    </row>
    <row r="42" hidden="1" ht="14" customHeight="1">
      <c r="A42" s="72" t="inlineStr">
        <is>
          <t>SPG</t>
        </is>
      </c>
      <c r="B42" s="70" t="n">
        <v>12</v>
      </c>
      <c r="C42" s="55" t="n">
        <v>66.81999999999999</v>
      </c>
      <c r="D42" s="55" t="n">
        <v>33.333</v>
      </c>
      <c r="E42" s="55" t="n">
        <v>1.251</v>
      </c>
      <c r="F42" s="62" t="n"/>
      <c r="G42" s="62" t="n">
        <v>45145</v>
      </c>
      <c r="H42" s="62" t="n"/>
      <c r="I42" s="62" t="n">
        <v>45167</v>
      </c>
      <c r="J42" s="63">
        <f>IF(ISBLANK(F42:G42),,IF(COUNTA(F42)=0,G42,F42))</f>
        <v/>
      </c>
      <c r="K42" s="64">
        <f>IFERROR(__xludf.DUMMYFUNCTION("if(isblank(J42),,index(googlefinance(A42,K$2,J42-1),2,2))"),119.66)</f>
        <v/>
      </c>
      <c r="L42" s="65">
        <f>IF(ISBLANK(H42:I42),,IF(COUNTA(H42)=0,I42,H42))</f>
        <v/>
      </c>
      <c r="M42" s="66">
        <f>IFERROR(__xludf.DUMMYFUNCTION("if(isblank(L42),, index(googlefinance(A42,M$2,L42-1),2,2))"),111.67)</f>
        <v/>
      </c>
      <c r="N42" s="67">
        <f>IFERROR(__xludf.DUMMYFUNCTION("if(isblank(A42),"""",googlefinance(A42))"),140.09)</f>
        <v/>
      </c>
      <c r="O42" s="68">
        <f>IF(ISBLANK(J42),"",IF(ISBLANK(L42),"Ongoing","Completed"))</f>
        <v/>
      </c>
      <c r="P42" s="68">
        <f>IF(ISBLANK(A42),,IF(AND(COUNTA(F42)=1,T42&gt;0),"Profit",IF(AND(COUNTA(G42)=1,T42&lt;0),"Profit","Loss")))</f>
        <v/>
      </c>
      <c r="Q42" s="53">
        <f>IF(ISBLANK(U42),,IF(P42="Profit",IF(T42&lt;0,U42*-T42,U42*T42),IF(T42&gt;0,U42*-T42,U42*T42)))</f>
        <v/>
      </c>
      <c r="R42" s="68" t="n"/>
      <c r="S42" s="69">
        <f>IF($Q42&gt;0, TRUE, FALSE)</f>
        <v/>
      </c>
      <c r="T42" s="68">
        <f>IF(ISBLANK(J42),"",IF(ISBLANK(L42),N42-K42,M42-K42))</f>
        <v/>
      </c>
      <c r="U42" s="55">
        <f>IF(ISBLANK(J42),,ROUNDDOWN(U$1/K42,0))</f>
        <v/>
      </c>
    </row>
    <row r="43" hidden="1" ht="14" customHeight="1">
      <c r="A43" s="72" t="inlineStr">
        <is>
          <t>NTRS</t>
        </is>
      </c>
      <c r="B43" s="70" t="n">
        <v>8</v>
      </c>
      <c r="C43" s="55" t="n">
        <v>51.13</v>
      </c>
      <c r="D43" s="55" t="n">
        <v>62.5</v>
      </c>
      <c r="E43" s="55" t="n">
        <v>1.525</v>
      </c>
      <c r="F43" s="62" t="n"/>
      <c r="G43" s="62" t="n">
        <v>45146</v>
      </c>
      <c r="H43" s="62" t="n"/>
      <c r="I43" s="62" t="n">
        <v>45148</v>
      </c>
      <c r="J43" s="63">
        <f>IF(ISBLANK(F43:G43),,IF(COUNTA(F43)=0,G43,F43))</f>
        <v/>
      </c>
      <c r="K43" s="64">
        <f>IFERROR(__xludf.DUMMYFUNCTION("if(isblank(J43),,index(googlefinance(A43,K$2,J43-1),2,2))"),80.85)</f>
        <v/>
      </c>
      <c r="L43" s="65">
        <f>IF(ISBLANK(H43:I43),,IF(COUNTA(H43)=0,I43,H43))</f>
        <v/>
      </c>
      <c r="M43" s="66">
        <f>IFERROR(__xludf.DUMMYFUNCTION("if(isblank(L43),, index(googlefinance(A43,M$2,L43-1),2,2))"),79)</f>
        <v/>
      </c>
      <c r="N43" s="67">
        <f>IFERROR(__xludf.DUMMYFUNCTION("if(isblank(A43),"""",googlefinance(A43))"),82.58)</f>
        <v/>
      </c>
      <c r="O43" s="68">
        <f>IF(ISBLANK(J43),"",IF(ISBLANK(L43),"Ongoing","Completed"))</f>
        <v/>
      </c>
      <c r="P43" s="68">
        <f>IF(ISBLANK(A43),,IF(AND(COUNTA(F43)=1,T43&gt;0),"Profit",IF(AND(COUNTA(G43)=1,T43&lt;0),"Profit","Loss")))</f>
        <v/>
      </c>
      <c r="Q43" s="53">
        <f>IF(ISBLANK(U43),,IF(P43="Profit",IF(T43&lt;0,U43*-T43,U43*T43),IF(T43&gt;0,U43*-T43,U43*T43)))</f>
        <v/>
      </c>
      <c r="R43" s="68" t="n"/>
      <c r="S43" s="69">
        <f>IF($Q43&gt;0, TRUE, FALSE)</f>
        <v/>
      </c>
      <c r="T43" s="68">
        <f>IF(ISBLANK(J43),"",IF(ISBLANK(L43),N43-K43,M43-K43))</f>
        <v/>
      </c>
      <c r="U43" s="55">
        <f>IF(ISBLANK(J43),,ROUNDDOWN(U$1/K43,0))</f>
        <v/>
      </c>
    </row>
    <row r="44" hidden="1" ht="14" customHeight="1">
      <c r="A44" s="59" t="inlineStr">
        <is>
          <t>AXON</t>
        </is>
      </c>
      <c r="B44" s="60" t="n">
        <v>14</v>
      </c>
      <c r="C44" s="61" t="n">
        <v>270.59</v>
      </c>
      <c r="D44" s="61" t="n">
        <v>28.571</v>
      </c>
      <c r="E44" s="61" t="n">
        <v>2.043</v>
      </c>
      <c r="F44" s="62" t="n">
        <v>45147</v>
      </c>
      <c r="G44" s="62" t="n"/>
      <c r="H44" s="62" t="n">
        <v>45155</v>
      </c>
      <c r="I44" s="62" t="n"/>
      <c r="J44" s="63">
        <f>IF(ISBLANK(F44:G44),,IF(COUNTA(F44)=0,G44,F44))</f>
        <v/>
      </c>
      <c r="K44" s="64">
        <f>IFERROR(__xludf.DUMMYFUNCTION("if(isblank(J44),,index(googlefinance(A44,K$2,J44-1),2,2))"),175.73)</f>
        <v/>
      </c>
      <c r="L44" s="65">
        <f>IF(ISBLANK(H44:I44),,IF(COUNTA(H44)=0,I44,H44))</f>
        <v/>
      </c>
      <c r="M44" s="66">
        <f>IFERROR(__xludf.DUMMYFUNCTION("if(isblank(L44),, index(googlefinance(A44,M$2,L44-1),2,2))"),200.78)</f>
        <v/>
      </c>
      <c r="N44" s="67">
        <f>IFERROR(__xludf.DUMMYFUNCTION("if(isblank(A44),"""",googlefinance(A44))"),247.43)</f>
        <v/>
      </c>
      <c r="O44" s="68">
        <f>IF(ISBLANK(J44),"",IF(ISBLANK(L44),"Ongoing","Completed"))</f>
        <v/>
      </c>
      <c r="P44" s="68">
        <f>IF(ISBLANK(A44),,IF(AND(COUNTA(F44)=1,T44&gt;0),"Profit",IF(AND(COUNTA(G44)=1,T44&lt;0),"Profit","Loss")))</f>
        <v/>
      </c>
      <c r="Q44" s="53">
        <f>IF(ISBLANK(U44),,IF(P44="Profit",IF(T44&lt;0,U44*-T44,U44*T44),IF(T44&gt;0,U44*-T44,U44*T44)))</f>
        <v/>
      </c>
      <c r="R44" s="71" t="b">
        <v>1</v>
      </c>
      <c r="S44" s="69">
        <f>IF($Q44&gt;0, TRUE, FALSE)</f>
        <v/>
      </c>
      <c r="T44" s="68">
        <f>IF(ISBLANK(J44),"",IF(ISBLANK(L44),N44-K44,M44-K44))</f>
        <v/>
      </c>
      <c r="U44" s="55">
        <f>IF(ISBLANK(J44),,ROUNDDOWN(U$1/K44,0))</f>
        <v/>
      </c>
    </row>
    <row r="45" hidden="1" ht="14" customHeight="1">
      <c r="A45" s="59" t="inlineStr">
        <is>
          <t>WDC</t>
        </is>
      </c>
      <c r="B45" s="60" t="n">
        <v>11</v>
      </c>
      <c r="C45" s="61" t="n">
        <v>223.54</v>
      </c>
      <c r="D45" s="61" t="n">
        <v>45.455</v>
      </c>
      <c r="E45" s="61" t="n">
        <v>1.701</v>
      </c>
      <c r="F45" s="62" t="n"/>
      <c r="G45" s="62" t="n">
        <v>45149</v>
      </c>
      <c r="H45" s="62" t="n"/>
      <c r="I45" s="62" t="n">
        <v>45166</v>
      </c>
      <c r="J45" s="63">
        <f>IF(ISBLANK(F45:G45),,IF(COUNTA(F45)=0,G45,F45))</f>
        <v/>
      </c>
      <c r="K45" s="64">
        <f>IFERROR(__xludf.DUMMYFUNCTION("if(isblank(J45),,index(googlefinance(A45,K$2,J45-1),2,2))"),42.15)</f>
        <v/>
      </c>
      <c r="L45" s="65">
        <f>IF(ISBLANK(H45:I45),,IF(COUNTA(H45)=0,I45,H45))</f>
        <v/>
      </c>
      <c r="M45" s="66">
        <f>IFERROR(__xludf.DUMMYFUNCTION("if(isblank(L45),, index(googlefinance(A45,M$2,L45-1),2,2))"),41.41)</f>
        <v/>
      </c>
      <c r="N45" s="67">
        <f>IFERROR(__xludf.DUMMYFUNCTION("if(isblank(A45),,googlefinance(A45))"),50.34)</f>
        <v/>
      </c>
      <c r="O45" s="68">
        <f>IF(ISBLANK(J45),,IF(ISBLANK(L45),"Ongoing","Completed"))</f>
        <v/>
      </c>
      <c r="P45" s="68">
        <f>IF(ISBLANK(A45),,IF(AND(COUNTA(F45)=1,T45&gt;0),"Profit",IF(AND(COUNTA(G45)=1,T45&lt;0),"Profit","Loss")))</f>
        <v/>
      </c>
      <c r="Q45" s="53">
        <f>IF(ISBLANK(U45),,IF(P45="Profit",IF(T45&lt;0,U45*-T45,U45*T45),IF(T45&gt;0,U45*-T45,U45*T45)))</f>
        <v/>
      </c>
      <c r="R45" s="71" t="b">
        <v>1</v>
      </c>
      <c r="S45" s="69">
        <f>IF($Q45&gt;0, TRUE, FALSE)</f>
        <v/>
      </c>
      <c r="T45" s="68">
        <f>IF(ISBLANK(J45),,IF(ISBLANK(L45),N45-K45,M45-K45))</f>
        <v/>
      </c>
      <c r="U45" s="55">
        <f>IF(ISBLANK(J45),,ROUNDDOWN(U$1/K45,0))</f>
        <v/>
      </c>
    </row>
    <row r="46" hidden="1" ht="14" customHeight="1">
      <c r="A46" s="59" t="inlineStr">
        <is>
          <t>AON</t>
        </is>
      </c>
      <c r="B46" s="60" t="n">
        <v>17</v>
      </c>
      <c r="C46" s="61" t="n">
        <v>236.46</v>
      </c>
      <c r="D46" s="61" t="n">
        <v>41.176</v>
      </c>
      <c r="E46" s="61" t="n">
        <v>1.943</v>
      </c>
      <c r="F46" s="62" t="n">
        <v>45152</v>
      </c>
      <c r="G46" s="62" t="n"/>
      <c r="H46" s="62" t="n">
        <v>45155</v>
      </c>
      <c r="I46" s="62" t="n"/>
      <c r="J46" s="63">
        <f>IF(ISBLANK(F46:G46),,IF(COUNTA(F46)=0,G46,F46))</f>
        <v/>
      </c>
      <c r="K46" s="64">
        <f>IFERROR(__xludf.DUMMYFUNCTION("if(isblank(J46),,index(googlefinance(A46,K$2,J46-1),2,2))"),322.26)</f>
        <v/>
      </c>
      <c r="L46" s="65">
        <f>IF(ISBLANK(H46:I46),,IF(COUNTA(H46)=0,I46,H46))</f>
        <v/>
      </c>
      <c r="M46" s="66">
        <f>IFERROR(__xludf.DUMMYFUNCTION("if(isblank(L46),, index(googlefinance(A46,M$2,L46-1),2,2))"),321.28)</f>
        <v/>
      </c>
      <c r="N46" s="67">
        <f>IFERROR(__xludf.DUMMYFUNCTION("if(isblank(A46),,googlefinance(A46))"),290.89)</f>
        <v/>
      </c>
      <c r="O46" s="68">
        <f>IF(ISBLANK(J46),,IF(ISBLANK(L46),"Ongoing","Completed"))</f>
        <v/>
      </c>
      <c r="P46" s="68">
        <f>IF(ISBLANK(A46),,IF(AND(COUNTA(F46)=1,T46&gt;0),"Profit",IF(AND(COUNTA(G46)=1,T46&lt;0),"Profit","Loss")))</f>
        <v/>
      </c>
      <c r="Q46" s="53">
        <f>IF(ISBLANK(U46),,IF(P46="Profit",IF(T46&lt;0,U46*-T46,U46*T46),IF(T46&gt;0,U46*-T46,U46*T46)))</f>
        <v/>
      </c>
      <c r="R46" s="68" t="n"/>
      <c r="S46" s="69">
        <f>IF($Q46&gt;0, TRUE, FALSE)</f>
        <v/>
      </c>
      <c r="T46" s="68">
        <f>IF(ISBLANK(J46),,IF(ISBLANK(L46),N46-K46,M46-K46))</f>
        <v/>
      </c>
      <c r="U46" s="55">
        <f>IF(ISBLANK(J46),,ROUNDDOWN(U$1/K46,0))</f>
        <v/>
      </c>
    </row>
    <row r="47" hidden="1" ht="14" customHeight="1">
      <c r="A47" s="59" t="inlineStr">
        <is>
          <t>WRB</t>
        </is>
      </c>
      <c r="B47" s="60" t="n">
        <v>11</v>
      </c>
      <c r="C47" s="61" t="n">
        <v>81.893</v>
      </c>
      <c r="D47" s="61" t="n">
        <v>27.273</v>
      </c>
      <c r="E47" s="61" t="n">
        <v>1.481</v>
      </c>
      <c r="F47" s="62" t="n"/>
      <c r="G47" s="62" t="n">
        <v>45153</v>
      </c>
      <c r="H47" s="62" t="n"/>
      <c r="I47" s="62" t="n">
        <v>45167</v>
      </c>
      <c r="J47" s="63">
        <f>IF(ISBLANK(F47:G47),,IF(COUNTA(F47)=0,G47,F47))</f>
        <v/>
      </c>
      <c r="K47" s="64">
        <f>IFERROR(__xludf.DUMMYFUNCTION("if(isblank(J47),,index(googlefinance(A47,K$2,J47-1),2,2))"),63.8)</f>
        <v/>
      </c>
      <c r="L47" s="65">
        <f>IF(ISBLANK(H47:I47),,IF(COUNTA(H47)=0,I47,H47))</f>
        <v/>
      </c>
      <c r="M47" s="66">
        <f>IFERROR(__xludf.DUMMYFUNCTION("if(isblank(L47),, index(googlefinance(A47,M$2,L47-1),2,2))"),61.28)</f>
        <v/>
      </c>
      <c r="N47" s="67">
        <f>IFERROR(__xludf.DUMMYFUNCTION("if(isblank(A47),,googlefinance(A47))"),72.56)</f>
        <v/>
      </c>
      <c r="O47" s="68">
        <f>IF(ISBLANK(J47),,IF(ISBLANK(L47),"Ongoing","Completed"))</f>
        <v/>
      </c>
      <c r="P47" s="68">
        <f>IF(ISBLANK(A47),,IF(AND(COUNTA(F47)=1,T47&gt;0),"Profit",IF(AND(COUNTA(G47)=1,T47&lt;0),"Profit","Loss")))</f>
        <v/>
      </c>
      <c r="Q47" s="53">
        <f>IF(ISBLANK(U47),,IF(P47="Profit",IF(T47&lt;0,U47*-T47,U47*T47),IF(T47&gt;0,U47*-T47,U47*T47)))</f>
        <v/>
      </c>
      <c r="R47" s="68" t="n"/>
      <c r="S47" s="69">
        <f>IF($Q47&gt;0, TRUE, FALSE)</f>
        <v/>
      </c>
      <c r="T47" s="68">
        <f>IF(ISBLANK(J47),,IF(ISBLANK(L47),N47-K47,M47-K47))</f>
        <v/>
      </c>
      <c r="U47" s="55">
        <f>IF(ISBLANK(J47),,ROUNDDOWN(U$1/K47,0))</f>
        <v/>
      </c>
    </row>
    <row r="48" hidden="1" ht="14" customHeight="1">
      <c r="A48" s="59" t="inlineStr">
        <is>
          <t>AON</t>
        </is>
      </c>
      <c r="B48" s="60" t="n">
        <v>17</v>
      </c>
      <c r="C48" s="61" t="n">
        <v>236.46</v>
      </c>
      <c r="D48" s="61" t="n">
        <v>41.176</v>
      </c>
      <c r="E48" s="61" t="n">
        <v>1.943</v>
      </c>
      <c r="F48" s="62" t="n">
        <v>45154</v>
      </c>
      <c r="G48" s="62" t="n"/>
      <c r="H48" s="62" t="n">
        <v>45155</v>
      </c>
      <c r="I48" s="62" t="n"/>
      <c r="J48" s="63">
        <f>IF(ISBLANK(F48:G48),,IF(COUNTA(F48)=0,G48,F48))</f>
        <v/>
      </c>
      <c r="K48" s="64">
        <f>IFERROR(__xludf.DUMMYFUNCTION("if(isblank(J48),,index(googlefinance(A48,K$2,J48-1),2,2))"),317.55)</f>
        <v/>
      </c>
      <c r="L48" s="65">
        <f>IF(ISBLANK(H48:I48),,IF(COUNTA(H48)=0,I48,H48))</f>
        <v/>
      </c>
      <c r="M48" s="66">
        <f>IFERROR(__xludf.DUMMYFUNCTION("if(isblank(L48),, index(googlefinance(A48,M$2,L48-1),2,2))"),321.28)</f>
        <v/>
      </c>
      <c r="N48" s="67">
        <f>IFERROR(__xludf.DUMMYFUNCTION("if(isblank(A48),,googlefinance(A48))"),290.89)</f>
        <v/>
      </c>
      <c r="O48" s="68">
        <f>IF(ISBLANK(J48),,IF(ISBLANK(L48),"Ongoing","Completed"))</f>
        <v/>
      </c>
      <c r="P48" s="68">
        <f>IF(ISBLANK(A48),,IF(AND(COUNTA(F48)=1,T48&gt;0),"Profit",IF(AND(COUNTA(G48)=1,T48&lt;0),"Profit","Loss")))</f>
        <v/>
      </c>
      <c r="Q48" s="53">
        <f>IF(ISBLANK(U48),,IF(P48="Profit",IF(T48&lt;0,U48*-T48,U48*T48),IF(T48&gt;0,U48*-T48,U48*T48)))</f>
        <v/>
      </c>
      <c r="R48" s="68" t="n"/>
      <c r="S48" s="69">
        <f>IF($Q48&gt;0, TRUE, FALSE)</f>
        <v/>
      </c>
      <c r="T48" s="68">
        <f>IF(ISBLANK(J48),,IF(ISBLANK(L48),N48-K48,M48-K48))</f>
        <v/>
      </c>
      <c r="U48" s="55">
        <f>IF(ISBLANK(J48),,ROUNDDOWN(U$1/K48,0))</f>
        <v/>
      </c>
    </row>
    <row r="49" hidden="1" ht="14" customHeight="1">
      <c r="A49" s="59" t="inlineStr">
        <is>
          <t>XOM</t>
        </is>
      </c>
      <c r="B49" s="60" t="n">
        <v>7</v>
      </c>
      <c r="C49" s="61" t="n">
        <v>103.4</v>
      </c>
      <c r="D49" s="61" t="n">
        <v>42.857</v>
      </c>
      <c r="E49" s="61" t="n">
        <v>1.976</v>
      </c>
      <c r="F49" s="62" t="n"/>
      <c r="G49" s="62" t="n">
        <v>45154</v>
      </c>
      <c r="H49" s="62" t="n"/>
      <c r="I49" s="62" t="n">
        <v>45156</v>
      </c>
      <c r="J49" s="63">
        <f>IF(ISBLANK(F49:G49),,IF(COUNTA(F49)=0,G49,F49))</f>
        <v/>
      </c>
      <c r="K49" s="64">
        <f>IFERROR(__xludf.DUMMYFUNCTION("if(isblank(J49),,index(googlefinance(A49,K$2,J49-1),2,2))"),108.16)</f>
        <v/>
      </c>
      <c r="L49" s="65">
        <f>IF(ISBLANK(H49:I49),,IF(COUNTA(H49)=0,I49,H49))</f>
        <v/>
      </c>
      <c r="M49" s="66">
        <f>IFERROR(__xludf.DUMMYFUNCTION("if(isblank(L49),, index(googlefinance(A49,M$2,L49-1),2,2))"),108.4)</f>
        <v/>
      </c>
      <c r="N49" s="67">
        <f>IFERROR(__xludf.DUMMYFUNCTION("if(isblank(A49),,googlefinance(A49))"),103.22)</f>
        <v/>
      </c>
      <c r="O49" s="68">
        <f>IF(ISBLANK(J49),,IF(ISBLANK(L49),"Ongoing","Completed"))</f>
        <v/>
      </c>
      <c r="P49" s="68">
        <f>IF(ISBLANK(A49),,IF(AND(COUNTA(F49)=1,T49&gt;0),"Profit",IF(AND(COUNTA(G49)=1,T49&lt;0),"Profit","Loss")))</f>
        <v/>
      </c>
      <c r="Q49" s="53">
        <f>IF(ISBLANK(U49),,IF(P49="Profit",IF(T49&lt;0,U49*-T49,U49*T49),IF(T49&gt;0,U49*-T49,U49*T49)))</f>
        <v/>
      </c>
      <c r="R49" s="68" t="n"/>
      <c r="S49" s="69">
        <f>IF($Q49&gt;0, TRUE, FALSE)</f>
        <v/>
      </c>
      <c r="T49" s="68">
        <f>IF(ISBLANK(J49),,IF(ISBLANK(L49),N49-K49,M49-K49))</f>
        <v/>
      </c>
      <c r="U49" s="55">
        <f>IF(ISBLANK(J49),,ROUNDDOWN(U$1/K49,0))</f>
        <v/>
      </c>
    </row>
    <row r="50" hidden="1" ht="14" customHeight="1">
      <c r="A50" s="59" t="inlineStr">
        <is>
          <t>GD</t>
        </is>
      </c>
      <c r="B50" s="60" t="n">
        <v>9</v>
      </c>
      <c r="C50" s="61" t="n">
        <v>13.44</v>
      </c>
      <c r="D50" s="61" t="n">
        <v>55.556</v>
      </c>
      <c r="E50" s="61" t="n">
        <v>1.185</v>
      </c>
      <c r="F50" s="62" t="n"/>
      <c r="G50" s="62" t="n">
        <v>45155</v>
      </c>
      <c r="H50" s="62" t="n"/>
      <c r="I50" s="62" t="n">
        <v>45166</v>
      </c>
      <c r="J50" s="63">
        <f>IF(ISBLANK(F50:G50),,IF(COUNTA(F50)=0,G50,F50))</f>
        <v/>
      </c>
      <c r="K50" s="64">
        <f>IFERROR(__xludf.DUMMYFUNCTION("if(isblank(J50),,index(googlefinance(A50,K$2,J50-1),2,2))"),223.59)</f>
        <v/>
      </c>
      <c r="L50" s="65">
        <f>IF(ISBLANK(H50:I50),,IF(COUNTA(H50)=0,I50,H50))</f>
        <v/>
      </c>
      <c r="M50" s="66">
        <f>IFERROR(__xludf.DUMMYFUNCTION("if(isblank(L50),, index(googlefinance(A50,M$2,L50-1),2,2))"),225.35)</f>
        <v/>
      </c>
      <c r="N50" s="67">
        <f>IFERROR(__xludf.DUMMYFUNCTION("if(isblank(A50),,googlefinance(A50))"),256.54)</f>
        <v/>
      </c>
      <c r="O50" s="68">
        <f>IF(ISBLANK(J50),,IF(ISBLANK(L50),"Ongoing","Completed"))</f>
        <v/>
      </c>
      <c r="P50" s="68">
        <f>IF(ISBLANK(A50),,IF(AND(COUNTA(F50)=1,T50&gt;0),"Profit",IF(AND(COUNTA(G50)=1,T50&lt;0),"Profit","Loss")))</f>
        <v/>
      </c>
      <c r="Q50" s="53">
        <f>IF(ISBLANK(U50),,IF(P50="Profit",IF(T50&lt;0,U50*-T50,U50*T50),IF(T50&gt;0,U50*-T50,U50*T50)))</f>
        <v/>
      </c>
      <c r="R50" s="68" t="n"/>
      <c r="S50" s="69">
        <f>IF($Q50&gt;0, TRUE, FALSE)</f>
        <v/>
      </c>
      <c r="T50" s="68">
        <f>IF(ISBLANK(J50),,IF(ISBLANK(L50),N50-K50,M50-K50))</f>
        <v/>
      </c>
      <c r="U50" s="55">
        <f>IF(ISBLANK(J50),,ROUNDDOWN(U$1/K50,0))</f>
        <v/>
      </c>
    </row>
    <row r="51" hidden="1" ht="14" customHeight="1">
      <c r="A51" s="59" t="inlineStr">
        <is>
          <t>NWS</t>
        </is>
      </c>
      <c r="B51" s="60" t="n">
        <v>10</v>
      </c>
      <c r="C51" s="61" t="n">
        <v>144.06</v>
      </c>
      <c r="D51" s="61" t="n">
        <v>10</v>
      </c>
      <c r="E51" s="61" t="n">
        <v>1.788</v>
      </c>
      <c r="F51" s="62" t="n"/>
      <c r="G51" s="62" t="n">
        <v>45155</v>
      </c>
      <c r="H51" s="62" t="n"/>
      <c r="I51" s="62" t="n">
        <v>45166</v>
      </c>
      <c r="J51" s="63">
        <f>IF(ISBLANK(F51:G51),,IF(COUNTA(F51)=0,G51,F51))</f>
        <v/>
      </c>
      <c r="K51" s="64">
        <f>IFERROR(__xludf.DUMMYFUNCTION("if(isblank(J51),,index(googlefinance(A51,K$2,J51-1),2,2))"),21.59)</f>
        <v/>
      </c>
      <c r="L51" s="65">
        <f>IF(ISBLANK(H51:I51),,IF(COUNTA(H51)=0,I51,H51))</f>
        <v/>
      </c>
      <c r="M51" s="66">
        <f>IFERROR(__xludf.DUMMYFUNCTION("if(isblank(L51),, index(googlefinance(A51,M$2,L51-1),2,2))"),21.32)</f>
        <v/>
      </c>
      <c r="N51" s="67">
        <f>IFERROR(__xludf.DUMMYFUNCTION("if(isblank(A51),,googlefinance(A51))"),25.48)</f>
        <v/>
      </c>
      <c r="O51" s="68">
        <f>IF(ISBLANK(J51),,IF(ISBLANK(L51),"Ongoing","Completed"))</f>
        <v/>
      </c>
      <c r="P51" s="68">
        <f>IF(ISBLANK(A51),,IF(AND(COUNTA(F51)=1,T51&gt;0),"Profit",IF(AND(COUNTA(G51)=1,T51&lt;0),"Profit","Loss")))</f>
        <v/>
      </c>
      <c r="Q51" s="53">
        <f>IF(ISBLANK(U51),,IF(P51="Profit",IF(T51&lt;0,U51*-T51,U51*T51),IF(T51&gt;0,U51*-T51,U51*T51)))</f>
        <v/>
      </c>
      <c r="R51" s="71" t="b">
        <v>1</v>
      </c>
      <c r="S51" s="69">
        <f>IF($Q51&gt;0, TRUE, FALSE)</f>
        <v/>
      </c>
      <c r="T51" s="68">
        <f>IF(ISBLANK(J51),,IF(ISBLANK(L51),N51-K51,M51-K51))</f>
        <v/>
      </c>
      <c r="U51" s="55">
        <f>IF(ISBLANK(J51),,ROUNDDOWN(U$1/K51,0))</f>
        <v/>
      </c>
    </row>
    <row r="52" hidden="1" ht="14" customHeight="1">
      <c r="A52" s="59" t="inlineStr">
        <is>
          <t>OXY</t>
        </is>
      </c>
      <c r="B52" s="60" t="n">
        <v>5</v>
      </c>
      <c r="C52" s="61" t="n">
        <v>635.86</v>
      </c>
      <c r="D52" s="61" t="n">
        <v>60</v>
      </c>
      <c r="E52" s="61" t="n">
        <v>6.215</v>
      </c>
      <c r="F52" s="62" t="n"/>
      <c r="G52" s="62" t="n">
        <v>45155</v>
      </c>
      <c r="H52" s="62" t="n"/>
      <c r="I52" s="62" t="n">
        <v>45156</v>
      </c>
      <c r="J52" s="63">
        <f>IF(ISBLANK(F52:G52),,IF(COUNTA(F52)=0,G52,F52))</f>
        <v/>
      </c>
      <c r="K52" s="64">
        <f>IFERROR(__xludf.DUMMYFUNCTION("if(isblank(J52),,index(googlefinance(A52,K$2,J52-1),2,2))"),62.55)</f>
        <v/>
      </c>
      <c r="L52" s="65">
        <f>IF(ISBLANK(H52:I52),,IF(COUNTA(H52)=0,I52,H52))</f>
        <v/>
      </c>
      <c r="M52" s="66">
        <f>IFERROR(__xludf.DUMMYFUNCTION("if(isblank(L52),, index(googlefinance(A52,M$2,L52-1),2,2))"),63.16)</f>
        <v/>
      </c>
      <c r="N52" s="67">
        <f>IFERROR(__xludf.DUMMYFUNCTION("if(isblank(A52),,googlefinance(A52))"),60.61)</f>
        <v/>
      </c>
      <c r="O52" s="68">
        <f>IF(ISBLANK(J52),,IF(ISBLANK(L52),"Ongoing","Completed"))</f>
        <v/>
      </c>
      <c r="P52" s="68">
        <f>IF(ISBLANK(A52),,IF(AND(COUNTA(F52)=1,T52&gt;0),"Profit",IF(AND(COUNTA(G52)=1,T52&lt;0),"Profit","Loss")))</f>
        <v/>
      </c>
      <c r="Q52" s="53">
        <f>IF(ISBLANK(U52),,IF(P52="Profit",IF(T52&lt;0,U52*-T52,U52*T52),IF(T52&gt;0,U52*-T52,U52*T52)))</f>
        <v/>
      </c>
      <c r="R52" s="68" t="n"/>
      <c r="S52" s="69">
        <f>IF($Q52&gt;0, TRUE, FALSE)</f>
        <v/>
      </c>
      <c r="T52" s="68">
        <f>IF(ISBLANK(J52),,IF(ISBLANK(L52),N52-K52,M52-K52))</f>
        <v/>
      </c>
      <c r="U52" s="55">
        <f>IF(ISBLANK(J52),,ROUNDDOWN(U$1/K52,0))</f>
        <v/>
      </c>
    </row>
    <row r="53" hidden="1" ht="14" customHeight="1">
      <c r="A53" s="59" t="inlineStr">
        <is>
          <t>WST</t>
        </is>
      </c>
      <c r="B53" s="60" t="n">
        <v>7</v>
      </c>
      <c r="C53" s="61" t="n">
        <v>203.73</v>
      </c>
      <c r="D53" s="61" t="n">
        <v>42.857</v>
      </c>
      <c r="E53" s="61" t="n">
        <v>2.662</v>
      </c>
      <c r="F53" s="62" t="n"/>
      <c r="G53" s="62" t="n">
        <v>45155</v>
      </c>
      <c r="H53" s="62" t="n"/>
      <c r="I53" s="62" t="n">
        <v>45163</v>
      </c>
      <c r="J53" s="63">
        <f>IF(ISBLANK(F53:G53),,IF(COUNTA(F53)=0,G53,F53))</f>
        <v/>
      </c>
      <c r="K53" s="64">
        <f>IFERROR(__xludf.DUMMYFUNCTION("if(isblank(J53),,index(googlefinance(A53,K$2,J53-1),2,2))"),397.49)</f>
        <v/>
      </c>
      <c r="L53" s="65">
        <f>IF(ISBLANK(H53:I53),,IF(COUNTA(H53)=0,I53,H53))</f>
        <v/>
      </c>
      <c r="M53" s="66">
        <f>IFERROR(__xludf.DUMMYFUNCTION("if(isblank(L53),, index(googlefinance(A53,M$2,L53-1),2,2))"),391.72)</f>
        <v/>
      </c>
      <c r="N53" s="67">
        <f>IFERROR(__xludf.DUMMYFUNCTION("if(isblank(A53),,googlefinance(A53))"),338.27)</f>
        <v/>
      </c>
      <c r="O53" s="68">
        <f>IF(ISBLANK(J53),,IF(ISBLANK(L53),"Ongoing","Completed"))</f>
        <v/>
      </c>
      <c r="P53" s="68">
        <f>IF(ISBLANK(A53),,IF(AND(COUNTA(F53)=1,T53&gt;0),"Profit",IF(AND(COUNTA(G53)=1,T53&lt;0),"Profit","Loss")))</f>
        <v/>
      </c>
      <c r="Q53" s="53">
        <f>IF(ISBLANK(U53),,IF(P53="Profit",IF(T53&lt;0,U53*-T53,U53*T53),IF(T53&gt;0,U53*-T53,U53*T53)))</f>
        <v/>
      </c>
      <c r="R53" s="71" t="b">
        <v>1</v>
      </c>
      <c r="S53" s="69">
        <f>IF($Q53&gt;0, TRUE, FALSE)</f>
        <v/>
      </c>
      <c r="T53" s="68">
        <f>IF(ISBLANK(J53),,IF(ISBLANK(L53),N53-K53,M53-K53))</f>
        <v/>
      </c>
      <c r="U53" s="55">
        <f>IF(ISBLANK(J53),,ROUNDDOWN(U$1/K53,0))</f>
        <v/>
      </c>
    </row>
    <row r="54" hidden="1" ht="14" customHeight="1">
      <c r="A54" s="59" t="inlineStr">
        <is>
          <t>AON</t>
        </is>
      </c>
      <c r="B54" s="60" t="n">
        <v>18</v>
      </c>
      <c r="C54" s="61" t="n">
        <v>229.62</v>
      </c>
      <c r="D54" s="61" t="n">
        <v>38.889</v>
      </c>
      <c r="E54" s="61" t="n">
        <v>1.891</v>
      </c>
      <c r="F54" s="62" t="n">
        <v>45156</v>
      </c>
      <c r="G54" s="62" t="n"/>
      <c r="H54" s="62" t="n">
        <v>45174</v>
      </c>
      <c r="I54" s="62" t="n"/>
      <c r="J54" s="63">
        <f>IF(ISBLANK(F54:G54),,IF(COUNTA(F54)=0,G54,F54))</f>
        <v/>
      </c>
      <c r="K54" s="64">
        <f>IFERROR(__xludf.DUMMYFUNCTION("if(isblank(J54),,index(googlefinance(A54,K$2,J54-1),2,2))"),319)</f>
        <v/>
      </c>
      <c r="L54" s="65">
        <f>IF(ISBLANK(H54:I54),,IF(COUNTA(H54)=0,I54,H54))</f>
        <v/>
      </c>
      <c r="M54" s="66">
        <f>IFERROR(__xludf.DUMMYFUNCTION("if(isblank(L54),, index(googlefinance(A54,M$2,L54-1),2,2))"),329.45)</f>
        <v/>
      </c>
      <c r="N54" s="67">
        <f>IFERROR(__xludf.DUMMYFUNCTION("if(isblank(A54),,googlefinance(A54))"),290.89)</f>
        <v/>
      </c>
      <c r="O54" s="68">
        <f>IF(ISBLANK(J54),,IF(ISBLANK(L54),"Ongoing","Completed"))</f>
        <v/>
      </c>
      <c r="P54" s="68">
        <f>IF(ISBLANK(A54),,IF(AND(COUNTA(F54)=1,T54&gt;0),"Profit",IF(AND(COUNTA(G54)=1,T54&lt;0),"Profit","Loss")))</f>
        <v/>
      </c>
      <c r="Q54" s="53">
        <f>IF(ISBLANK(U54),,IF(P54="Profit",IF(T54&lt;0,U54*-T54,U54*T54),IF(T54&gt;0,U54*-T54,U54*T54)))</f>
        <v/>
      </c>
      <c r="R54" s="71" t="b">
        <v>1</v>
      </c>
      <c r="S54" s="69">
        <f>IF($Q54&gt;0, TRUE, FALSE)</f>
        <v/>
      </c>
      <c r="T54" s="68">
        <f>IF(ISBLANK(J54),,IF(ISBLANK(L54),N54-K54,M54-K54))</f>
        <v/>
      </c>
      <c r="U54" s="55">
        <f>IF(ISBLANK(J54),,ROUNDDOWN(U$1/K54,0))</f>
        <v/>
      </c>
    </row>
    <row r="55" hidden="1" ht="14" customHeight="1">
      <c r="A55" s="59" t="inlineStr">
        <is>
          <t>MKTX</t>
        </is>
      </c>
      <c r="B55" s="60" t="n">
        <v>11</v>
      </c>
      <c r="C55" s="61" t="n">
        <v>147.97</v>
      </c>
      <c r="D55" s="61" t="n">
        <v>45.455</v>
      </c>
      <c r="E55" s="61" t="n">
        <v>1.991</v>
      </c>
      <c r="F55" s="62" t="n">
        <v>45156</v>
      </c>
      <c r="G55" s="62" t="n"/>
      <c r="H55" s="62" t="n">
        <v>45162</v>
      </c>
      <c r="I55" s="62" t="n"/>
      <c r="J55" s="63">
        <f>IF(ISBLANK(F55:G55),,IF(COUNTA(F55)=0,G55,F55))</f>
        <v/>
      </c>
      <c r="K55" s="64">
        <f>IFERROR(__xludf.DUMMYFUNCTION("if(isblank(J55),,index(googlefinance(A55,K$2,J55-1),2,2))"),249.18)</f>
        <v/>
      </c>
      <c r="L55" s="65">
        <f>IF(ISBLANK(H55:I55),,IF(COUNTA(H55)=0,I55,H55))</f>
        <v/>
      </c>
      <c r="M55" s="66">
        <f>IFERROR(__xludf.DUMMYFUNCTION("if(isblank(L55),, index(googlefinance(A55,M$2,L55-1),2,2))"),250.43)</f>
        <v/>
      </c>
      <c r="N55" s="67">
        <f>IFERROR(__xludf.DUMMYFUNCTION("if(isblank(A55),,googlefinance(A55))"),278.97)</f>
        <v/>
      </c>
      <c r="O55" s="68">
        <f>IF(ISBLANK(J55),,IF(ISBLANK(L55),"Ongoing","Completed"))</f>
        <v/>
      </c>
      <c r="P55" s="68">
        <f>IF(ISBLANK(A55),,IF(AND(COUNTA(F55)=1,T55&gt;0),"Profit",IF(AND(COUNTA(G55)=1,T55&lt;0),"Profit","Loss")))</f>
        <v/>
      </c>
      <c r="Q55" s="53">
        <f>IF(ISBLANK(U55),,IF(P55="Profit",IF(T55&lt;0,U55*-T55,U55*T55),IF(T55&gt;0,U55*-T55,U55*T55)))</f>
        <v/>
      </c>
      <c r="R55" s="68" t="n"/>
      <c r="S55" s="69">
        <f>IF($Q55&gt;0, TRUE, FALSE)</f>
        <v/>
      </c>
      <c r="T55" s="68">
        <f>IF(ISBLANK(J55),,IF(ISBLANK(L55),N55-K55,M55-K55))</f>
        <v/>
      </c>
      <c r="U55" s="55">
        <f>IF(ISBLANK(J55),,ROUNDDOWN(U$1/K55,0))</f>
        <v/>
      </c>
    </row>
    <row r="56" hidden="1" ht="14" customHeight="1">
      <c r="A56" s="59" t="inlineStr">
        <is>
          <t>HOLX</t>
        </is>
      </c>
      <c r="B56" s="60" t="n">
        <v>13</v>
      </c>
      <c r="C56" s="61" t="n">
        <v>107.36</v>
      </c>
      <c r="D56" s="61" t="n">
        <v>38.462</v>
      </c>
      <c r="E56" s="61" t="n">
        <v>1.705</v>
      </c>
      <c r="F56" s="62" t="n">
        <v>45159</v>
      </c>
      <c r="G56" s="62" t="n"/>
      <c r="H56" s="62" t="n">
        <v>45162</v>
      </c>
      <c r="I56" s="62" t="n"/>
      <c r="J56" s="63">
        <f>IF(ISBLANK(F56:G56),,IF(COUNTA(F56)=0,G56,F56))</f>
        <v/>
      </c>
      <c r="K56" s="64">
        <f>IFERROR(__xludf.DUMMYFUNCTION("if(isblank(J56),,index(googlefinance(A56,K$2,J56-1),2,2))"),75.23)</f>
        <v/>
      </c>
      <c r="L56" s="65">
        <f>IF(ISBLANK(H56:I56),,IF(COUNTA(H56)=0,I56,H56))</f>
        <v/>
      </c>
      <c r="M56" s="66">
        <f>IFERROR(__xludf.DUMMYFUNCTION("if(isblank(L56),, index(googlefinance(A56,M$2,L56-1),2,2))"),75.31)</f>
        <v/>
      </c>
      <c r="N56" s="67">
        <f>IFERROR(__xludf.DUMMYFUNCTION("if(isblank(A56),,googlefinance(A56))"),72.37)</f>
        <v/>
      </c>
      <c r="O56" s="68">
        <f>IF(ISBLANK(J56),,IF(ISBLANK(L56),"Ongoing","Completed"))</f>
        <v/>
      </c>
      <c r="P56" s="68">
        <f>IF(ISBLANK(A56),,IF(AND(COUNTA(F56)=1,T56&gt;0),"Profit",IF(AND(COUNTA(G56)=1,T56&lt;0),"Profit","Loss")))</f>
        <v/>
      </c>
      <c r="Q56" s="53">
        <f>IF(ISBLANK(U56),,IF(P56="Profit",IF(T56&lt;0,U56*-T56,U56*T56),IF(T56&gt;0,U56*-T56,U56*T56)))</f>
        <v/>
      </c>
      <c r="R56" s="71" t="b">
        <v>1</v>
      </c>
      <c r="S56" s="69">
        <f>IF($Q56&gt;0, TRUE, FALSE)</f>
        <v/>
      </c>
      <c r="T56" s="68">
        <f>IF(ISBLANK(J56),,IF(ISBLANK(L56),N56-K56,M56-K56))</f>
        <v/>
      </c>
      <c r="U56" s="55">
        <f>IF(ISBLANK(J56),,ROUNDDOWN(U$1/K56,0))</f>
        <v/>
      </c>
    </row>
    <row r="57" hidden="1" ht="14" customHeight="1">
      <c r="A57" s="59" t="inlineStr">
        <is>
          <t>MRNA</t>
        </is>
      </c>
      <c r="B57" s="60" t="n">
        <v>12</v>
      </c>
      <c r="C57" s="61" t="n">
        <v>265.07</v>
      </c>
      <c r="D57" s="61" t="n">
        <v>33.333</v>
      </c>
      <c r="E57" s="61" t="n">
        <v>1.821</v>
      </c>
      <c r="F57" s="62" t="n">
        <v>45159</v>
      </c>
      <c r="G57" s="62" t="n"/>
      <c r="H57" s="62" t="n">
        <v>45174</v>
      </c>
      <c r="I57" s="62" t="n"/>
      <c r="J57" s="63">
        <f>IF(ISBLANK(F57:G57),,IF(COUNTA(F57)=0,G57,F57))</f>
        <v/>
      </c>
      <c r="K57" s="64">
        <f>IFERROR(__xludf.DUMMYFUNCTION("if(isblank(J57),,index(googlefinance(A57,K$2,J57-1),2,2))"),111.08)</f>
        <v/>
      </c>
      <c r="L57" s="65">
        <f>IF(ISBLANK(H57:I57),,IF(COUNTA(H57)=0,I57,H57))</f>
        <v/>
      </c>
      <c r="M57" s="66">
        <f>IFERROR(__xludf.DUMMYFUNCTION("if(isblank(L57),, index(googlefinance(A57,M$2,L57-1),2,2))"),109.36)</f>
        <v/>
      </c>
      <c r="N57" s="67">
        <f>IFERROR(__xludf.DUMMYFUNCTION("if(isblank(A57),,googlefinance(A57))"),108.58)</f>
        <v/>
      </c>
      <c r="O57" s="68">
        <f>IF(ISBLANK(J57),,IF(ISBLANK(L57),"Ongoing","Completed"))</f>
        <v/>
      </c>
      <c r="P57" s="68">
        <f>IF(ISBLANK(A57),,IF(AND(COUNTA(F57)=1,T57&gt;0),"Profit",IF(AND(COUNTA(G57)=1,T57&lt;0),"Profit","Loss")))</f>
        <v/>
      </c>
      <c r="Q57" s="53">
        <f>IF(ISBLANK(U57),,IF(P57="Profit",IF(T57&lt;0,U57*-T57,U57*T57),IF(T57&gt;0,U57*-T57,U57*T57)))</f>
        <v/>
      </c>
      <c r="R57" s="71" t="b">
        <v>1</v>
      </c>
      <c r="S57" s="69">
        <f>IF($Q57&gt;0, TRUE, FALSE)</f>
        <v/>
      </c>
      <c r="T57" s="68">
        <f>IF(ISBLANK(J57),,IF(ISBLANK(L57),N57-K57,M57-K57))</f>
        <v/>
      </c>
      <c r="U57" s="55">
        <f>IF(ISBLANK(J57),,ROUNDDOWN(U$1/K57,0))</f>
        <v/>
      </c>
    </row>
    <row r="58" hidden="1" ht="14" customHeight="1">
      <c r="A58" s="59" t="inlineStr">
        <is>
          <t>PANW</t>
        </is>
      </c>
      <c r="B58" s="60" t="n">
        <v>8</v>
      </c>
      <c r="C58" s="61" t="n">
        <v>765.02</v>
      </c>
      <c r="D58" s="61" t="n">
        <v>87.5</v>
      </c>
      <c r="E58" s="61" t="n">
        <v>17.97</v>
      </c>
      <c r="F58" s="62" t="n">
        <v>45159</v>
      </c>
      <c r="G58" s="62" t="n"/>
      <c r="H58" s="62" t="n">
        <v>45184</v>
      </c>
      <c r="I58" s="62" t="n"/>
      <c r="J58" s="63">
        <f>IF(ISBLANK(F58:G58),,IF(COUNTA(F58)=0,G58,F58))</f>
        <v/>
      </c>
      <c r="K58" s="64">
        <f>IFERROR(__xludf.DUMMYFUNCTION("if(isblank(J58),,index(googlefinance(A58,K$2,J58-1),2,2))"),240.81)</f>
        <v/>
      </c>
      <c r="L58" s="65">
        <f>IF(ISBLANK(H58:I58),,IF(COUNTA(H58)=0,I58,H58))</f>
        <v/>
      </c>
      <c r="M58" s="66">
        <f>IFERROR(__xludf.DUMMYFUNCTION("if(isblank(L58),, index(googlefinance(A58,M$2,L58-1),2,2))"),245.82)</f>
        <v/>
      </c>
      <c r="N58" s="67">
        <f>IFERROR(__xludf.DUMMYFUNCTION("if(isblank(A58),,googlefinance(A58))"),286.47)</f>
        <v/>
      </c>
      <c r="O58" s="68">
        <f>IF(ISBLANK(J58),,IF(ISBLANK(L58),"Ongoing","Completed"))</f>
        <v/>
      </c>
      <c r="P58" s="68">
        <f>IF(ISBLANK(A58),,IF(AND(COUNTA(F58)=1,T58&gt;0),"Profit",IF(AND(COUNTA(G58)=1,T58&lt;0),"Profit","Loss")))</f>
        <v/>
      </c>
      <c r="Q58" s="53">
        <f>IF(ISBLANK(U58),,IF(P58="Profit",IF(T58&lt;0,U58*-T58,U58*T58),IF(T58&gt;0,U58*-T58,U58*T58)))</f>
        <v/>
      </c>
      <c r="R58" s="68" t="n"/>
      <c r="S58" s="69">
        <f>IF($Q58&gt;0, TRUE, FALSE)</f>
        <v/>
      </c>
      <c r="T58" s="68">
        <f>IF(ISBLANK(J58),,IF(ISBLANK(L58),N58-K58,M58-K58))</f>
        <v/>
      </c>
      <c r="U58" s="55">
        <f>IF(ISBLANK(J58),,ROUNDDOWN(U$1/K58,0))</f>
        <v/>
      </c>
    </row>
    <row r="59" hidden="1" ht="14" customHeight="1">
      <c r="A59" s="59" t="inlineStr">
        <is>
          <t>NOC</t>
        </is>
      </c>
      <c r="B59" s="60" t="n">
        <v>4</v>
      </c>
      <c r="C59" s="61" t="n">
        <v>8.109999999999999</v>
      </c>
      <c r="D59" s="61" t="n">
        <v>25</v>
      </c>
      <c r="E59" s="61" t="n">
        <v>1.197</v>
      </c>
      <c r="F59" s="62" t="n">
        <v>45160</v>
      </c>
      <c r="G59" s="62" t="n"/>
      <c r="H59" s="62" t="n">
        <v>45163</v>
      </c>
      <c r="I59" s="62" t="n"/>
      <c r="J59" s="63">
        <f>IF(ISBLANK(F59:G59),,IF(COUNTA(F59)=0,G59,F59))</f>
        <v/>
      </c>
      <c r="K59" s="64">
        <f>IFERROR(__xludf.DUMMYFUNCTION("if(isblank(J59),,index(googlefinance(A59,K$2,J59-1),2,2))"),433.69)</f>
        <v/>
      </c>
      <c r="L59" s="65">
        <f>IF(ISBLANK(H59:I59),,IF(COUNTA(H59)=0,I59,H59))</f>
        <v/>
      </c>
      <c r="M59" s="66">
        <f>IFERROR(__xludf.DUMMYFUNCTION("if(isblank(L59),, index(googlefinance(A59,M$2,L59-1),2,2))"),432.18)</f>
        <v/>
      </c>
      <c r="N59" s="67">
        <f>IFERROR(__xludf.DUMMYFUNCTION("if(isblank(A59),,googlefinance(A59))"),474.88)</f>
        <v/>
      </c>
      <c r="O59" s="68">
        <f>IF(ISBLANK(J59),,IF(ISBLANK(L59),"Ongoing","Completed"))</f>
        <v/>
      </c>
      <c r="P59" s="68">
        <f>IF(ISBLANK(A59),,IF(AND(COUNTA(F59)=1,T59&gt;0),"Profit",IF(AND(COUNTA(G59)=1,T59&lt;0),"Profit","Loss")))</f>
        <v/>
      </c>
      <c r="Q59" s="53">
        <f>IF(ISBLANK(U59),,IF(P59="Profit",IF(T59&lt;0,U59*-T59,U59*T59),IF(T59&gt;0,U59*-T59,U59*T59)))</f>
        <v/>
      </c>
      <c r="R59" s="68" t="n"/>
      <c r="S59" s="69">
        <f>IF($Q59&gt;0, TRUE, FALSE)</f>
        <v/>
      </c>
      <c r="T59" s="68">
        <f>IF(ISBLANK(J59),,IF(ISBLANK(L59),N59-K59,M59-K59))</f>
        <v/>
      </c>
      <c r="U59" s="55">
        <f>IF(ISBLANK(J59),,ROUNDDOWN(U$1/K59,0))</f>
        <v/>
      </c>
    </row>
    <row r="60" hidden="1" ht="14" customHeight="1">
      <c r="A60" s="59" t="inlineStr">
        <is>
          <t>BKNG</t>
        </is>
      </c>
      <c r="B60" s="60" t="n">
        <v>16</v>
      </c>
      <c r="C60" s="61" t="n">
        <v>8.220000000000001</v>
      </c>
      <c r="D60" s="61" t="n">
        <v>12.5</v>
      </c>
      <c r="E60" s="61" t="n">
        <v>1.07</v>
      </c>
      <c r="F60" s="62" t="n"/>
      <c r="G60" s="62" t="n">
        <v>45160</v>
      </c>
      <c r="H60" s="62" t="n"/>
      <c r="I60" s="62" t="n">
        <v>45168</v>
      </c>
      <c r="J60" s="63">
        <f>IF(ISBLANK(F60:G60),,IF(COUNTA(F60)=0,G60,F60))</f>
        <v/>
      </c>
      <c r="K60" s="64">
        <f>IFERROR(__xludf.DUMMYFUNCTION("if(isblank(J60),,index(googlefinance(A60,K$2,J60-1),2,2))"),3052)</f>
        <v/>
      </c>
      <c r="L60" s="65">
        <f>IF(ISBLANK(H60:I60),,IF(COUNTA(H60)=0,I60,H60))</f>
        <v/>
      </c>
      <c r="M60" s="66">
        <f>IFERROR(__xludf.DUMMYFUNCTION("if(isblank(L60),, index(googlefinance(A60,M$2,L60-1),2,2))"),3110.86)</f>
        <v/>
      </c>
      <c r="N60" s="67">
        <f>IFERROR(__xludf.DUMMYFUNCTION("if(isblank(A60),,googlefinance(A60))"),3409.27)</f>
        <v/>
      </c>
      <c r="O60" s="68">
        <f>IF(ISBLANK(J60),,IF(ISBLANK(L60),"Ongoing","Completed"))</f>
        <v/>
      </c>
      <c r="P60" s="68">
        <f>IF(ISBLANK(A60),,IF(AND(COUNTA(F60)=1,T60&gt;0),"Profit",IF(AND(COUNTA(G60)=1,T60&lt;0),"Profit","Loss")))</f>
        <v/>
      </c>
      <c r="Q60" s="53">
        <f>IF(ISBLANK(U60),,IF(P60="Profit",IF(T60&lt;0,U60*-T60,U60*T60),IF(T60&gt;0,U60*-T60,U60*T60)))</f>
        <v/>
      </c>
      <c r="R60" s="68" t="n"/>
      <c r="S60" s="69">
        <f>IF($Q60&gt;0, TRUE, FALSE)</f>
        <v/>
      </c>
      <c r="T60" s="68">
        <f>IF(ISBLANK(J60),,IF(ISBLANK(L60),N60-K60,M60-K60))</f>
        <v/>
      </c>
      <c r="U60" s="55">
        <f>IF(ISBLANK(J60),,ROUNDDOWN(U$1/K60,0))</f>
        <v/>
      </c>
    </row>
    <row r="61" hidden="1" ht="14" customHeight="1">
      <c r="A61" s="59" t="inlineStr">
        <is>
          <t>CDNS</t>
        </is>
      </c>
      <c r="B61" s="60" t="n">
        <v>11</v>
      </c>
      <c r="C61" s="61" t="n">
        <v>95</v>
      </c>
      <c r="D61" s="61" t="n">
        <v>45.455</v>
      </c>
      <c r="E61" s="61" t="n">
        <v>1.57</v>
      </c>
      <c r="F61" s="62" t="n">
        <v>45161</v>
      </c>
      <c r="G61" s="62" t="n"/>
      <c r="H61" s="62" t="n">
        <v>45177</v>
      </c>
      <c r="I61" s="62" t="n"/>
      <c r="J61" s="63">
        <f>IF(ISBLANK(F61:G61),,IF(COUNTA(F61)=0,G61,F61))</f>
        <v/>
      </c>
      <c r="K61" s="64">
        <f>IFERROR(__xludf.DUMMYFUNCTION("if(isblank(J61),,index(googlefinance(A61,K$2,J61-1),2,2))"),225.51)</f>
        <v/>
      </c>
      <c r="L61" s="65">
        <f>IF(ISBLANK(H61:I61),,IF(COUNTA(H61)=0,I61,H61))</f>
        <v/>
      </c>
      <c r="M61" s="66">
        <f>IFERROR(__xludf.DUMMYFUNCTION("if(isblank(L61),, index(googlefinance(A61,M$2,L61-1),2,2))"),241.46)</f>
        <v/>
      </c>
      <c r="N61" s="67">
        <f>IFERROR(__xludf.DUMMYFUNCTION("if(isblank(A61),,googlefinance(A61))"),257.28)</f>
        <v/>
      </c>
      <c r="O61" s="68">
        <f>IF(ISBLANK(J61),,IF(ISBLANK(L61),"Ongoing","Completed"))</f>
        <v/>
      </c>
      <c r="P61" s="68">
        <f>IF(ISBLANK(A61),,IF(AND(COUNTA(F61)=1,T61&gt;0),"Profit",IF(AND(COUNTA(G61)=1,T61&lt;0),"Profit","Loss")))</f>
        <v/>
      </c>
      <c r="Q61" s="53">
        <f>IF(ISBLANK(U61),,IF(P61="Profit",IF(T61&lt;0,U61*-T61,U61*T61),IF(T61&gt;0,U61*-T61,U61*T61)))</f>
        <v/>
      </c>
      <c r="R61" s="68" t="n"/>
      <c r="S61" s="69">
        <f>IF($Q61&gt;0, TRUE, FALSE)</f>
        <v/>
      </c>
      <c r="T61" s="68">
        <f>IF(ISBLANK(J61),,IF(ISBLANK(L61),N61-K61,M61-K61))</f>
        <v/>
      </c>
      <c r="U61" s="55">
        <f>IF(ISBLANK(J61),,ROUNDDOWN(U$1/K61,0))</f>
        <v/>
      </c>
    </row>
    <row r="62" hidden="1" ht="14" customHeight="1">
      <c r="A62" s="59" t="inlineStr">
        <is>
          <t>ANET</t>
        </is>
      </c>
      <c r="B62" s="60" t="n">
        <v>16</v>
      </c>
      <c r="C62" s="61" t="n">
        <v>393.195</v>
      </c>
      <c r="D62" s="61" t="n">
        <v>50</v>
      </c>
      <c r="E62" s="61" t="n">
        <v>2.532</v>
      </c>
      <c r="F62" s="62" t="n"/>
      <c r="G62" s="62" t="n">
        <v>45162</v>
      </c>
      <c r="H62" s="62" t="n"/>
      <c r="I62" s="62" t="n">
        <v>45167</v>
      </c>
      <c r="J62" s="63">
        <f>IF(ISBLANK(F62:G62),,IF(COUNTA(F62)=0,G62,F62))</f>
        <v/>
      </c>
      <c r="K62" s="64">
        <f>IFERROR(__xludf.DUMMYFUNCTION("if(isblank(J62),,index(googlefinance(A62,K$2,J62-1),2,2))"),189.83)</f>
        <v/>
      </c>
      <c r="L62" s="65">
        <f>IF(ISBLANK(H62:I62),,IF(COUNTA(H62)=0,I62,H62))</f>
        <v/>
      </c>
      <c r="M62" s="66">
        <f>IFERROR(__xludf.DUMMYFUNCTION("if(isblank(L62),, index(googlefinance(A62,M$2,L62-1),2,2))"),181.96)</f>
        <v/>
      </c>
      <c r="N62" s="67">
        <f>IFERROR(__xludf.DUMMYFUNCTION("if(isblank(A62),,googlefinance(A62))"),229.4)</f>
        <v/>
      </c>
      <c r="O62" s="68">
        <f>IF(ISBLANK(J62),,IF(ISBLANK(L62),"Ongoing","Completed"))</f>
        <v/>
      </c>
      <c r="P62" s="68">
        <f>IF(ISBLANK(A62),,IF(AND(COUNTA(F62)=1,T62&gt;0),"Profit",IF(AND(COUNTA(G62)=1,T62&lt;0),"Profit","Loss")))</f>
        <v/>
      </c>
      <c r="Q62" s="53">
        <f>IF(ISBLANK(U62),,IF(P62="Profit",IF(T62&lt;0,U62*-T62,U62*T62),IF(T62&gt;0,U62*-T62,U62*T62)))</f>
        <v/>
      </c>
      <c r="R62" s="68" t="n"/>
      <c r="S62" s="69">
        <f>IF($Q62&gt;0, TRUE, FALSE)</f>
        <v/>
      </c>
      <c r="T62" s="68">
        <f>IF(ISBLANK(J62),,IF(ISBLANK(L62),N62-K62,M62-K62))</f>
        <v/>
      </c>
      <c r="U62" s="55">
        <f>IF(ISBLANK(J62),,ROUNDDOWN(U$1/K62,0))</f>
        <v/>
      </c>
    </row>
    <row r="63" hidden="1" ht="14" customHeight="1">
      <c r="A63" s="59" t="inlineStr">
        <is>
          <t>PM</t>
        </is>
      </c>
      <c r="B63" s="60" t="n">
        <v>11</v>
      </c>
      <c r="C63" s="61" t="n">
        <v>126.36</v>
      </c>
      <c r="D63" s="61" t="n">
        <v>36.364</v>
      </c>
      <c r="E63" s="61" t="n">
        <v>2.108</v>
      </c>
      <c r="F63" s="62" t="n">
        <v>45163</v>
      </c>
      <c r="G63" s="62" t="n"/>
      <c r="H63" s="62" t="n">
        <v>45174</v>
      </c>
      <c r="I63" s="62" t="n"/>
      <c r="J63" s="63">
        <f>IF(ISBLANK(F63:G63),,IF(COUNTA(F63)=0,G63,F63))</f>
        <v/>
      </c>
      <c r="K63" s="64">
        <f>IFERROR(__xludf.DUMMYFUNCTION("if(isblank(J63),,index(googlefinance(A63,K$2,J63-1),2,2))"),94.08)</f>
        <v/>
      </c>
      <c r="L63" s="65">
        <f>IF(ISBLANK(H63:I63),,IF(COUNTA(H63)=0,I63,H63))</f>
        <v/>
      </c>
      <c r="M63" s="66">
        <f>IFERROR(__xludf.DUMMYFUNCTION("if(isblank(L63),, index(googlefinance(A63,M$2,L63-1),2,2))"),94.51)</f>
        <v/>
      </c>
      <c r="N63" s="67">
        <f>IFERROR(__xludf.DUMMYFUNCTION("if(isblank(A63),,googlefinance(A63))"),95.42)</f>
        <v/>
      </c>
      <c r="O63" s="68">
        <f>IF(ISBLANK(J63),,IF(ISBLANK(L63),"Ongoing","Completed"))</f>
        <v/>
      </c>
      <c r="P63" s="68">
        <f>IF(ISBLANK(A63),,IF(AND(COUNTA(F63)=1,T63&gt;0),"Profit",IF(AND(COUNTA(G63)=1,T63&lt;0),"Profit","Loss")))</f>
        <v/>
      </c>
      <c r="Q63" s="53">
        <f>IF(ISBLANK(U63),,IF(P63="Profit",IF(T63&lt;0,U63*-T63,U63*T63),IF(T63&gt;0,U63*-T63,U63*T63)))</f>
        <v/>
      </c>
      <c r="R63" s="71" t="b">
        <v>1</v>
      </c>
      <c r="S63" s="69">
        <f>IF($Q63&gt;0, TRUE, FALSE)</f>
        <v/>
      </c>
      <c r="T63" s="68">
        <f>IF(ISBLANK(J63),,IF(ISBLANK(L63),N63-K63,M63-K63))</f>
        <v/>
      </c>
      <c r="U63" s="55">
        <f>IF(ISBLANK(J63),,ROUNDDOWN(U$1/K63,0))</f>
        <v/>
      </c>
    </row>
    <row r="64" hidden="1" ht="14" customHeight="1">
      <c r="A64" s="59" t="inlineStr">
        <is>
          <t>CAH</t>
        </is>
      </c>
      <c r="B64" s="60" t="n">
        <v>13</v>
      </c>
      <c r="C64" s="61" t="n">
        <v>191.58</v>
      </c>
      <c r="D64" s="61" t="n">
        <v>30.769</v>
      </c>
      <c r="E64" s="61" t="n">
        <v>2.184</v>
      </c>
      <c r="F64" s="62" t="n">
        <v>45166</v>
      </c>
      <c r="G64" s="62" t="n"/>
      <c r="H64" s="62" t="n">
        <v>45169</v>
      </c>
      <c r="I64" s="62" t="n"/>
      <c r="J64" s="63">
        <f>IF(ISBLANK(F64:G64),,IF(COUNTA(F64)=0,G64,F64))</f>
        <v/>
      </c>
      <c r="K64" s="64">
        <f>IFERROR(__xludf.DUMMYFUNCTION("if(isblank(J64),,index(googlefinance(A64,K$2,J64-1),2,2))"),89.74)</f>
        <v/>
      </c>
      <c r="L64" s="65">
        <f>IF(ISBLANK(H64:I64),,IF(COUNTA(H64)=0,I64,H64))</f>
        <v/>
      </c>
      <c r="M64" s="66">
        <f>IFERROR(__xludf.DUMMYFUNCTION("if(isblank(L64),, index(googlefinance(A64,M$2,L64-1),2,2))"),88.04)</f>
        <v/>
      </c>
      <c r="N64" s="67">
        <f>IFERROR(__xludf.DUMMYFUNCTION("if(isblank(A64),,googlefinance(A64))"),104.73)</f>
        <v/>
      </c>
      <c r="O64" s="68">
        <f>IF(ISBLANK(J64),,IF(ISBLANK(L64),"Ongoing","Completed"))</f>
        <v/>
      </c>
      <c r="P64" s="68">
        <f>IF(ISBLANK(A64),,IF(AND(COUNTA(F64)=1,T64&gt;0),"Profit",IF(AND(COUNTA(G64)=1,T64&lt;0),"Profit","Loss")))</f>
        <v/>
      </c>
      <c r="Q64" s="53">
        <f>IF(ISBLANK(U64),,IF(P64="Profit",IF(T64&lt;0,U64*-T64,U64*T64),IF(T64&gt;0,U64*-T64,U64*T64)))</f>
        <v/>
      </c>
      <c r="R64" s="71" t="b">
        <v>1</v>
      </c>
      <c r="S64" s="69">
        <f>IF($Q64&gt;0, TRUE, FALSE)</f>
        <v/>
      </c>
      <c r="T64" s="68">
        <f>IF(ISBLANK(J64),,IF(ISBLANK(L64),N64-K64,M64-K64))</f>
        <v/>
      </c>
      <c r="U64" s="55">
        <f>IF(ISBLANK(J64),,ROUNDDOWN(U$1/K64,0))</f>
        <v/>
      </c>
    </row>
    <row r="65" hidden="1" ht="14" customHeight="1">
      <c r="A65" s="59" t="inlineStr">
        <is>
          <t>CHD</t>
        </is>
      </c>
      <c r="B65" s="60" t="n">
        <v>7</v>
      </c>
      <c r="C65" s="61" t="n">
        <v>78.95999999999999</v>
      </c>
      <c r="D65" s="61" t="n">
        <v>42.857</v>
      </c>
      <c r="E65" s="61" t="n">
        <v>2.664</v>
      </c>
      <c r="F65" s="62" t="n">
        <v>45166</v>
      </c>
      <c r="G65" s="62" t="n"/>
      <c r="H65" s="62" t="n">
        <v>45175</v>
      </c>
      <c r="I65" s="62" t="n"/>
      <c r="J65" s="63">
        <f>IF(ISBLANK(F65:G65),,IF(COUNTA(F65)=0,G65,F65))</f>
        <v/>
      </c>
      <c r="K65" s="64">
        <f>IFERROR(__xludf.DUMMYFUNCTION("if(isblank(J65),,index(googlefinance(A65,K$2,J65-1),2,2))"),94.44)</f>
        <v/>
      </c>
      <c r="L65" s="65">
        <f>IF(ISBLANK(H65:I65),,IF(COUNTA(H65)=0,I65,H65))</f>
        <v/>
      </c>
      <c r="M65" s="66">
        <f>IFERROR(__xludf.DUMMYFUNCTION("if(isblank(L65),, index(googlefinance(A65,M$2,L65-1),2,2))"),95.17)</f>
        <v/>
      </c>
      <c r="N65" s="67">
        <f>IFERROR(__xludf.DUMMYFUNCTION("if(isblank(A65),,googlefinance(A65))"),93.95)</f>
        <v/>
      </c>
      <c r="O65" s="68">
        <f>IF(ISBLANK(J65),,IF(ISBLANK(L65),"Ongoing","Completed"))</f>
        <v/>
      </c>
      <c r="P65" s="68">
        <f>IF(ISBLANK(A65),,IF(AND(COUNTA(F65)=1,T65&gt;0),"Profit",IF(AND(COUNTA(G65)=1,T65&lt;0),"Profit","Loss")))</f>
        <v/>
      </c>
      <c r="Q65" s="53">
        <f>IF(ISBLANK(U65),,IF(P65="Profit",IF(T65&lt;0,U65*-T65,U65*T65),IF(T65&gt;0,U65*-T65,U65*T65)))</f>
        <v/>
      </c>
      <c r="R65" s="68" t="n"/>
      <c r="S65" s="69">
        <f>IF($Q65&gt;0, TRUE, FALSE)</f>
        <v/>
      </c>
      <c r="T65" s="68">
        <f>IF(ISBLANK(J65),,IF(ISBLANK(L65),N65-K65,M65-K65))</f>
        <v/>
      </c>
      <c r="U65" s="55">
        <f>IF(ISBLANK(J65),,ROUNDDOWN(U$1/K65,0))</f>
        <v/>
      </c>
    </row>
    <row r="66" hidden="1" ht="14" customHeight="1">
      <c r="A66" s="59" t="inlineStr">
        <is>
          <t>MO</t>
        </is>
      </c>
      <c r="B66" s="60" t="n">
        <v>10</v>
      </c>
      <c r="C66" s="61" t="n">
        <v>111.25</v>
      </c>
      <c r="D66" s="61" t="n">
        <v>50</v>
      </c>
      <c r="E66" s="61" t="n">
        <v>2.119</v>
      </c>
      <c r="F66" s="62" t="n">
        <v>45166</v>
      </c>
      <c r="G66" s="62" t="n"/>
      <c r="H66" s="62" t="n">
        <v>45175</v>
      </c>
      <c r="I66" s="62" t="n"/>
      <c r="J66" s="63">
        <f>IF(ISBLANK(F66:G66),,IF(COUNTA(F66)=0,G66,F66))</f>
        <v/>
      </c>
      <c r="K66" s="64">
        <f>IFERROR(__xludf.DUMMYFUNCTION("if(isblank(J66),,index(googlefinance(A66,K$2,J66-1),2,2))"),43.97)</f>
        <v/>
      </c>
      <c r="L66" s="65">
        <f>IF(ISBLANK(H66:I66),,IF(COUNTA(H66)=0,I66,H66))</f>
        <v/>
      </c>
      <c r="M66" s="66">
        <f>IFERROR(__xludf.DUMMYFUNCTION("if(isblank(L66),, index(googlefinance(A66,M$2,L66-1),2,2))"),44.09)</f>
        <v/>
      </c>
      <c r="N66" s="67">
        <f>IFERROR(__xludf.DUMMYFUNCTION("if(isblank(A66),,googlefinance(A66))"),41.4)</f>
        <v/>
      </c>
      <c r="O66" s="68">
        <f>IF(ISBLANK(J66),,IF(ISBLANK(L66),"Ongoing","Completed"))</f>
        <v/>
      </c>
      <c r="P66" s="68">
        <f>IF(ISBLANK(A66),,IF(AND(COUNTA(F66)=1,T66&gt;0),"Profit",IF(AND(COUNTA(G66)=1,T66&lt;0),"Profit","Loss")))</f>
        <v/>
      </c>
      <c r="Q66" s="53">
        <f>IF(ISBLANK(U66),,IF(P66="Profit",IF(T66&lt;0,U66*-T66,U66*T66),IF(T66&gt;0,U66*-T66,U66*T66)))</f>
        <v/>
      </c>
      <c r="R66" s="68" t="n"/>
      <c r="S66" s="69">
        <f>IF($Q66&gt;0, TRUE, FALSE)</f>
        <v/>
      </c>
      <c r="T66" s="68">
        <f>IF(ISBLANK(J66),,IF(ISBLANK(L66),N66-K66,M66-K66))</f>
        <v/>
      </c>
      <c r="U66" s="55">
        <f>IF(ISBLANK(J66),,ROUNDDOWN(U$1/K66,0))</f>
        <v/>
      </c>
    </row>
    <row r="67" hidden="1" ht="14" customHeight="1">
      <c r="A67" s="59" t="inlineStr">
        <is>
          <t>NKE</t>
        </is>
      </c>
      <c r="B67" s="60" t="n">
        <v>9</v>
      </c>
      <c r="C67" s="61" t="n">
        <v>2.05</v>
      </c>
      <c r="D67" s="61" t="n">
        <v>33.333</v>
      </c>
      <c r="E67" s="61" t="n">
        <v>1.016</v>
      </c>
      <c r="F67" s="62" t="n">
        <v>45167</v>
      </c>
      <c r="G67" s="62" t="n"/>
      <c r="H67" s="62" t="n">
        <v>45174</v>
      </c>
      <c r="I67" s="62" t="n"/>
      <c r="J67" s="63">
        <f>IF(ISBLANK(F67:G67),,IF(COUNTA(F67)=0,G67,F67))</f>
        <v/>
      </c>
      <c r="K67" s="64">
        <f>IFERROR(__xludf.DUMMYFUNCTION("if(isblank(J67),,index(googlefinance(A67,K$2,J67-1),2,2))"),99.63)</f>
        <v/>
      </c>
      <c r="L67" s="65">
        <f>IF(ISBLANK(H67:I67),,IF(COUNTA(H67)=0,I67,H67))</f>
        <v/>
      </c>
      <c r="M67" s="66">
        <f>IFERROR(__xludf.DUMMYFUNCTION("if(isblank(L67),, index(googlefinance(A67,M$2,L67-1),2,2))"),100.32)</f>
        <v/>
      </c>
      <c r="N67" s="67">
        <f>IFERROR(__xludf.DUMMYFUNCTION("if(isblank(A67),,googlefinance(A67))"),104.04)</f>
        <v/>
      </c>
      <c r="O67" s="68">
        <f>IF(ISBLANK(J67),,IF(ISBLANK(L67),"Ongoing","Completed"))</f>
        <v/>
      </c>
      <c r="P67" s="68">
        <f>IF(ISBLANK(A67),,IF(AND(COUNTA(F67)=1,T67&gt;0),"Profit",IF(AND(COUNTA(G67)=1,T67&lt;0),"Profit","Loss")))</f>
        <v/>
      </c>
      <c r="Q67" s="53">
        <f>IF(ISBLANK(U67),,IF(P67="Profit",IF(T67&lt;0,U67*-T67,U67*T67),IF(T67&gt;0,U67*-T67,U67*T67)))</f>
        <v/>
      </c>
      <c r="R67" s="68" t="n"/>
      <c r="S67" s="69">
        <f>IF($Q67&gt;0, TRUE, FALSE)</f>
        <v/>
      </c>
      <c r="T67" s="68">
        <f>IF(ISBLANK(J67),,IF(ISBLANK(L67),N67-K67,M67-K67))</f>
        <v/>
      </c>
      <c r="U67" s="55">
        <f>IF(ISBLANK(J67),,ROUNDDOWN(U$1/K67,0))</f>
        <v/>
      </c>
    </row>
    <row r="68" hidden="1" ht="14" customHeight="1">
      <c r="A68" s="59" t="inlineStr">
        <is>
          <t>PEP</t>
        </is>
      </c>
      <c r="B68" s="60" t="n">
        <v>9</v>
      </c>
      <c r="C68" s="61" t="n">
        <v>142.49</v>
      </c>
      <c r="D68" s="61" t="n">
        <v>55.556</v>
      </c>
      <c r="E68" s="61" t="n">
        <v>3.614</v>
      </c>
      <c r="F68" s="62" t="n">
        <v>45167</v>
      </c>
      <c r="G68" s="62" t="n"/>
      <c r="H68" s="62" t="n">
        <v>45169</v>
      </c>
      <c r="I68" s="62" t="n"/>
      <c r="J68" s="63">
        <f>IF(ISBLANK(F68:G68),,IF(COUNTA(F68)=0,G68,F68))</f>
        <v/>
      </c>
      <c r="K68" s="64">
        <f>IFERROR(__xludf.DUMMYFUNCTION("if(isblank(J68),,index(googlefinance(A68,K$2,J68-1),2,2))"),180.25)</f>
        <v/>
      </c>
      <c r="L68" s="65">
        <f>IF(ISBLANK(H68:I68),,IF(COUNTA(H68)=0,I68,H68))</f>
        <v/>
      </c>
      <c r="M68" s="66">
        <f>IFERROR(__xludf.DUMMYFUNCTION("if(isblank(L68),, index(googlefinance(A68,M$2,L68-1),2,2))"),181.08)</f>
        <v/>
      </c>
      <c r="N68" s="67">
        <f>IFERROR(__xludf.DUMMYFUNCTION("if(isblank(A68),,googlefinance(A68))"),172.95)</f>
        <v/>
      </c>
      <c r="O68" s="68">
        <f>IF(ISBLANK(J68),,IF(ISBLANK(L68),"Ongoing","Completed"))</f>
        <v/>
      </c>
      <c r="P68" s="68">
        <f>IF(ISBLANK(A68),,IF(AND(COUNTA(F68)=1,T68&gt;0),"Profit",IF(AND(COUNTA(G68)=1,T68&lt;0),"Profit","Loss")))</f>
        <v/>
      </c>
      <c r="Q68" s="53">
        <f>IF(ISBLANK(U68),,IF(P68="Profit",IF(T68&lt;0,U68*-T68,U68*T68),IF(T68&gt;0,U68*-T68,U68*T68)))</f>
        <v/>
      </c>
      <c r="R68" s="68" t="n"/>
      <c r="S68" s="69">
        <f>IF($Q68&gt;0, TRUE, FALSE)</f>
        <v/>
      </c>
      <c r="T68" s="68">
        <f>IF(ISBLANK(J68),,IF(ISBLANK(L68),N68-K68,M68-K68))</f>
        <v/>
      </c>
      <c r="U68" s="55">
        <f>IF(ISBLANK(J68),,ROUNDDOWN(U$1/K68,0))</f>
        <v/>
      </c>
    </row>
    <row r="69" hidden="1" ht="14" customHeight="1">
      <c r="A69" s="59" t="inlineStr">
        <is>
          <t>RCL</t>
        </is>
      </c>
      <c r="B69" s="60" t="n">
        <v>8</v>
      </c>
      <c r="C69" s="61" t="n">
        <v>246.85</v>
      </c>
      <c r="D69" s="61" t="n">
        <v>25</v>
      </c>
      <c r="E69" s="61" t="n">
        <v>2.629</v>
      </c>
      <c r="F69" s="62" t="n">
        <v>45167</v>
      </c>
      <c r="G69" s="62" t="n"/>
      <c r="H69" s="62" t="n">
        <v>45168</v>
      </c>
      <c r="I69" s="62" t="n"/>
      <c r="J69" s="63">
        <f>IF(ISBLANK(F69:G69),,IF(COUNTA(F69)=0,G69,F69))</f>
        <v/>
      </c>
      <c r="K69" s="64">
        <f>IFERROR(__xludf.DUMMYFUNCTION("if(isblank(J69),,index(googlefinance(A69,K$2,J69-1),2,2))"),98.32)</f>
        <v/>
      </c>
      <c r="L69" s="65">
        <f>IF(ISBLANK(H69:I69),,IF(COUNTA(H69)=0,I69,H69))</f>
        <v/>
      </c>
      <c r="M69" s="66">
        <f>IFERROR(__xludf.DUMMYFUNCTION("if(isblank(L69),, index(googlefinance(A69,M$2,L69-1),2,2))"),100.53)</f>
        <v/>
      </c>
      <c r="N69" s="67">
        <f>IFERROR(__xludf.DUMMYFUNCTION("if(isblank(A69),,googlefinance(A69))"),117.45)</f>
        <v/>
      </c>
      <c r="O69" s="68">
        <f>IF(ISBLANK(J69),,IF(ISBLANK(L69),"Ongoing","Completed"))</f>
        <v/>
      </c>
      <c r="P69" s="68">
        <f>IF(ISBLANK(A69),,IF(AND(COUNTA(F69)=1,T69&gt;0),"Profit",IF(AND(COUNTA(G69)=1,T69&lt;0),"Profit","Loss")))</f>
        <v/>
      </c>
      <c r="Q69" s="53">
        <f>IF(ISBLANK(U69),,IF(P69="Profit",IF(T69&lt;0,U69*-T69,U69*T69),IF(T69&gt;0,U69*-T69,U69*T69)))</f>
        <v/>
      </c>
      <c r="R69" s="68" t="n"/>
      <c r="S69" s="69">
        <f>IF($Q69&gt;0, TRUE, FALSE)</f>
        <v/>
      </c>
      <c r="T69" s="68">
        <f>IF(ISBLANK(J69),,IF(ISBLANK(L69),N69-K69,M69-K69))</f>
        <v/>
      </c>
      <c r="U69" s="55">
        <f>IF(ISBLANK(J69),,ROUNDDOWN(U$1/K69,0))</f>
        <v/>
      </c>
    </row>
    <row r="70" hidden="1" ht="14" customHeight="1">
      <c r="A70" s="59" t="inlineStr">
        <is>
          <t>BEN</t>
        </is>
      </c>
      <c r="B70" s="60" t="n">
        <v>8</v>
      </c>
      <c r="C70" s="61" t="n">
        <v>103.29</v>
      </c>
      <c r="D70" s="61" t="n">
        <v>50</v>
      </c>
      <c r="E70" s="61" t="n">
        <v>1.469</v>
      </c>
      <c r="F70" s="62" t="n">
        <v>45168</v>
      </c>
      <c r="G70" s="62" t="n"/>
      <c r="H70" s="62" t="n">
        <v>45174</v>
      </c>
      <c r="I70" s="62" t="n"/>
      <c r="J70" s="63">
        <f>IF(ISBLANK(F70:G70),,IF(COUNTA(F70)=0,G70,F70))</f>
        <v/>
      </c>
      <c r="K70" s="64">
        <f>IFERROR(__xludf.DUMMYFUNCTION("if(isblank(J70),,index(googlefinance(A70,K$2,J70-1),2,2))"),26.52)</f>
        <v/>
      </c>
      <c r="L70" s="65">
        <f>IF(ISBLANK(H70:I70),,IF(COUNTA(H70)=0,I70,H70))</f>
        <v/>
      </c>
      <c r="M70" s="66">
        <f>IFERROR(__xludf.DUMMYFUNCTION("if(isblank(L70),, index(googlefinance(A70,M$2,L70-1),2,2))"),26.13)</f>
        <v/>
      </c>
      <c r="N70" s="67">
        <f>IFERROR(__xludf.DUMMYFUNCTION("if(isblank(A70),,googlefinance(A70))"),28.27)</f>
        <v/>
      </c>
      <c r="O70" s="68">
        <f>IF(ISBLANK(J70),,IF(ISBLANK(L70),"Ongoing","Completed"))</f>
        <v/>
      </c>
      <c r="P70" s="68">
        <f>IF(ISBLANK(A70),,IF(AND(COUNTA(F70)=1,T70&gt;0),"Profit",IF(AND(COUNTA(G70)=1,T70&lt;0),"Profit","Loss")))</f>
        <v/>
      </c>
      <c r="Q70" s="53">
        <f>IF(ISBLANK(U70),,IF(P70="Profit",IF(T70&lt;0,U70*-T70,U70*T70),IF(T70&gt;0,U70*-T70,U70*T70)))</f>
        <v/>
      </c>
      <c r="R70" s="68" t="n"/>
      <c r="S70" s="69">
        <f>IF($Q70&gt;0, TRUE, FALSE)</f>
        <v/>
      </c>
      <c r="T70" s="68">
        <f>IF(ISBLANK(J70),,IF(ISBLANK(L70),N70-K70,M70-K70))</f>
        <v/>
      </c>
      <c r="U70" s="55">
        <f>IF(ISBLANK(J70),,ROUNDDOWN(U$1/K70,0))</f>
        <v/>
      </c>
    </row>
    <row r="71" hidden="1" ht="14" customHeight="1">
      <c r="A71" s="59" t="inlineStr">
        <is>
          <t>FIS</t>
        </is>
      </c>
      <c r="B71" s="60" t="n">
        <v>9</v>
      </c>
      <c r="C71" s="61" t="n">
        <v>2.8</v>
      </c>
      <c r="D71" s="61" t="n">
        <v>22.222</v>
      </c>
      <c r="E71" s="61" t="n">
        <v>1.023</v>
      </c>
      <c r="F71" s="62" t="n">
        <v>45168</v>
      </c>
      <c r="G71" s="62" t="n"/>
      <c r="H71" s="62" t="n">
        <v>45174</v>
      </c>
      <c r="I71" s="62" t="n"/>
      <c r="J71" s="63">
        <f>IF(ISBLANK(F71:G71),,IF(COUNTA(F71)=0,G71,F71))</f>
        <v/>
      </c>
      <c r="K71" s="64">
        <f>IFERROR(__xludf.DUMMYFUNCTION("if(isblank(J71),,index(googlefinance(A71,K$2,J71-1),2,2))"),55.72)</f>
        <v/>
      </c>
      <c r="L71" s="65">
        <f>IF(ISBLANK(H71:I71),,IF(COUNTA(H71)=0,I71,H71))</f>
        <v/>
      </c>
      <c r="M71" s="66">
        <f>IFERROR(__xludf.DUMMYFUNCTION("if(isblank(L71),, index(googlefinance(A71,M$2,L71-1),2,2))"),55.64)</f>
        <v/>
      </c>
      <c r="N71" s="67">
        <f>IFERROR(__xludf.DUMMYFUNCTION("if(isblank(A71),,googlefinance(A71))"),60.21)</f>
        <v/>
      </c>
      <c r="O71" s="68">
        <f>IF(ISBLANK(J71),,IF(ISBLANK(L71),"Ongoing","Completed"))</f>
        <v/>
      </c>
      <c r="P71" s="68">
        <f>IF(ISBLANK(A71),,IF(AND(COUNTA(F71)=1,T71&gt;0),"Profit",IF(AND(COUNTA(G71)=1,T71&lt;0),"Profit","Loss")))</f>
        <v/>
      </c>
      <c r="Q71" s="53">
        <f>IF(ISBLANK(U71),,IF(P71="Profit",IF(T71&lt;0,U71*-T71,U71*T71),IF(T71&gt;0,U71*-T71,U71*T71)))</f>
        <v/>
      </c>
      <c r="R71" s="68" t="n"/>
      <c r="S71" s="69">
        <f>IF($Q71&gt;0, TRUE, FALSE)</f>
        <v/>
      </c>
      <c r="T71" s="68">
        <f>IF(ISBLANK(J71),,IF(ISBLANK(L71),N71-K71,M71-K71))</f>
        <v/>
      </c>
      <c r="U71" s="55">
        <f>IF(ISBLANK(J71),,ROUNDDOWN(U$1/K71,0))</f>
        <v/>
      </c>
    </row>
    <row r="72" hidden="1" ht="14" customHeight="1">
      <c r="A72" s="59" t="inlineStr">
        <is>
          <t>BBY</t>
        </is>
      </c>
      <c r="B72" s="60" t="n">
        <v>11</v>
      </c>
      <c r="C72" s="61" t="n">
        <v>229.87</v>
      </c>
      <c r="D72" s="61" t="n">
        <v>54.545</v>
      </c>
      <c r="E72" s="61" t="n">
        <v>2.3</v>
      </c>
      <c r="F72" s="62" t="n">
        <v>45169</v>
      </c>
      <c r="G72" s="62" t="n"/>
      <c r="H72" s="62" t="n">
        <v>45174</v>
      </c>
      <c r="I72" s="62" t="n"/>
      <c r="J72" s="63">
        <f>IF(ISBLANK(F72:G72),,IF(COUNTA(F72)=0,G72,F72))</f>
        <v/>
      </c>
      <c r="K72" s="64">
        <f>IFERROR(__xludf.DUMMYFUNCTION("if(isblank(J72),,index(googlefinance(A72,K$2,J72-1),2,2))"),75.93)</f>
        <v/>
      </c>
      <c r="L72" s="65">
        <f>IF(ISBLANK(H72:I72),,IF(COUNTA(H72)=0,I72,H72))</f>
        <v/>
      </c>
      <c r="M72" s="66">
        <f>IFERROR(__xludf.DUMMYFUNCTION("if(isblank(L72),, index(googlefinance(A72,M$2,L72-1),2,2))"),73.95)</f>
        <v/>
      </c>
      <c r="N72" s="67">
        <f>IFERROR(__xludf.DUMMYFUNCTION("if(isblank(A72),,googlefinance(A72))"),75.43)</f>
        <v/>
      </c>
      <c r="O72" s="68">
        <f>IF(ISBLANK(J72),,IF(ISBLANK(L72),"Ongoing","Completed"))</f>
        <v/>
      </c>
      <c r="P72" s="68">
        <f>IF(ISBLANK(A72),,IF(AND(COUNTA(F72)=1,T72&gt;0),"Profit",IF(AND(COUNTA(G72)=1,T72&lt;0),"Profit","Loss")))</f>
        <v/>
      </c>
      <c r="Q72" s="53">
        <f>IF(ISBLANK(U72),,IF(P72="Profit",IF(T72&lt;0,U72*-T72,U72*T72),IF(T72&gt;0,U72*-T72,U72*T72)))</f>
        <v/>
      </c>
      <c r="R72" s="71" t="b">
        <v>1</v>
      </c>
      <c r="S72" s="69">
        <f>IF($Q72&gt;0, TRUE, FALSE)</f>
        <v/>
      </c>
      <c r="T72" s="68">
        <f>IF(ISBLANK(J72),,IF(ISBLANK(L72),N72-K72,M72-K72))</f>
        <v/>
      </c>
      <c r="U72" s="55">
        <f>IF(ISBLANK(J72),,ROUNDDOWN(U$1/K72,0))</f>
        <v/>
      </c>
    </row>
    <row r="73" hidden="1" ht="14" customHeight="1">
      <c r="A73" s="59" t="inlineStr">
        <is>
          <t>LVS</t>
        </is>
      </c>
      <c r="B73" s="60" t="n">
        <v>7</v>
      </c>
      <c r="C73" s="61" t="n">
        <v>157.17</v>
      </c>
      <c r="D73" s="61" t="n">
        <v>57.143</v>
      </c>
      <c r="E73" s="61" t="n">
        <v>1.901</v>
      </c>
      <c r="F73" s="62" t="n">
        <v>45169</v>
      </c>
      <c r="G73" s="62" t="n"/>
      <c r="H73" s="62" t="n">
        <v>45174</v>
      </c>
      <c r="I73" s="62" t="n"/>
      <c r="J73" s="63">
        <f>IF(ISBLANK(F73:G73),,IF(COUNTA(F73)=0,G73,F73))</f>
        <v/>
      </c>
      <c r="K73" s="64">
        <f>IFERROR(__xludf.DUMMYFUNCTION("if(isblank(J73),,index(googlefinance(A73,K$2,J73-1),2,2))"),54.91)</f>
        <v/>
      </c>
      <c r="L73" s="65">
        <f>IF(ISBLANK(H73:I73),,IF(COUNTA(H73)=0,I73,H73))</f>
        <v/>
      </c>
      <c r="M73" s="66">
        <f>IFERROR(__xludf.DUMMYFUNCTION("if(isblank(L73),, index(googlefinance(A73,M$2,L73-1),2,2))"),52.61)</f>
        <v/>
      </c>
      <c r="N73" s="67">
        <f>IFERROR(__xludf.DUMMYFUNCTION("if(isblank(A73),,googlefinance(A73))"),50.67)</f>
        <v/>
      </c>
      <c r="O73" s="68">
        <f>IF(ISBLANK(J73),,IF(ISBLANK(L73),"Ongoing","Completed"))</f>
        <v/>
      </c>
      <c r="P73" s="68">
        <f>IF(ISBLANK(A73),,IF(AND(COUNTA(F73)=1,T73&gt;0),"Profit",IF(AND(COUNTA(G73)=1,T73&lt;0),"Profit","Loss")))</f>
        <v/>
      </c>
      <c r="Q73" s="53">
        <f>IF(ISBLANK(U73),,IF(P73="Profit",IF(T73&lt;0,U73*-T73,U73*T73),IF(T73&gt;0,U73*-T73,U73*T73)))</f>
        <v/>
      </c>
      <c r="R73" s="68" t="n"/>
      <c r="S73" s="69">
        <f>IF($Q73&gt;0, TRUE, FALSE)</f>
        <v/>
      </c>
      <c r="T73" s="68">
        <f>IF(ISBLANK(J73),,IF(ISBLANK(L73),N73-K73,M73-K73))</f>
        <v/>
      </c>
      <c r="U73" s="55">
        <f>IF(ISBLANK(J73),,ROUNDDOWN(U$1/K73,0))</f>
        <v/>
      </c>
    </row>
    <row r="74" hidden="1" ht="14" customHeight="1">
      <c r="A74" s="59" t="inlineStr">
        <is>
          <t>MOH</t>
        </is>
      </c>
      <c r="B74" s="60" t="n">
        <v>8</v>
      </c>
      <c r="C74" s="61" t="n">
        <v>246.79</v>
      </c>
      <c r="D74" s="61" t="n">
        <v>50</v>
      </c>
      <c r="E74" s="61" t="n">
        <v>3.112</v>
      </c>
      <c r="F74" s="62" t="n"/>
      <c r="G74" s="62" t="n">
        <v>45170</v>
      </c>
      <c r="H74" s="62" t="n"/>
      <c r="I74" s="62" t="n">
        <v>45176</v>
      </c>
      <c r="J74" s="63">
        <f>IF(ISBLANK(F74:G74),,IF(COUNTA(F74)=0,G74,F74))</f>
        <v/>
      </c>
      <c r="K74" s="64">
        <f>IFERROR(__xludf.DUMMYFUNCTION("if(isblank(J74),,index(googlefinance(A74,K$2,J74-1),2,2))"),310.12)</f>
        <v/>
      </c>
      <c r="L74" s="65">
        <f>IF(ISBLANK(H74:I74),,IF(COUNTA(H74)=0,I74,H74))</f>
        <v/>
      </c>
      <c r="M74" s="66">
        <f>IFERROR(__xludf.DUMMYFUNCTION("if(isblank(L74),, index(googlefinance(A74,M$2,L74-1),2,2))"),310.82)</f>
        <v/>
      </c>
      <c r="N74" s="67">
        <f>IFERROR(__xludf.DUMMYFUNCTION("if(isblank(A74),,googlefinance(A74))"),376.67)</f>
        <v/>
      </c>
      <c r="O74" s="68">
        <f>IF(ISBLANK(J74),,IF(ISBLANK(L74),"Ongoing","Completed"))</f>
        <v/>
      </c>
      <c r="P74" s="68">
        <f>IF(ISBLANK(A74),,IF(AND(COUNTA(F74)=1,T74&gt;0),"Profit",IF(AND(COUNTA(G74)=1,T74&lt;0),"Profit","Loss")))</f>
        <v/>
      </c>
      <c r="Q74" s="53">
        <f>IF(ISBLANK(U74),,IF(P74="Profit",IF(T74&lt;0,U74*-T74,U74*T74),IF(T74&gt;0,U74*-T74,U74*T74)))</f>
        <v/>
      </c>
      <c r="R74" s="71" t="b">
        <v>1</v>
      </c>
      <c r="S74" s="69">
        <f>IF($Q74&gt;0, TRUE, FALSE)</f>
        <v/>
      </c>
      <c r="T74" s="68">
        <f>IF(ISBLANK(J74),,IF(ISBLANK(L74),N74-K74,M74-K74))</f>
        <v/>
      </c>
      <c r="U74" s="55">
        <f>IF(ISBLANK(J74),,ROUNDDOWN(U$1/K74,0))</f>
        <v/>
      </c>
    </row>
    <row r="75" hidden="1" ht="14" customHeight="1">
      <c r="A75" s="59" t="inlineStr">
        <is>
          <t>SPG</t>
        </is>
      </c>
      <c r="B75" s="60" t="n">
        <v>13</v>
      </c>
      <c r="C75" s="61" t="n">
        <v>115.86</v>
      </c>
      <c r="D75" s="61" t="n">
        <v>38.462</v>
      </c>
      <c r="E75" s="61" t="n">
        <v>1.435</v>
      </c>
      <c r="F75" s="62" t="n">
        <v>45170</v>
      </c>
      <c r="G75" s="62" t="n"/>
      <c r="H75" s="62" t="n">
        <v>45187</v>
      </c>
      <c r="I75" s="62" t="n"/>
      <c r="J75" s="63">
        <f>IF(ISBLANK(F75:G75),,IF(COUNTA(F75)=0,G75,F75))</f>
        <v/>
      </c>
      <c r="K75" s="64">
        <f>IFERROR(__xludf.DUMMYFUNCTION("if(isblank(J75),,index(googlefinance(A75,K$2,J75-1),2,2))"),113.49)</f>
        <v/>
      </c>
      <c r="L75" s="65">
        <f>IF(ISBLANK(H75:I75),,IF(COUNTA(H75)=0,I75,H75))</f>
        <v/>
      </c>
      <c r="M75" s="66">
        <f>IFERROR(__xludf.DUMMYFUNCTION("if(isblank(L75),, index(googlefinance(A75,M$2,L75-1),2,2))"),114.25)</f>
        <v/>
      </c>
      <c r="N75" s="67">
        <f>IFERROR(__xludf.DUMMYFUNCTION("if(isblank(A75),,googlefinance(A75))"),140.09)</f>
        <v/>
      </c>
      <c r="O75" s="68">
        <f>IF(ISBLANK(J75),,IF(ISBLANK(L75),"Ongoing","Completed"))</f>
        <v/>
      </c>
      <c r="P75" s="68">
        <f>IF(ISBLANK(A75),,IF(AND(COUNTA(F75)=1,T75&gt;0),"Profit",IF(AND(COUNTA(G75)=1,T75&lt;0),"Profit","Loss")))</f>
        <v/>
      </c>
      <c r="Q75" s="53">
        <f>IF(ISBLANK(U75),,IF(P75="Profit",IF(T75&lt;0,U75*-T75,U75*T75),IF(T75&gt;0,U75*-T75,U75*T75)))</f>
        <v/>
      </c>
      <c r="R75" s="71" t="b">
        <v>1</v>
      </c>
      <c r="S75" s="69">
        <f>IF($Q75&gt;0, TRUE, FALSE)</f>
        <v/>
      </c>
      <c r="T75" s="68">
        <f>IF(ISBLANK(J75),,IF(ISBLANK(L75),N75-K75,M75-K75))</f>
        <v/>
      </c>
      <c r="U75" s="55">
        <f>IF(ISBLANK(J75),,ROUNDDOWN(U$1/K75,0))</f>
        <v/>
      </c>
    </row>
    <row r="76" hidden="1" ht="14" customHeight="1">
      <c r="A76" s="59" t="inlineStr">
        <is>
          <t>BG</t>
        </is>
      </c>
      <c r="B76" s="60" t="n">
        <v>4</v>
      </c>
      <c r="C76" s="61" t="n">
        <v>77.25</v>
      </c>
      <c r="D76" s="61" t="n">
        <v>25</v>
      </c>
      <c r="E76" s="61" t="n">
        <v>2.046</v>
      </c>
      <c r="F76" s="62" t="n"/>
      <c r="G76" s="62" t="n">
        <v>45175</v>
      </c>
      <c r="H76" s="62" t="n"/>
      <c r="I76" s="62" t="n">
        <v>45180</v>
      </c>
      <c r="J76" s="63">
        <f>IF(ISBLANK(F76:G76),,IF(COUNTA(F76)=0,G76,F76))</f>
        <v/>
      </c>
      <c r="K76" s="64">
        <f>IFERROR(__xludf.DUMMYFUNCTION("if(isblank(J76),,index(googlefinance(A76,K$2,J76-1),2,2))"),113.09)</f>
        <v/>
      </c>
      <c r="L76" s="65">
        <f>IF(ISBLANK(H76:I76),,IF(COUNTA(H76)=0,I76,H76))</f>
        <v/>
      </c>
      <c r="M76" s="66">
        <f>IFERROR(__xludf.DUMMYFUNCTION("if(isblank(L76),, index(googlefinance(A76,M$2,L76-1),2,2))"),114.87)</f>
        <v/>
      </c>
      <c r="N76" s="67">
        <f>IFERROR(__xludf.DUMMYFUNCTION("if(isblank(A76),,googlefinance(A76))"),100.27)</f>
        <v/>
      </c>
      <c r="O76" s="68">
        <f>IF(ISBLANK(J76),,IF(ISBLANK(L76),"Ongoing","Completed"))</f>
        <v/>
      </c>
      <c r="P76" s="68">
        <f>IF(ISBLANK(A76),,IF(AND(COUNTA(F76)=1,T76&gt;0),"Profit",IF(AND(COUNTA(G76)=1,T76&lt;0),"Profit","Loss")))</f>
        <v/>
      </c>
      <c r="Q76" s="53">
        <f>IF(ISBLANK(U76),,IF(P76="Profit",IF(T76&lt;0,U76*-T76,U76*T76),IF(T76&gt;0,U76*-T76,U76*T76)))</f>
        <v/>
      </c>
      <c r="R76" s="68" t="n"/>
      <c r="S76" s="69">
        <f>IF($Q76&gt;0, TRUE, FALSE)</f>
        <v/>
      </c>
      <c r="T76" s="68">
        <f>IF(ISBLANK(J76),,IF(ISBLANK(L76),N76-K76,M76-K76))</f>
        <v/>
      </c>
      <c r="U76" s="55">
        <f>IF(ISBLANK(J76),,ROUNDDOWN(U$1/K76,0))</f>
        <v/>
      </c>
    </row>
    <row r="77" hidden="1" ht="14" customHeight="1">
      <c r="A77" s="59" t="inlineStr">
        <is>
          <t>ICE</t>
        </is>
      </c>
      <c r="B77" s="60" t="n">
        <v>10</v>
      </c>
      <c r="C77" s="61" t="n">
        <v>345.79</v>
      </c>
      <c r="D77" s="61" t="n">
        <v>50</v>
      </c>
      <c r="E77" s="61" t="n">
        <v>3.902</v>
      </c>
      <c r="F77" s="62" t="n"/>
      <c r="G77" s="62" t="n">
        <v>45175</v>
      </c>
      <c r="H77" s="62" t="n"/>
      <c r="I77" s="62" t="n">
        <v>45181</v>
      </c>
      <c r="J77" s="63">
        <f>IF(ISBLANK(F77:G77),,IF(COUNTA(F77)=0,G77,F77))</f>
        <v/>
      </c>
      <c r="K77" s="64">
        <f>IFERROR(__xludf.DUMMYFUNCTION("if(isblank(J77),,index(googlefinance(A77,K$2,J77-1),2,2))"),114.64)</f>
        <v/>
      </c>
      <c r="L77" s="65">
        <f>IF(ISBLANK(H77:I77),,IF(COUNTA(H77)=0,I77,H77))</f>
        <v/>
      </c>
      <c r="M77" s="66">
        <f>IFERROR(__xludf.DUMMYFUNCTION("if(isblank(L77),, index(googlefinance(A77,M$2,L77-1),2,2))"),115.03)</f>
        <v/>
      </c>
      <c r="N77" s="67">
        <f>IFERROR(__xludf.DUMMYFUNCTION("if(isblank(A77),,googlefinance(A77))"),124.81)</f>
        <v/>
      </c>
      <c r="O77" s="68">
        <f>IF(ISBLANK(J77),,IF(ISBLANK(L77),"Ongoing","Completed"))</f>
        <v/>
      </c>
      <c r="P77" s="68">
        <f>IF(ISBLANK(A77),,IF(AND(COUNTA(F77)=1,T77&gt;0),"Profit",IF(AND(COUNTA(G77)=1,T77&lt;0),"Profit","Loss")))</f>
        <v/>
      </c>
      <c r="Q77" s="53">
        <f>IF(ISBLANK(U77),,IF(P77="Profit",IF(T77&lt;0,U77*-T77,U77*T77),IF(T77&gt;0,U77*-T77,U77*T77)))</f>
        <v/>
      </c>
      <c r="R77" s="71" t="b">
        <v>1</v>
      </c>
      <c r="S77" s="69">
        <f>IF($Q77&gt;0, TRUE, FALSE)</f>
        <v/>
      </c>
      <c r="T77" s="68">
        <f>IF(ISBLANK(J77),,IF(ISBLANK(L77),N77-K77,M77-K77))</f>
        <v/>
      </c>
      <c r="U77" s="55">
        <f>IF(ISBLANK(J77),,ROUNDDOWN(U$1/K77,0))</f>
        <v/>
      </c>
    </row>
    <row r="78" hidden="1" ht="14" customHeight="1">
      <c r="A78" s="59" t="inlineStr">
        <is>
          <t>TDY</t>
        </is>
      </c>
      <c r="B78" s="60" t="n">
        <v>12</v>
      </c>
      <c r="C78" s="61" t="n">
        <v>179.49</v>
      </c>
      <c r="D78" s="61" t="n">
        <v>50</v>
      </c>
      <c r="E78" s="61" t="n">
        <v>2.651</v>
      </c>
      <c r="F78" s="62" t="n"/>
      <c r="G78" s="62" t="n">
        <v>45177</v>
      </c>
      <c r="H78" s="62" t="n"/>
      <c r="I78" s="62" t="n">
        <v>45183</v>
      </c>
      <c r="J78" s="63">
        <f>IF(ISBLANK(F78:G78),,IF(COUNTA(F78)=0,G78,F78))</f>
        <v/>
      </c>
      <c r="K78" s="64">
        <f>IFERROR(__xludf.DUMMYFUNCTION("if(isblank(J78),,index(googlefinance(A78,K$2,J78-1),2,2))"),410.01)</f>
        <v/>
      </c>
      <c r="L78" s="65">
        <f>IF(ISBLANK(H78:I78),,IF(COUNTA(H78)=0,I78,H78))</f>
        <v/>
      </c>
      <c r="M78" s="66">
        <f>IFERROR(__xludf.DUMMYFUNCTION("if(isblank(L78),, index(googlefinance(A78,M$2,L78-1),2,2))"),409.35)</f>
        <v/>
      </c>
      <c r="N78" s="67">
        <f>IFERROR(__xludf.DUMMYFUNCTION("if(isblank(A78),,googlefinance(A78))"),439.34)</f>
        <v/>
      </c>
      <c r="O78" s="68">
        <f>IF(ISBLANK(J78),,IF(ISBLANK(L78),"Ongoing","Completed"))</f>
        <v/>
      </c>
      <c r="P78" s="68">
        <f>IF(ISBLANK(A78),,IF(AND(COUNTA(F78)=1,T78&gt;0),"Profit",IF(AND(COUNTA(G78)=1,T78&lt;0),"Profit","Loss")))</f>
        <v/>
      </c>
      <c r="Q78" s="53">
        <f>IF(ISBLANK(U78),,IF(P78="Profit",IF(T78&lt;0,U78*-T78,U78*T78),IF(T78&gt;0,U78*-T78,U78*T78)))</f>
        <v/>
      </c>
      <c r="R78" s="68" t="n"/>
      <c r="S78" s="69">
        <f>IF($Q78&gt;0, TRUE, FALSE)</f>
        <v/>
      </c>
      <c r="T78" s="68">
        <f>IF(ISBLANK(J78),,IF(ISBLANK(L78),N78-K78,M78-K78))</f>
        <v/>
      </c>
      <c r="U78" s="55">
        <f>IF(ISBLANK(J78),,ROUNDDOWN(U$1/K78,0))</f>
        <v/>
      </c>
    </row>
    <row r="79" hidden="1" ht="14" customHeight="1">
      <c r="A79" s="59" t="inlineStr">
        <is>
          <t>ACN</t>
        </is>
      </c>
      <c r="B79" s="60" t="n">
        <v>9</v>
      </c>
      <c r="C79" s="61" t="n">
        <v>39.09</v>
      </c>
      <c r="D79" s="61" t="n">
        <v>33.333</v>
      </c>
      <c r="E79" s="61" t="n">
        <v>1.157</v>
      </c>
      <c r="F79" s="62" t="n"/>
      <c r="G79" s="62" t="n">
        <v>45181</v>
      </c>
      <c r="H79" s="62" t="n"/>
      <c r="I79" s="62" t="n">
        <v>45194</v>
      </c>
      <c r="J79" s="63">
        <f>IF(ISBLANK(F79:G79),,IF(COUNTA(F79)=0,G79,F79))</f>
        <v/>
      </c>
      <c r="K79" s="64">
        <f>IFERROR(__xludf.DUMMYFUNCTION("if(isblank(J79),,index(googlefinance(A79,K$2,J79-1),2,2))"),325.87)</f>
        <v/>
      </c>
      <c r="L79" s="65">
        <f>IF(ISBLANK(H79:I79),,IF(COUNTA(H79)=0,I79,H79))</f>
        <v/>
      </c>
      <c r="M79" s="66">
        <f>IFERROR(__xludf.DUMMYFUNCTION("if(isblank(L79),, index(googlefinance(A79,M$2,L79-1),2,2))"),316.99)</f>
        <v/>
      </c>
      <c r="N79" s="67">
        <f>IFERROR(__xludf.DUMMYFUNCTION("if(isblank(A79),,googlefinance(A79))"),337.92)</f>
        <v/>
      </c>
      <c r="O79" s="68">
        <f>IF(ISBLANK(J79),,IF(ISBLANK(L79),"Ongoing","Completed"))</f>
        <v/>
      </c>
      <c r="P79" s="68">
        <f>IF(ISBLANK(A79),,IF(AND(COUNTA(F79)=1,T79&gt;0),"Profit",IF(AND(COUNTA(G79)=1,T79&lt;0),"Profit","Loss")))</f>
        <v/>
      </c>
      <c r="Q79" s="53">
        <f>IF(ISBLANK(U79),,IF(P79="Profit",IF(T79&lt;0,U79*-T79,U79*T79),IF(T79&gt;0,U79*-T79,U79*T79)))</f>
        <v/>
      </c>
      <c r="R79" s="68" t="n"/>
      <c r="S79" s="69">
        <f>IF($Q79&gt;0, TRUE, FALSE)</f>
        <v/>
      </c>
      <c r="T79" s="68">
        <f>IF(ISBLANK(J79),,IF(ISBLANK(L79),N79-K79,M79-K79))</f>
        <v/>
      </c>
      <c r="U79" s="55">
        <f>IF(ISBLANK(J79),,ROUNDDOWN(U$1/K79,0))</f>
        <v/>
      </c>
    </row>
    <row r="80" hidden="1" ht="14" customHeight="1">
      <c r="A80" s="59" t="inlineStr">
        <is>
          <t>ADBE</t>
        </is>
      </c>
      <c r="B80" s="60" t="n">
        <v>11</v>
      </c>
      <c r="C80" s="61" t="n">
        <v>75.55</v>
      </c>
      <c r="D80" s="61" t="n">
        <v>36.364</v>
      </c>
      <c r="E80" s="61" t="n">
        <v>1.313</v>
      </c>
      <c r="F80" s="62" t="n"/>
      <c r="G80" s="62" t="n">
        <v>45181</v>
      </c>
      <c r="H80" s="62" t="n"/>
      <c r="I80" s="62" t="n">
        <v>45201</v>
      </c>
      <c r="J80" s="63">
        <f>IF(ISBLANK(F80:G80),,IF(COUNTA(F80)=0,G80,F80))</f>
        <v/>
      </c>
      <c r="K80" s="64">
        <f>IFERROR(__xludf.DUMMYFUNCTION("if(isblank(J80),,index(googlefinance(A80,K$2,J80-1),2,2))"),564.5)</f>
        <v/>
      </c>
      <c r="L80" s="65">
        <f>IF(ISBLANK(H80:I80),,IF(COUNTA(H80)=0,I80,H80))</f>
        <v/>
      </c>
      <c r="M80" s="66">
        <f>IFERROR(__xludf.DUMMYFUNCTION("if(isblank(L80),, index(googlefinance(A80,M$2,L80-1),2,2))"),521.13)</f>
        <v/>
      </c>
      <c r="N80" s="67">
        <f>IFERROR(__xludf.DUMMYFUNCTION("if(isblank(A80),,googlefinance(A80))"),571.79)</f>
        <v/>
      </c>
      <c r="O80" s="68">
        <f>IF(ISBLANK(J80),,IF(ISBLANK(L80),"Ongoing","Completed"))</f>
        <v/>
      </c>
      <c r="P80" s="68">
        <f>IF(ISBLANK(A80),,IF(AND(COUNTA(F80)=1,T80&gt;0),"Profit",IF(AND(COUNTA(G80)=1,T80&lt;0),"Profit","Loss")))</f>
        <v/>
      </c>
      <c r="Q80" s="53">
        <f>IF(ISBLANK(U80),,IF(P80="Profit",IF(T80&lt;0,U80*-T80,U80*T80),IF(T80&gt;0,U80*-T80,U80*T80)))</f>
        <v/>
      </c>
      <c r="R80" s="68" t="n"/>
      <c r="S80" s="69">
        <f>IF($Q80&gt;0, TRUE, FALSE)</f>
        <v/>
      </c>
      <c r="T80" s="68">
        <f>IF(ISBLANK(J80),,IF(ISBLANK(L80),N80-K80,M80-K80))</f>
        <v/>
      </c>
      <c r="U80" s="55">
        <f>IF(ISBLANK(J80),,ROUNDDOWN(U$1/K80,0))</f>
        <v/>
      </c>
    </row>
    <row r="81" hidden="1" ht="14" customHeight="1">
      <c r="A81" s="59" t="inlineStr">
        <is>
          <t>ABNB</t>
        </is>
      </c>
      <c r="B81" s="60" t="n">
        <v>8</v>
      </c>
      <c r="C81" s="61" t="n">
        <v>375.94</v>
      </c>
      <c r="D81" s="61" t="n">
        <v>62.5</v>
      </c>
      <c r="E81" s="61" t="n">
        <v>4.489</v>
      </c>
      <c r="F81" s="62" t="n">
        <v>45181</v>
      </c>
      <c r="G81" s="62" t="n"/>
      <c r="H81" s="62" t="n">
        <v>45189</v>
      </c>
      <c r="I81" s="62" t="n"/>
      <c r="J81" s="63">
        <f>IF(ISBLANK(F81:G81),,IF(COUNTA(F81)=0,G81,F81))</f>
        <v/>
      </c>
      <c r="K81" s="64">
        <f>IFERROR(__xludf.DUMMYFUNCTION("if(isblank(J81),,index(googlefinance(A81,K$2,J81-1),2,2))"),147.33)</f>
        <v/>
      </c>
      <c r="L81" s="65">
        <f>IF(ISBLANK(H81:I81),,IF(COUNTA(H81)=0,I81,H81))</f>
        <v/>
      </c>
      <c r="M81" s="66">
        <f>IFERROR(__xludf.DUMMYFUNCTION("if(isblank(L81),, index(googlefinance(A81,M$2,L81-1),2,2))"),141.85)</f>
        <v/>
      </c>
      <c r="N81" s="67">
        <f>IFERROR(__xludf.DUMMYFUNCTION("if(isblank(A81),,googlefinance(A81))"),133.42)</f>
        <v/>
      </c>
      <c r="O81" s="68">
        <f>IF(ISBLANK(J81),,IF(ISBLANK(L81),"Ongoing","Completed"))</f>
        <v/>
      </c>
      <c r="P81" s="68">
        <f>IF(ISBLANK(A81),,IF(AND(COUNTA(F81)=1,T81&gt;0),"Profit",IF(AND(COUNTA(G81)=1,T81&lt;0),"Profit","Loss")))</f>
        <v/>
      </c>
      <c r="Q81" s="53">
        <f>IF(ISBLANK(U81),,IF(P81="Profit",IF(T81&lt;0,U81*-T81,U81*T81),IF(T81&gt;0,U81*-T81,U81*T81)))</f>
        <v/>
      </c>
      <c r="R81" s="68" t="n"/>
      <c r="S81" s="69">
        <f>IF($Q81&gt;0, TRUE, FALSE)</f>
        <v/>
      </c>
      <c r="T81" s="68">
        <f>IF(ISBLANK(J81),,IF(ISBLANK(L81),N81-K81,M81-K81))</f>
        <v/>
      </c>
      <c r="U81" s="55">
        <f>IF(ISBLANK(J81),,ROUNDDOWN(U$1/K81,0))</f>
        <v/>
      </c>
    </row>
    <row r="82" hidden="1" ht="14" customHeight="1">
      <c r="A82" s="59" t="inlineStr">
        <is>
          <t>UNP</t>
        </is>
      </c>
      <c r="B82" s="60" t="n">
        <v>10</v>
      </c>
      <c r="C82" s="61" t="n">
        <v>150.38</v>
      </c>
      <c r="D82" s="61" t="n">
        <v>30</v>
      </c>
      <c r="E82" s="61" t="n">
        <v>2.201</v>
      </c>
      <c r="F82" s="62" t="n">
        <v>45183</v>
      </c>
      <c r="G82" s="62" t="n"/>
      <c r="H82" s="62" t="n">
        <v>45188</v>
      </c>
      <c r="I82" s="62" t="n"/>
      <c r="J82" s="63">
        <f>IF(ISBLANK(F82:G82),,IF(COUNTA(F82)=0,G82,F82))</f>
        <v/>
      </c>
      <c r="K82" s="64">
        <f>IFERROR(__xludf.DUMMYFUNCTION("if(isblank(J82),,index(googlefinance(A82,K$2,J82-1),2,2))"),212.13)</f>
        <v/>
      </c>
      <c r="L82" s="65">
        <f>IF(ISBLANK(H82:I82),,IF(COUNTA(H82)=0,I82,H82))</f>
        <v/>
      </c>
      <c r="M82" s="66">
        <f>IFERROR(__xludf.DUMMYFUNCTION("if(isblank(L82),, index(googlefinance(A82,M$2,L82-1),2,2))"),213.15)</f>
        <v/>
      </c>
      <c r="N82" s="67">
        <f>IFERROR(__xludf.DUMMYFUNCTION("if(isblank(A82),,googlefinance(A82))"),241.7)</f>
        <v/>
      </c>
      <c r="O82" s="68">
        <f>IF(ISBLANK(J82),,IF(ISBLANK(L82),"Ongoing","Completed"))</f>
        <v/>
      </c>
      <c r="P82" s="68">
        <f>IF(ISBLANK(A82),,IF(AND(COUNTA(F82)=1,T82&gt;0),"Profit",IF(AND(COUNTA(G82)=1,T82&lt;0),"Profit","Loss")))</f>
        <v/>
      </c>
      <c r="Q82" s="53">
        <f>IF(ISBLANK(U82),,IF(P82="Profit",IF(T82&lt;0,U82*-T82,U82*T82),IF(T82&gt;0,U82*-T82,U82*T82)))</f>
        <v/>
      </c>
      <c r="R82" s="68" t="n"/>
      <c r="S82" s="69">
        <f>IF($Q82&gt;0, TRUE, FALSE)</f>
        <v/>
      </c>
      <c r="T82" s="68">
        <f>IF(ISBLANK(J82),,IF(ISBLANK(L82),N82-K82,M82-K82))</f>
        <v/>
      </c>
      <c r="U82" s="55">
        <f>IF(ISBLANK(J82),,ROUNDDOWN(U$1/K82,0))</f>
        <v/>
      </c>
    </row>
    <row r="83" hidden="1" ht="14" customHeight="1">
      <c r="A83" s="59" t="inlineStr">
        <is>
          <t>SBAC</t>
        </is>
      </c>
      <c r="B83" s="60" t="n">
        <v>11</v>
      </c>
      <c r="C83" s="61" t="n">
        <v>48.77</v>
      </c>
      <c r="D83" s="61" t="n">
        <v>45.455</v>
      </c>
      <c r="E83" s="61" t="n">
        <v>1.267</v>
      </c>
      <c r="F83" s="62" t="n">
        <v>45183</v>
      </c>
      <c r="G83" s="62" t="n"/>
      <c r="H83" s="62" t="n">
        <v>45186</v>
      </c>
      <c r="I83" s="62" t="n"/>
      <c r="J83" s="63">
        <f>IF(ISBLANK(F83:G83),,IF(COUNTA(F83)=0,G83,F83))</f>
        <v/>
      </c>
      <c r="K83" s="64">
        <f>IFERROR(__xludf.DUMMYFUNCTION("if(isblank(J83),,index(googlefinance(A83,K$2,J83-1),2,2))"),212.33)</f>
        <v/>
      </c>
      <c r="L83" s="65">
        <f>IF(ISBLANK(H83:I83),,IF(COUNTA(H83)=0,I83,H83))</f>
        <v/>
      </c>
      <c r="M83" s="66">
        <f>IFERROR(__xludf.DUMMYFUNCTION("if(isblank(L83),, index(googlefinance(A83,M$2,L83-1),2,2))"),215.1)</f>
        <v/>
      </c>
      <c r="N83" s="67">
        <f>IFERROR(__xludf.DUMMYFUNCTION("if(isblank(A83),,googlefinance(A83))"),248.31)</f>
        <v/>
      </c>
      <c r="O83" s="68">
        <f>IF(ISBLANK(J83),,IF(ISBLANK(L83),"Ongoing","Completed"))</f>
        <v/>
      </c>
      <c r="P83" s="68">
        <f>IF(ISBLANK(A83),,IF(AND(COUNTA(F83)=1,T83&gt;0),"Profit",IF(AND(COUNTA(G83)=1,T83&lt;0),"Profit","Loss")))</f>
        <v/>
      </c>
      <c r="Q83" s="53">
        <f>IF(ISBLANK(U83),,IF(P83="Profit",IF(T83&lt;0,U83*-T83,U83*T83),IF(T83&gt;0,U83*-T83,U83*T83)))</f>
        <v/>
      </c>
      <c r="R83" s="68" t="n"/>
      <c r="S83" s="69">
        <f>IF($Q83&gt;0, TRUE, FALSE)</f>
        <v/>
      </c>
      <c r="T83" s="68">
        <f>IF(ISBLANK(J83),,IF(ISBLANK(L83),N83-K83,M83-K83))</f>
        <v/>
      </c>
      <c r="U83" s="55">
        <f>IF(ISBLANK(J83),,ROUNDDOWN(U$1/K83,0))</f>
        <v/>
      </c>
    </row>
    <row r="84" hidden="1" ht="14" customHeight="1">
      <c r="A84" s="59" t="inlineStr">
        <is>
          <t>INTC</t>
        </is>
      </c>
      <c r="B84" s="60" t="n">
        <v>10</v>
      </c>
      <c r="C84" s="61" t="n">
        <v>178.26</v>
      </c>
      <c r="D84" s="61" t="n">
        <v>40</v>
      </c>
      <c r="E84" s="61" t="n">
        <v>1.979</v>
      </c>
      <c r="F84" s="62" t="n"/>
      <c r="G84" s="62" t="n">
        <v>45184</v>
      </c>
      <c r="H84" s="62" t="n"/>
      <c r="I84" s="62" t="n">
        <v>45198</v>
      </c>
      <c r="J84" s="63">
        <f>IF(ISBLANK(F84:G84),,IF(COUNTA(F84)=0,G84,F84))</f>
        <v/>
      </c>
      <c r="K84" s="64">
        <f>IFERROR(__xludf.DUMMYFUNCTION("if(isblank(J84),,index(googlefinance(A84,K$2,J84-1),2,2))"),38.67)</f>
        <v/>
      </c>
      <c r="L84" s="65">
        <f>IF(ISBLANK(H84:I84),,IF(COUNTA(H84)=0,I84,H84))</f>
        <v/>
      </c>
      <c r="M84" s="66">
        <f>IFERROR(__xludf.DUMMYFUNCTION("if(isblank(L84),, index(googlefinance(A84,M$2,L84-1),2,2))"),35.18)</f>
        <v/>
      </c>
      <c r="N84" s="67">
        <f>IFERROR(__xludf.DUMMYFUNCTION("if(isblank(A84),,googlefinance(A84))"),47.05)</f>
        <v/>
      </c>
      <c r="O84" s="68">
        <f>IF(ISBLANK(J84),,IF(ISBLANK(L84),"Ongoing","Completed"))</f>
        <v/>
      </c>
      <c r="P84" s="68">
        <f>IF(ISBLANK(A84),,IF(AND(COUNTA(F84)=1,T84&gt;0),"Profit",IF(AND(COUNTA(G84)=1,T84&lt;0),"Profit","Loss")))</f>
        <v/>
      </c>
      <c r="Q84" s="53">
        <f>IF(ISBLANK(U84),,IF(P84="Profit",IF(T84&lt;0,U84*-T84,U84*T84),IF(T84&gt;0,U84*-T84,U84*T84)))</f>
        <v/>
      </c>
      <c r="R84" s="68" t="n"/>
      <c r="S84" s="69">
        <f>IF($Q84&gt;0, TRUE, FALSE)</f>
        <v/>
      </c>
      <c r="T84" s="68">
        <f>IF(ISBLANK(J84),,IF(ISBLANK(L84),N84-K84,M84-K84))</f>
        <v/>
      </c>
      <c r="U84" s="55">
        <f>IF(ISBLANK(J84),,ROUNDDOWN(U$1/K84,0))</f>
        <v/>
      </c>
    </row>
    <row r="85" hidden="1" ht="14" customHeight="1">
      <c r="A85" s="59" t="inlineStr">
        <is>
          <t>OXY</t>
        </is>
      </c>
      <c r="B85" s="60" t="n">
        <v>7</v>
      </c>
      <c r="C85" s="61" t="n">
        <v>621.3</v>
      </c>
      <c r="D85" s="61" t="n">
        <v>42.857</v>
      </c>
      <c r="E85" s="61" t="n">
        <v>5.552</v>
      </c>
      <c r="F85" s="62" t="n"/>
      <c r="G85" s="62" t="n">
        <v>45188</v>
      </c>
      <c r="H85" s="62" t="n"/>
      <c r="I85" s="62" t="n">
        <v>45196</v>
      </c>
      <c r="J85" s="63">
        <f>IF(ISBLANK(F85:G85),,IF(COUNTA(F85)=0,G85,F85))</f>
        <v/>
      </c>
      <c r="K85" s="64">
        <f>IFERROR(__xludf.DUMMYFUNCTION("if(isblank(J85),,index(googlefinance(A85,K$2,J85-1),2,2))"),66.32)</f>
        <v/>
      </c>
      <c r="L85" s="65">
        <f>IF(ISBLANK(H85:I85),,IF(COUNTA(H85)=0,I85,H85))</f>
        <v/>
      </c>
      <c r="M85" s="66">
        <f>IFERROR(__xludf.DUMMYFUNCTION("if(isblank(L85),, index(googlefinance(A85,M$2,L85-1),2,2))"),63.15)</f>
        <v/>
      </c>
      <c r="N85" s="67">
        <f>IFERROR(__xludf.DUMMYFUNCTION("if(isblank(A85),,googlefinance(A85))"),60.61)</f>
        <v/>
      </c>
      <c r="O85" s="68">
        <f>IF(ISBLANK(J85),,IF(ISBLANK(L85),"Ongoing","Completed"))</f>
        <v/>
      </c>
      <c r="P85" s="68">
        <f>IF(ISBLANK(A85),,IF(AND(COUNTA(F85)=1,T85&gt;0),"Profit",IF(AND(COUNTA(G85)=1,T85&lt;0),"Profit","Loss")))</f>
        <v/>
      </c>
      <c r="Q85" s="53">
        <f>IF(ISBLANK(U85),,IF(P85="Profit",IF(T85&lt;0,U85*-T85,U85*T85),IF(T85&gt;0,U85*-T85,U85*T85)))</f>
        <v/>
      </c>
      <c r="R85" s="68" t="n"/>
      <c r="S85" s="69">
        <f>IF($Q85&gt;0, TRUE, FALSE)</f>
        <v/>
      </c>
      <c r="T85" s="68">
        <f>IF(ISBLANK(J85),,IF(ISBLANK(L85),N85-K85,M85-K85))</f>
        <v/>
      </c>
      <c r="U85" s="55">
        <f>IF(ISBLANK(J85),,ROUNDDOWN(U$1/K85,0))</f>
        <v/>
      </c>
    </row>
    <row r="86" hidden="1" ht="14" customHeight="1">
      <c r="A86" s="59" t="inlineStr">
        <is>
          <t>NRG</t>
        </is>
      </c>
      <c r="B86" s="60" t="n">
        <v>12</v>
      </c>
      <c r="C86" s="61" t="n">
        <v>108.61</v>
      </c>
      <c r="D86" s="61" t="n">
        <v>50</v>
      </c>
      <c r="E86" s="61" t="n">
        <v>2.915</v>
      </c>
      <c r="F86" s="62" t="n"/>
      <c r="G86" s="62" t="n">
        <v>45189</v>
      </c>
      <c r="H86" s="62" t="n"/>
      <c r="I86" s="62" t="n">
        <v>45194</v>
      </c>
      <c r="J86" s="63">
        <f>IF(ISBLANK(F86:G86),,IF(COUNTA(F86)=0,G86,F86))</f>
        <v/>
      </c>
      <c r="K86" s="64">
        <f>IFERROR(__xludf.DUMMYFUNCTION("if(isblank(J86),,index(googlefinance(A86,K$2,J86-1),2,2))"),39.19)</f>
        <v/>
      </c>
      <c r="L86" s="65">
        <f>IF(ISBLANK(H86:I86),,IF(COUNTA(H86)=0,I86,H86))</f>
        <v/>
      </c>
      <c r="M86" s="66">
        <f>IFERROR(__xludf.DUMMYFUNCTION("if(isblank(L86),, index(googlefinance(A86,M$2,L86-1),2,2))"),39.19)</f>
        <v/>
      </c>
      <c r="N86" s="67">
        <f>IFERROR(__xludf.DUMMYFUNCTION("if(isblank(A86),,googlefinance(A86))"),51.67)</f>
        <v/>
      </c>
      <c r="O86" s="68">
        <f>IF(ISBLANK(J86),,IF(ISBLANK(L86),"Ongoing","Completed"))</f>
        <v/>
      </c>
      <c r="P86" s="68">
        <f>IF(ISBLANK(A86),,IF(AND(COUNTA(F86)=1,T86&gt;0),"Profit",IF(AND(COUNTA(G86)=1,T86&lt;0),"Profit","Loss")))</f>
        <v/>
      </c>
      <c r="Q86" s="53">
        <f>IF(ISBLANK(U86),,IF(P86="Profit",IF(T86&lt;0,U86*-T86,U86*T86),IF(T86&gt;0,U86*-T86,U86*T86)))</f>
        <v/>
      </c>
      <c r="R86" s="68" t="n"/>
      <c r="S86" s="69">
        <f>IF($Q86&gt;0, TRUE, FALSE)</f>
        <v/>
      </c>
      <c r="T86" s="68">
        <f>IF(ISBLANK(J86),,IF(ISBLANK(L86),N86-K86,M86-K86))</f>
        <v/>
      </c>
      <c r="U86" s="55">
        <f>IF(ISBLANK(J86),,ROUNDDOWN(U$1/K86,0))</f>
        <v/>
      </c>
    </row>
    <row r="87" hidden="1" ht="14" customHeight="1">
      <c r="A87" s="59" t="inlineStr">
        <is>
          <t>SLB</t>
        </is>
      </c>
      <c r="B87" s="60" t="n">
        <v>12</v>
      </c>
      <c r="C87" s="61" t="n">
        <v>356.9</v>
      </c>
      <c r="D87" s="61" t="n">
        <v>41.667</v>
      </c>
      <c r="E87" s="61" t="n">
        <v>2.496</v>
      </c>
      <c r="F87" s="62" t="n"/>
      <c r="G87" s="62" t="n">
        <v>45189</v>
      </c>
      <c r="H87" s="62" t="n"/>
      <c r="I87" s="62" t="n">
        <v>45195</v>
      </c>
      <c r="J87" s="63">
        <f>IF(ISBLANK(F87:G87),,IF(COUNTA(F87)=0,G87,F87))</f>
        <v/>
      </c>
      <c r="K87" s="64">
        <f>IFERROR(__xludf.DUMMYFUNCTION("if(isblank(J87),,index(googlefinance(A87,K$2,J87-1),2,2))"),60.43)</f>
        <v/>
      </c>
      <c r="L87" s="65">
        <f>IF(ISBLANK(H87:I87),,IF(COUNTA(H87)=0,I87,H87))</f>
        <v/>
      </c>
      <c r="M87" s="66">
        <f>IFERROR(__xludf.DUMMYFUNCTION("if(isblank(L87),, index(googlefinance(A87,M$2,L87-1),2,2))"),59.84)</f>
        <v/>
      </c>
      <c r="N87" s="67">
        <f>IFERROR(__xludf.DUMMYFUNCTION("if(isblank(A87),,googlefinance(A87))"),52.65)</f>
        <v/>
      </c>
      <c r="O87" s="68">
        <f>IF(ISBLANK(J87),,IF(ISBLANK(L87),"Ongoing","Completed"))</f>
        <v/>
      </c>
      <c r="P87" s="68">
        <f>IF(ISBLANK(A87),,IF(AND(COUNTA(F87)=1,T87&gt;0),"Profit",IF(AND(COUNTA(G87)=1,T87&lt;0),"Profit","Loss")))</f>
        <v/>
      </c>
      <c r="Q87" s="53">
        <f>IF(ISBLANK(U87),,IF(P87="Profit",IF(T87&lt;0,U87*-T87,U87*T87),IF(T87&gt;0,U87*-T87,U87*T87)))</f>
        <v/>
      </c>
      <c r="R87" s="68" t="n"/>
      <c r="S87" s="69">
        <f>IF($Q87&gt;0, TRUE, FALSE)</f>
        <v/>
      </c>
      <c r="T87" s="68">
        <f>IF(ISBLANK(J87),,IF(ISBLANK(L87),N87-K87,M87-K87))</f>
        <v/>
      </c>
      <c r="U87" s="55">
        <f>IF(ISBLANK(J87),,ROUNDDOWN(U$1/K87,0))</f>
        <v/>
      </c>
    </row>
    <row r="88" hidden="1" ht="14" customHeight="1">
      <c r="A88" s="59" t="inlineStr">
        <is>
          <t>CRWD</t>
        </is>
      </c>
      <c r="B88" s="60" t="n">
        <v>12</v>
      </c>
      <c r="C88" s="61" t="n">
        <v>60.17</v>
      </c>
      <c r="D88" s="61" t="n">
        <v>25</v>
      </c>
      <c r="E88" s="61" t="n">
        <v>1.145</v>
      </c>
      <c r="F88" s="62" t="n"/>
      <c r="G88" s="62" t="n">
        <v>45190</v>
      </c>
      <c r="H88" s="62" t="n"/>
      <c r="I88" s="62" t="n">
        <v>45197</v>
      </c>
      <c r="J88" s="63">
        <f>IF(ISBLANK(F88:G88),,IF(COUNTA(F88)=0,G88,F88))</f>
        <v/>
      </c>
      <c r="K88" s="64">
        <f>IFERROR(__xludf.DUMMYFUNCTION("if(isblank(J88),,index(googlefinance(A88,K$2,J88-1),2,2))"),163.89)</f>
        <v/>
      </c>
      <c r="L88" s="65">
        <f>IF(ISBLANK(H88:I88),,IF(COUNTA(H88)=0,I88,H88))</f>
        <v/>
      </c>
      <c r="M88" s="66">
        <f>IFERROR(__xludf.DUMMYFUNCTION("if(isblank(L88),, index(googlefinance(A88,M$2,L88-1),2,2))"),163.04)</f>
        <v/>
      </c>
      <c r="N88" s="67">
        <f>IFERROR(__xludf.DUMMYFUNCTION("if(isblank(A88),,googlefinance(A88))"),244.36)</f>
        <v/>
      </c>
      <c r="O88" s="68">
        <f>IF(ISBLANK(J88),,IF(ISBLANK(L88),"Ongoing","Completed"))</f>
        <v/>
      </c>
      <c r="P88" s="68">
        <f>IF(ISBLANK(A88),,IF(AND(COUNTA(F88)=1,T88&gt;0),"Profit",IF(AND(COUNTA(G88)=1,T88&lt;0),"Profit","Loss")))</f>
        <v/>
      </c>
      <c r="Q88" s="53">
        <f>IF(ISBLANK(U88),,IF(P88="Profit",IF(T88&lt;0,U88*-T88,U88*T88),IF(T88&gt;0,U88*-T88,U88*T88)))</f>
        <v/>
      </c>
      <c r="R88" s="68" t="n"/>
      <c r="S88" s="69">
        <f>IF($Q88&gt;0, TRUE, FALSE)</f>
        <v/>
      </c>
      <c r="T88" s="68">
        <f>IF(ISBLANK(J88),,IF(ISBLANK(L88),N88-K88,M88-K88))</f>
        <v/>
      </c>
      <c r="U88" s="55">
        <f>IF(ISBLANK(J88),,ROUNDDOWN(U$1/K88,0))</f>
        <v/>
      </c>
    </row>
    <row r="89" hidden="1" ht="14" customHeight="1">
      <c r="A89" s="59" t="inlineStr">
        <is>
          <t>HAL</t>
        </is>
      </c>
      <c r="B89" s="60" t="n">
        <v>15</v>
      </c>
      <c r="C89" s="61" t="n">
        <v>181.91</v>
      </c>
      <c r="D89" s="61" t="n">
        <v>26.667</v>
      </c>
      <c r="E89" s="61" t="n">
        <v>1.807</v>
      </c>
      <c r="F89" s="62" t="n"/>
      <c r="G89" s="62" t="n">
        <v>45190</v>
      </c>
      <c r="H89" s="62" t="n"/>
      <c r="I89" s="62" t="n">
        <v>45196</v>
      </c>
      <c r="J89" s="63">
        <f>IF(ISBLANK(F89:G89),,IF(COUNTA(F89)=0,G89,F89))</f>
        <v/>
      </c>
      <c r="K89" s="64">
        <f>IFERROR(__xludf.DUMMYFUNCTION("if(isblank(J89),,index(googlefinance(A89,K$2,J89-1),2,2))"),41.29)</f>
        <v/>
      </c>
      <c r="L89" s="65">
        <f>IF(ISBLANK(H89:I89),,IF(COUNTA(H89)=0,I89,H89))</f>
        <v/>
      </c>
      <c r="M89" s="66">
        <f>IFERROR(__xludf.DUMMYFUNCTION("if(isblank(L89),, index(googlefinance(A89,M$2,L89-1),2,2))"),40.79)</f>
        <v/>
      </c>
      <c r="N89" s="67">
        <f>IFERROR(__xludf.DUMMYFUNCTION("if(isblank(A89),,googlefinance(A89))"),36.57)</f>
        <v/>
      </c>
      <c r="O89" s="68">
        <f>IF(ISBLANK(J89),,IF(ISBLANK(L89),"Ongoing","Completed"))</f>
        <v/>
      </c>
      <c r="P89" s="68">
        <f>IF(ISBLANK(A89),,IF(AND(COUNTA(F89)=1,T89&gt;0),"Profit",IF(AND(COUNTA(G89)=1,T89&lt;0),"Profit","Loss")))</f>
        <v/>
      </c>
      <c r="Q89" s="53">
        <f>IF(ISBLANK(U89),,IF(P89="Profit",IF(T89&lt;0,U89*-T89,U89*T89),IF(T89&gt;0,U89*-T89,U89*T89)))</f>
        <v/>
      </c>
      <c r="R89" s="68" t="n"/>
      <c r="S89" s="69">
        <f>IF($Q89&gt;0, TRUE, FALSE)</f>
        <v/>
      </c>
      <c r="T89" s="68">
        <f>IF(ISBLANK(J89),,IF(ISBLANK(L89),N89-K89,M89-K89))</f>
        <v/>
      </c>
      <c r="U89" s="55">
        <f>IF(ISBLANK(J89),,ROUNDDOWN(U$1/K89,0))</f>
        <v/>
      </c>
    </row>
    <row r="90" hidden="1" ht="14" customHeight="1">
      <c r="A90" s="59" t="inlineStr">
        <is>
          <t>PRU</t>
        </is>
      </c>
      <c r="B90" s="60" t="n">
        <v>9</v>
      </c>
      <c r="C90" s="61" t="n">
        <v>33.68</v>
      </c>
      <c r="D90" s="61" t="n">
        <v>55.556</v>
      </c>
      <c r="E90" s="61" t="n">
        <v>1.336</v>
      </c>
      <c r="F90" s="62" t="n"/>
      <c r="G90" s="62" t="n">
        <v>45191</v>
      </c>
      <c r="H90" s="62" t="n"/>
      <c r="I90" s="62" t="n">
        <v>45208</v>
      </c>
      <c r="J90" s="63">
        <f>IF(ISBLANK(F90:G90),,IF(COUNTA(F90)=0,G90,F90))</f>
        <v/>
      </c>
      <c r="K90" s="64">
        <f>IFERROR(__xludf.DUMMYFUNCTION("if(isblank(J90),,index(googlefinance(A90,K$2,J90-1),2,2))"),96.97)</f>
        <v/>
      </c>
      <c r="L90" s="65">
        <f>IF(ISBLANK(H90:I90),,IF(COUNTA(H90)=0,I90,H90))</f>
        <v/>
      </c>
      <c r="M90" s="66">
        <f>IFERROR(__xludf.DUMMYFUNCTION("if(isblank(L90),, index(googlefinance(A90,M$2,L90-1),2,2))"),93.41)</f>
        <v/>
      </c>
      <c r="N90" s="67">
        <f>IFERROR(__xludf.DUMMYFUNCTION("if(isblank(A90),,googlefinance(A90))"),102.79)</f>
        <v/>
      </c>
      <c r="O90" s="68">
        <f>IF(ISBLANK(J90),,IF(ISBLANK(L90),"Ongoing","Completed"))</f>
        <v/>
      </c>
      <c r="P90" s="68">
        <f>IF(ISBLANK(A90),,IF(AND(COUNTA(F90)=1,T90&gt;0),"Profit",IF(AND(COUNTA(G90)=1,T90&lt;0),"Profit","Loss")))</f>
        <v/>
      </c>
      <c r="Q90" s="53">
        <f>IF(ISBLANK(U90),,IF(P90="Profit",IF(T90&lt;0,U90*-T90,U90*T90),IF(T90&gt;0,U90*-T90,U90*T90)))</f>
        <v/>
      </c>
      <c r="R90" s="68" t="n"/>
      <c r="S90" s="69">
        <f>IF($Q90&gt;0, TRUE, FALSE)</f>
        <v/>
      </c>
      <c r="T90" s="68">
        <f>IF(ISBLANK(J90),,IF(ISBLANK(L90),N90-K90,M90-K90))</f>
        <v/>
      </c>
      <c r="U90" s="55">
        <f>IF(ISBLANK(J90),,ROUNDDOWN(U$1/K90,0))</f>
        <v/>
      </c>
    </row>
    <row r="91" hidden="1" ht="14" customHeight="1">
      <c r="A91" s="59" t="inlineStr">
        <is>
          <t>AAPL</t>
        </is>
      </c>
      <c r="B91" s="60" t="n">
        <v>12</v>
      </c>
      <c r="C91" s="61" t="n">
        <v>7.262</v>
      </c>
      <c r="D91" s="61" t="n">
        <v>50</v>
      </c>
      <c r="E91" s="61" t="n">
        <v>1.049</v>
      </c>
      <c r="F91" s="62" t="n">
        <v>45194</v>
      </c>
      <c r="G91" s="62" t="n"/>
      <c r="H91" s="62" t="n">
        <v>45195</v>
      </c>
      <c r="I91" s="62" t="n"/>
      <c r="J91" s="63">
        <f>IF(ISBLANK(F91:G91),,IF(COUNTA(F91)=0,G91,F91))</f>
        <v/>
      </c>
      <c r="K91" s="64">
        <f>IFERROR(__xludf.DUMMYFUNCTION("if(isblank(J91),,index(googlefinance(A91,K$2,J91-1),2,2))"),176.08)</f>
        <v/>
      </c>
      <c r="L91" s="65">
        <f>IF(ISBLANK(H91:I91),,IF(COUNTA(H91)=0,I91,H91))</f>
        <v/>
      </c>
      <c r="M91" s="66">
        <f>IFERROR(__xludf.DUMMYFUNCTION("if(isblank(L91),, index(googlefinance(A91,M$2,L91-1),2,2))"),176.08)</f>
        <v/>
      </c>
      <c r="N91" s="67">
        <f>IFERROR(__xludf.DUMMYFUNCTION("if(isblank(A91),,googlefinance(A91))"),184.25)</f>
        <v/>
      </c>
      <c r="O91" s="68">
        <f>IF(ISBLANK(J91),,IF(ISBLANK(L91),"Ongoing","Completed"))</f>
        <v/>
      </c>
      <c r="P91" s="68">
        <f>IF(ISBLANK(A91),,IF(AND(COUNTA(F91)=1,T91&gt;0),"Profit",IF(AND(COUNTA(G91)=1,T91&lt;0),"Profit","Loss")))</f>
        <v/>
      </c>
      <c r="Q91" s="53">
        <f>IF(ISBLANK(U91),,IF(P91="Profit",IF(T91&lt;0,U91*-T91,U91*T91),IF(T91&gt;0,U91*-T91,U91*T91)))</f>
        <v/>
      </c>
      <c r="R91" s="68" t="n"/>
      <c r="S91" s="69">
        <f>IF($Q91&gt;0, TRUE, FALSE)</f>
        <v/>
      </c>
      <c r="T91" s="68">
        <f>IF(ISBLANK(J91),,IF(ISBLANK(L91),N91-K91,M91-K91))</f>
        <v/>
      </c>
      <c r="U91" s="55">
        <f>IF(ISBLANK(J91),,ROUNDDOWN(U$1/K91,0))</f>
        <v/>
      </c>
    </row>
    <row r="92" hidden="1" ht="14" customHeight="1">
      <c r="A92" s="59" t="inlineStr">
        <is>
          <t>WRB</t>
        </is>
      </c>
      <c r="B92" s="60" t="n">
        <v>13</v>
      </c>
      <c r="C92" s="61" t="n">
        <v>85.59999999999999</v>
      </c>
      <c r="D92" s="61" t="n">
        <v>23.077</v>
      </c>
      <c r="E92" s="61" t="n">
        <v>1.471</v>
      </c>
      <c r="F92" s="62" t="n"/>
      <c r="G92" s="62" t="n">
        <v>45196</v>
      </c>
      <c r="H92" s="62" t="n"/>
      <c r="I92" s="62" t="n">
        <v>45203</v>
      </c>
      <c r="J92" s="63">
        <f>IF(ISBLANK(G92),,IF(COUNTA(G92)=0,#REF!,G92))</f>
        <v/>
      </c>
      <c r="K92" s="64">
        <f>IFERROR(__xludf.DUMMYFUNCTION("if(isblank(J92),,index(googlefinance(A92,K$2,J92-1),2,2))"),64.43)</f>
        <v/>
      </c>
      <c r="L92" s="65">
        <f>IF(ISBLANK(H92:I92),,IF(COUNTA(H92)=0,I92,H92))</f>
        <v/>
      </c>
      <c r="M92" s="66">
        <f>IFERROR(__xludf.DUMMYFUNCTION("if(isblank(L92),, index(googlefinance(A92,M$2,L92-1),2,2))"),62.44)</f>
        <v/>
      </c>
      <c r="N92" s="67">
        <f>IFERROR(__xludf.DUMMYFUNCTION("if(isblank(A92),,googlefinance(A92))"),72.56)</f>
        <v/>
      </c>
      <c r="O92" s="68">
        <f>IF(ISBLANK(J92),,IF(ISBLANK(L92),"Ongoing","Completed"))</f>
        <v/>
      </c>
      <c r="P92" s="68">
        <f>IF(ISBLANK(A92),,IF(AND(COUNTA(G92)=1,T92&gt;0),"Profit",IF(AND(COUNTA(#REF!)=1,T92&lt;0),"Profit","Loss")))</f>
        <v/>
      </c>
      <c r="Q92" s="53">
        <f>IF(ISBLANK(U92),,IF(P92="Profit",IF(T92&lt;0,U92*-T92,U92*T92),IF(T92&gt;0,U92*-T92,U92*T92)))</f>
        <v/>
      </c>
      <c r="R92" s="68" t="n"/>
      <c r="S92" s="69">
        <f>IF($Q92&gt;0, TRUE, FALSE)</f>
        <v/>
      </c>
      <c r="T92" s="68">
        <f>IF(ISBLANK(J92),,IF(ISBLANK(L92),N92-K92,M92-K92))</f>
        <v/>
      </c>
      <c r="U92" s="55">
        <f>IF(ISBLANK(J92),,ROUNDDOWN(U$1/K92,0))</f>
        <v/>
      </c>
    </row>
    <row r="93" hidden="1" ht="14" customHeight="1">
      <c r="A93" s="59" t="inlineStr">
        <is>
          <t>MAR</t>
        </is>
      </c>
      <c r="B93" s="60" t="n">
        <v>11</v>
      </c>
      <c r="C93" s="61" t="n">
        <v>162.25</v>
      </c>
      <c r="D93" s="61" t="n">
        <v>27.273</v>
      </c>
      <c r="E93" s="61" t="n">
        <v>1.655</v>
      </c>
      <c r="F93" s="62" t="n">
        <v>45197</v>
      </c>
      <c r="G93" s="62" t="n"/>
      <c r="H93" s="62" t="n">
        <v>45201</v>
      </c>
      <c r="I93" s="62" t="n"/>
      <c r="J93" s="63">
        <f>IF(ISBLANK(F93:G93),,IF(COUNTA(F93)=0,G93,F93))</f>
        <v/>
      </c>
      <c r="K93" s="64">
        <f>IFERROR(__xludf.DUMMYFUNCTION("if(isblank(J93),,index(googlefinance(A93,K$2,J93-1),2,2))"),193.88)</f>
        <v/>
      </c>
      <c r="L93" s="65">
        <f>IF(ISBLANK(H93:I93),,IF(COUNTA(H93)=0,I93,H93))</f>
        <v/>
      </c>
      <c r="M93" s="66">
        <f>IFERROR(__xludf.DUMMYFUNCTION("if(isblank(L93),, index(googlefinance(A93,M$2,L93-1),2,2))"),193.75)</f>
        <v/>
      </c>
      <c r="N93" s="67">
        <f>IFERROR(__xludf.DUMMYFUNCTION("if(isblank(A93),,googlefinance(A93))"),219.04)</f>
        <v/>
      </c>
      <c r="O93" s="68">
        <f>IF(ISBLANK(J93),,IF(ISBLANK(L93),"Ongoing","Completed"))</f>
        <v/>
      </c>
      <c r="P93" s="68">
        <f>IF(ISBLANK(A93),,IF(AND(COUNTA(F93)=1,T93&gt;0),"Profit",IF(AND(COUNTA(G93)=1,T93&lt;0),"Profit","Loss")))</f>
        <v/>
      </c>
      <c r="Q93" s="53">
        <f>IF(ISBLANK(U93),,IF(P93="Profit",IF(T93&lt;0,U93*-T93,U93*T93),IF(T93&gt;0,U93*-T93,U93*T93)))</f>
        <v/>
      </c>
      <c r="R93" s="68" t="n"/>
      <c r="S93" s="69">
        <f>IF($Q93&gt;0, TRUE, FALSE)</f>
        <v/>
      </c>
      <c r="T93" s="68">
        <f>IF(ISBLANK(J93),,IF(ISBLANK(L93),N93-K93,M93-K93))</f>
        <v/>
      </c>
      <c r="U93" s="55">
        <f>IF(ISBLANK(J93),,ROUNDDOWN(U$1/K93,0))</f>
        <v/>
      </c>
    </row>
    <row r="94" hidden="1" ht="14" customHeight="1">
      <c r="A94" s="59" t="inlineStr">
        <is>
          <t>VRSN</t>
        </is>
      </c>
      <c r="B94" s="60" t="n">
        <v>12</v>
      </c>
      <c r="C94" s="61" t="n">
        <v>387.62</v>
      </c>
      <c r="D94" s="61" t="n">
        <v>41.667</v>
      </c>
      <c r="E94" s="61" t="n">
        <v>3.387</v>
      </c>
      <c r="F94" s="62" t="n">
        <v>45197</v>
      </c>
      <c r="G94" s="62" t="n"/>
      <c r="H94" s="62" t="n">
        <v>45202</v>
      </c>
      <c r="I94" s="62" t="n"/>
      <c r="J94" s="63">
        <f>IF(ISBLANK(F94:G94),,IF(COUNTA(F94)=0,G94,F94))</f>
        <v/>
      </c>
      <c r="K94" s="64">
        <f>IFERROR(__xludf.DUMMYFUNCTION("if(isblank(J94),,index(googlefinance(A94,K$2,J94-1),2,2))"),200.47)</f>
        <v/>
      </c>
      <c r="L94" s="65">
        <f>IF(ISBLANK(H94:I94),,IF(COUNTA(H94)=0,I94,H94))</f>
        <v/>
      </c>
      <c r="M94" s="66">
        <f>IFERROR(__xludf.DUMMYFUNCTION("if(isblank(L94),, index(googlefinance(A94,M$2,L94-1),2,2))"),202.34)</f>
        <v/>
      </c>
      <c r="N94" s="67">
        <f>IFERROR(__xludf.DUMMYFUNCTION("if(isblank(A94),,googlefinance(A94))"),201.21)</f>
        <v/>
      </c>
      <c r="O94" s="68">
        <f>IF(ISBLANK(J94),,IF(ISBLANK(L94),"Ongoing","Completed"))</f>
        <v/>
      </c>
      <c r="P94" s="68">
        <f>IF(ISBLANK(A94),,IF(AND(COUNTA(F94)=1,T94&gt;0),"Profit",IF(AND(COUNTA(G94)=1,T94&lt;0),"Profit","Loss")))</f>
        <v/>
      </c>
      <c r="Q94" s="53">
        <f>IF(ISBLANK(U94),,IF(P94="Profit",IF(T94&lt;0,U94*-T94,U94*T94),IF(T94&gt;0,U94*-T94,U94*T94)))</f>
        <v/>
      </c>
      <c r="R94" s="68" t="n"/>
      <c r="S94" s="69">
        <f>IF($Q94&gt;0, TRUE, FALSE)</f>
        <v/>
      </c>
      <c r="T94" s="68">
        <f>IF(ISBLANK(J94),,IF(ISBLANK(L94),N94-K94,M94-K94))</f>
        <v/>
      </c>
      <c r="U94" s="55">
        <f>IF(ISBLANK(J94),,ROUNDDOWN(U$1/K94,0))</f>
        <v/>
      </c>
    </row>
    <row r="95" hidden="1" ht="14" customHeight="1">
      <c r="A95" s="72" t="inlineStr">
        <is>
          <t>ABBV</t>
        </is>
      </c>
      <c r="B95" s="70" t="n">
        <v>10</v>
      </c>
      <c r="C95" s="55" t="n">
        <v>311.94</v>
      </c>
      <c r="D95" s="55" t="n">
        <v>60</v>
      </c>
      <c r="E95" s="55" t="n">
        <v>5.412</v>
      </c>
      <c r="F95" s="62" t="n"/>
      <c r="G95" s="62" t="n">
        <v>45198</v>
      </c>
      <c r="H95" s="62" t="n"/>
      <c r="I95" s="62" t="n">
        <v>45210</v>
      </c>
      <c r="J95" s="63">
        <f>IF(ISBLANK(F95:G95),,IF(COUNTA(F95)=0,G95,F95))</f>
        <v/>
      </c>
      <c r="K95" s="64">
        <f>IFERROR(__xludf.DUMMYFUNCTION("if(isblank(J95),,index(googlefinance(A95,K$2,J95-1),2,2))"),152.25)</f>
        <v/>
      </c>
      <c r="L95" s="65">
        <f>IF(ISBLANK(H95:I95),,IF(COUNTA(H95)=0,I95,H95))</f>
        <v/>
      </c>
      <c r="M95" s="66">
        <f>IFERROR(__xludf.DUMMYFUNCTION("if(isblank(L95),, index(googlefinance(A95,M$2,L95-1),2,2))"),148.89)</f>
        <v/>
      </c>
      <c r="N95" s="67">
        <f>IFERROR(__xludf.DUMMYFUNCTION("if(isblank(A95),,googlefinance(A95))"),160.46)</f>
        <v/>
      </c>
      <c r="O95" s="68">
        <f>IF(ISBLANK(J95),,IF(ISBLANK(L95),"Ongoing","Completed"))</f>
        <v/>
      </c>
      <c r="P95" s="68">
        <f>IF(ISBLANK(A95),,IF(AND(COUNTA(F95)=1,T95&gt;0),"Profit",IF(AND(COUNTA(G95)=1,T95&lt;0),"Profit","Loss")))</f>
        <v/>
      </c>
      <c r="Q95" s="53">
        <f>IF(ISBLANK(U95),,IF(P95="Profit",IF(T95&lt;0,U95*-T95,U95*T95),IF(T95&gt;0,U95*-T95,U95*T95)))</f>
        <v/>
      </c>
      <c r="R95" s="68" t="n"/>
      <c r="S95" s="69">
        <f>IF($Q95&gt;0, TRUE, FALSE)</f>
        <v/>
      </c>
      <c r="T95" s="68">
        <f>IF(ISBLANK(J95),,IF(ISBLANK(L95),N95-K95,M95-K95))</f>
        <v/>
      </c>
      <c r="U95" s="55">
        <f>IF(ISBLANK(J95),,ROUNDDOWN(U$1/K95,0))</f>
        <v/>
      </c>
    </row>
    <row r="96" hidden="1" ht="14" customHeight="1">
      <c r="A96" s="72" t="inlineStr">
        <is>
          <t>MOH</t>
        </is>
      </c>
      <c r="B96" s="70" t="n">
        <v>11</v>
      </c>
      <c r="C96" s="55" t="n">
        <v>213.94</v>
      </c>
      <c r="D96" s="55" t="n">
        <v>36.364</v>
      </c>
      <c r="E96" s="55" t="n">
        <v>2.429</v>
      </c>
      <c r="F96" s="62" t="n"/>
      <c r="G96" s="62" t="n">
        <v>45198</v>
      </c>
      <c r="H96" s="62" t="n"/>
      <c r="I96" s="62" t="n">
        <v>45204</v>
      </c>
      <c r="J96" s="63">
        <f>IF(ISBLANK(F96:G96),,IF(COUNTA(F96)=0,G96,F96))</f>
        <v/>
      </c>
      <c r="K96" s="64">
        <f>IFERROR(__xludf.DUMMYFUNCTION("if(isblank(J96),,index(googlefinance(A96,K$2,J96-1),2,2))"),333.32)</f>
        <v/>
      </c>
      <c r="L96" s="65">
        <f>IF(ISBLANK(H96:I96),,IF(COUNTA(H96)=0,I96,H96))</f>
        <v/>
      </c>
      <c r="M96" s="66">
        <f>IFERROR(__xludf.DUMMYFUNCTION("if(isblank(L96),, index(googlefinance(A96,M$2,L96-1),2,2))"),328)</f>
        <v/>
      </c>
      <c r="N96" s="67">
        <f>IFERROR(__xludf.DUMMYFUNCTION("if(isblank(A96),,googlefinance(A96))"),376.67)</f>
        <v/>
      </c>
      <c r="O96" s="68">
        <f>IF(ISBLANK(J96),,IF(ISBLANK(L96),"Ongoing","Completed"))</f>
        <v/>
      </c>
      <c r="P96" s="68">
        <f>IF(ISBLANK(A96),,IF(AND(COUNTA(F96)=1,T96&gt;0),"Profit",IF(AND(COUNTA(G96)=1,T96&lt;0),"Profit","Loss")))</f>
        <v/>
      </c>
      <c r="Q96" s="53">
        <f>IF(ISBLANK(U96),,IF(P96="Profit",IF(T96&lt;0,U96*-T96,U96*T96),IF(T96&gt;0,U96*-T96,U96*T96)))</f>
        <v/>
      </c>
      <c r="R96" s="68" t="n"/>
      <c r="S96" s="69">
        <f>IF($Q96&gt;0, TRUE, FALSE)</f>
        <v/>
      </c>
      <c r="T96" s="68">
        <f>IF(ISBLANK(J96),,IF(ISBLANK(L96),N96-K96,M96-K96))</f>
        <v/>
      </c>
      <c r="U96" s="55">
        <f>IF(ISBLANK(J96),,ROUNDDOWN(U$1/K96,0))</f>
        <v/>
      </c>
    </row>
    <row r="97" hidden="1" ht="14" customHeight="1">
      <c r="A97" s="72" t="inlineStr">
        <is>
          <t>PAYX</t>
        </is>
      </c>
      <c r="B97" s="70" t="n">
        <v>14</v>
      </c>
      <c r="C97" s="55" t="n">
        <v>28.44</v>
      </c>
      <c r="D97" s="55" t="n">
        <v>35.714</v>
      </c>
      <c r="E97" s="55" t="n">
        <v>1.149</v>
      </c>
      <c r="F97" s="62" t="n">
        <v>45198</v>
      </c>
      <c r="G97" s="62" t="n"/>
      <c r="H97" s="62" t="n">
        <v>45219</v>
      </c>
      <c r="I97" s="62" t="n"/>
      <c r="J97" s="63">
        <f>IF(ISBLANK(F97:G97),,IF(COUNTA(F97)=0,G97,F97))</f>
        <v/>
      </c>
      <c r="K97" s="64">
        <f>IFERROR(__xludf.DUMMYFUNCTION("if(isblank(J97),,index(googlefinance(A97,K$2,J97-1),2,2))"),117.12)</f>
        <v/>
      </c>
      <c r="L97" s="65">
        <f>IF(ISBLANK(H97:I97),,IF(COUNTA(H97)=0,I97,H97))</f>
        <v/>
      </c>
      <c r="M97" s="66">
        <f>IFERROR(__xludf.DUMMYFUNCTION("if(isblank(L97),, index(googlefinance(A97,M$2,L97-1),2,2))"),118.19)</f>
        <v/>
      </c>
      <c r="N97" s="67">
        <f>IFERROR(__xludf.DUMMYFUNCTION("if(isblank(A97),,googlefinance(A97))"),116.84)</f>
        <v/>
      </c>
      <c r="O97" s="68">
        <f>IF(ISBLANK(J97),,IF(ISBLANK(L97),"Ongoing","Completed"))</f>
        <v/>
      </c>
      <c r="P97" s="68">
        <f>IF(ISBLANK(A97),,IF(AND(COUNTA(F97)=1,T97&gt;0),"Profit",IF(AND(COUNTA(G97)=1,T97&lt;0),"Profit","Loss")))</f>
        <v/>
      </c>
      <c r="Q97" s="53">
        <f>IF(ISBLANK(U97),,IF(P97="Profit",IF(T97&lt;0,U97*-T97,U97*T97),IF(T97&gt;0,U97*-T97,U97*T97)))</f>
        <v/>
      </c>
      <c r="R97" s="68" t="n"/>
      <c r="S97" s="69">
        <f>IF($Q97&gt;0, TRUE, FALSE)</f>
        <v/>
      </c>
      <c r="T97" s="68">
        <f>IF(ISBLANK(J97),,IF(ISBLANK(L97),N97-K97,M97-K97))</f>
        <v/>
      </c>
      <c r="U97" s="55">
        <f>IF(ISBLANK(J97),,ROUNDDOWN(U$1/K97,0))</f>
        <v/>
      </c>
    </row>
    <row r="98" hidden="1" ht="14" customHeight="1">
      <c r="A98" s="72" t="inlineStr">
        <is>
          <t>TRMB</t>
        </is>
      </c>
      <c r="B98" s="70" t="n">
        <v>12</v>
      </c>
      <c r="C98" s="55" t="n">
        <v>250.63</v>
      </c>
      <c r="D98" s="55" t="n">
        <v>25</v>
      </c>
      <c r="E98" s="55" t="n">
        <v>2.261</v>
      </c>
      <c r="F98" s="62" t="n">
        <v>45198</v>
      </c>
      <c r="G98" s="62" t="n"/>
      <c r="H98" s="62" t="n">
        <v>45203</v>
      </c>
      <c r="I98" s="62" t="n"/>
      <c r="J98" s="63">
        <f>IF(ISBLANK(F98:G98),,IF(COUNTA(F98)=0,G98,F98))</f>
        <v/>
      </c>
      <c r="K98" s="64">
        <f>IFERROR(__xludf.DUMMYFUNCTION("if(isblank(J98),,index(googlefinance(A98,K$2,J98-1),2,2))"),52.41)</f>
        <v/>
      </c>
      <c r="L98" s="65">
        <f>IF(ISBLANK(H98:I98),,IF(COUNTA(H98)=0,I98,H98))</f>
        <v/>
      </c>
      <c r="M98" s="66">
        <f>IFERROR(__xludf.DUMMYFUNCTION("if(isblank(L98),, index(googlefinance(A98,M$2,L98-1),2,2))"),51.75)</f>
        <v/>
      </c>
      <c r="N98" s="67">
        <f>IFERROR(__xludf.DUMMYFUNCTION("if(isblank(A98),,googlefinance(A98))"),50.58)</f>
        <v/>
      </c>
      <c r="O98" s="68">
        <f>IF(ISBLANK(J98),,IF(ISBLANK(L98),"Ongoing","Completed"))</f>
        <v/>
      </c>
      <c r="P98" s="68">
        <f>IF(ISBLANK(A98),,IF(AND(COUNTA(F98)=1,T98&gt;0),"Profit",IF(AND(COUNTA(G98)=1,T98&lt;0),"Profit","Loss")))</f>
        <v/>
      </c>
      <c r="Q98" s="53">
        <f>IF(ISBLANK(U98),,IF(P98="Profit",IF(T98&lt;0,U98*-T98,U98*T98),IF(T98&gt;0,U98*-T98,U98*T98)))</f>
        <v/>
      </c>
      <c r="R98" s="68" t="n"/>
      <c r="S98" s="69">
        <f>IF($Q98&gt;0, TRUE, FALSE)</f>
        <v/>
      </c>
      <c r="T98" s="68">
        <f>IF(ISBLANK(J98),,IF(ISBLANK(L98),N98-K98,M98-K98))</f>
        <v/>
      </c>
      <c r="U98" s="55">
        <f>IF(ISBLANK(J98),,ROUNDDOWN(U$1/K98,0))</f>
        <v/>
      </c>
    </row>
    <row r="99" hidden="1" ht="14" customHeight="1">
      <c r="A99" s="72" t="inlineStr">
        <is>
          <t>CVX</t>
        </is>
      </c>
      <c r="B99" s="70" t="n">
        <v>9</v>
      </c>
      <c r="C99" s="55" t="n">
        <v>408.84</v>
      </c>
      <c r="D99" s="55" t="n">
        <v>44.444</v>
      </c>
      <c r="E99" s="55" t="n">
        <v>4.472</v>
      </c>
      <c r="F99" s="62" t="n"/>
      <c r="G99" s="62" t="n">
        <v>45202</v>
      </c>
      <c r="H99" s="62" t="n"/>
      <c r="I99" s="62" t="n">
        <v>45208</v>
      </c>
      <c r="J99" s="63">
        <f>IF(ISBLANK(F99:G99),,IF(COUNTA(F99)=0,G99,F99))</f>
        <v/>
      </c>
      <c r="K99" s="64">
        <f>IFERROR(__xludf.DUMMYFUNCTION("if(isblank(J99),,index(googlefinance(A99,K$2,J99-1),2,2))"),166.54)</f>
        <v/>
      </c>
      <c r="L99" s="65">
        <f>IF(ISBLANK(H99:I99),,IF(COUNTA(H99)=0,I99,H99))</f>
        <v/>
      </c>
      <c r="M99" s="66">
        <f>IFERROR(__xludf.DUMMYFUNCTION("if(isblank(L99),, index(googlefinance(A99,M$2,L99-1),2,2))"),166.72)</f>
        <v/>
      </c>
      <c r="N99" s="67">
        <f>IFERROR(__xludf.DUMMYFUNCTION("if(isblank(A99),,googlefinance(A99))"),152.33)</f>
        <v/>
      </c>
      <c r="O99" s="68">
        <f>IF(ISBLANK(J99),,IF(ISBLANK(L99),"Ongoing","Completed"))</f>
        <v/>
      </c>
      <c r="P99" s="68">
        <f>IF(ISBLANK(A99),,IF(AND(COUNTA(F99)=1,T99&gt;0),"Profit",IF(AND(COUNTA(G99)=1,T99&lt;0),"Profit","Loss")))</f>
        <v/>
      </c>
      <c r="Q99" s="53">
        <f>IF(ISBLANK(U99),,IF(P99="Profit",IF(T99&lt;0,U99*-T99,U99*T99),IF(T99&gt;0,U99*-T99,U99*T99)))</f>
        <v/>
      </c>
      <c r="R99" s="68" t="n"/>
      <c r="S99" s="69">
        <f>IF($Q99&gt;0, TRUE, FALSE)</f>
        <v/>
      </c>
      <c r="T99" s="68">
        <f>IF(ISBLANK(J99),,IF(ISBLANK(L99),N99-K99,M99-K99))</f>
        <v/>
      </c>
      <c r="U99" s="55">
        <f>IF(ISBLANK(J99),,ROUNDDOWN(U$1/K99,0))</f>
        <v/>
      </c>
    </row>
    <row r="100" hidden="1" ht="14" customHeight="1">
      <c r="A100" s="72" t="inlineStr">
        <is>
          <t>PEG</t>
        </is>
      </c>
      <c r="B100" s="70" t="n">
        <v>10</v>
      </c>
      <c r="C100" s="55" t="n">
        <v>114.54</v>
      </c>
      <c r="D100" s="55" t="n">
        <v>40</v>
      </c>
      <c r="E100" s="55" t="n">
        <v>2.623</v>
      </c>
      <c r="F100" s="62" t="n">
        <v>45203</v>
      </c>
      <c r="G100" s="62" t="n"/>
      <c r="H100" s="62" t="n">
        <v>45219</v>
      </c>
      <c r="I100" s="62" t="n"/>
      <c r="J100" s="63">
        <f>IF(ISBLANK(F100:G100),,IF(COUNTA(F100)=0,G100,F100))</f>
        <v/>
      </c>
      <c r="K100" s="64">
        <f>IFERROR(__xludf.DUMMYFUNCTION("if(isblank(J100),,index(googlefinance(A100,K$2,J100-1),2,2))"),55.53)</f>
        <v/>
      </c>
      <c r="L100" s="65">
        <f>IF(ISBLANK(H100:I100),,IF(COUNTA(H100)=0,I100,H100))</f>
        <v/>
      </c>
      <c r="M100" s="66">
        <f>IFERROR(__xludf.DUMMYFUNCTION("if(isblank(L100),, index(googlefinance(A100,M$2,L100-1),2,2))"),59.83)</f>
        <v/>
      </c>
      <c r="N100" s="67">
        <f>IFERROR(__xludf.DUMMYFUNCTION("if(isblank(A100),,googlefinance(A100))"),61.81)</f>
        <v/>
      </c>
      <c r="O100" s="68">
        <f>IF(ISBLANK(J100),,IF(ISBLANK(L100),"Ongoing","Completed"))</f>
        <v/>
      </c>
      <c r="P100" s="68">
        <f>IF(ISBLANK(A100),,IF(AND(COUNTA(F100)=1,T100&gt;0),"Profit",IF(AND(COUNTA(G100)=1,T100&lt;0),"Profit","Loss")))</f>
        <v/>
      </c>
      <c r="Q100" s="53">
        <f>IF(ISBLANK(U100),,IF(P100="Profit",IF(T100&lt;0,U100*-T100,U100*T100),IF(T100&gt;0,U100*-T100,U100*T100)))</f>
        <v/>
      </c>
      <c r="R100" s="68" t="n"/>
      <c r="S100" s="69">
        <f>IF($Q100&gt;0, TRUE, FALSE)</f>
        <v/>
      </c>
      <c r="T100" s="68">
        <f>IF(ISBLANK(J100),,IF(ISBLANK(L100),N100-K100,M100-K100))</f>
        <v/>
      </c>
      <c r="U100" s="55">
        <f>IF(ISBLANK(J100),,ROUNDDOWN(U$1/K100,0))</f>
        <v/>
      </c>
    </row>
    <row r="101" hidden="1" ht="14" customHeight="1">
      <c r="A101" s="72" t="inlineStr">
        <is>
          <t>CRM</t>
        </is>
      </c>
      <c r="B101" s="70" t="n">
        <v>13</v>
      </c>
      <c r="C101" s="55" t="n">
        <v>139.17</v>
      </c>
      <c r="D101" s="55" t="n">
        <v>38.462</v>
      </c>
      <c r="E101" s="55" t="n">
        <v>1.479</v>
      </c>
      <c r="F101" s="62" t="n">
        <v>45208</v>
      </c>
      <c r="G101" s="62" t="n"/>
      <c r="H101" s="62" t="n">
        <v>45212</v>
      </c>
      <c r="I101" s="62" t="n"/>
      <c r="J101" s="63">
        <f>IF(ISBLANK(F101:G101),,IF(COUNTA(F101)=0,G101,F101))</f>
        <v/>
      </c>
      <c r="K101" s="64">
        <f>IFERROR(__xludf.DUMMYFUNCTION("if(isblank(J101),,index(googlefinance(A101,K$2,J101-1),2,2))"),207.22)</f>
        <v/>
      </c>
      <c r="L101" s="65">
        <f>IF(ISBLANK(H101:I101),,IF(COUNTA(H101)=0,I101,H101))</f>
        <v/>
      </c>
      <c r="M101" s="66">
        <f>IFERROR(__xludf.DUMMYFUNCTION("if(isblank(L101),, index(googlefinance(A101,M$2,L101-1),2,2))"),205.68)</f>
        <v/>
      </c>
      <c r="N101" s="67">
        <f>IFERROR(__xludf.DUMMYFUNCTION("if(isblank(A101),,googlefinance(A101))"),251.84)</f>
        <v/>
      </c>
      <c r="O101" s="68">
        <f>IF(ISBLANK(J101),,IF(ISBLANK(L101),"Ongoing","Completed"))</f>
        <v/>
      </c>
      <c r="P101" s="68">
        <f>IF(ISBLANK(A101),,IF(AND(COUNTA(F101)=1,T101&gt;0),"Profit",IF(AND(COUNTA(G101)=1,T101&lt;0),"Profit","Loss")))</f>
        <v/>
      </c>
      <c r="Q101" s="53">
        <f>IF(ISBLANK(U101),,IF(P101="Profit",IF(T101&lt;0,U101*-T101,U101*T101),IF(T101&gt;0,U101*-T101,U101*T101)))</f>
        <v/>
      </c>
      <c r="R101" s="68" t="n"/>
      <c r="S101" s="69">
        <f>IF($Q101&gt;0, TRUE, FALSE)</f>
        <v/>
      </c>
      <c r="T101" s="68">
        <f>IF(ISBLANK(J101),,IF(ISBLANK(L101),N101-K101,M101-K101))</f>
        <v/>
      </c>
      <c r="U101" s="55">
        <f>IF(ISBLANK(J101),,ROUNDDOWN(U$1/K101,0))</f>
        <v/>
      </c>
    </row>
    <row r="102" hidden="1" ht="14" customHeight="1">
      <c r="A102" s="72" t="inlineStr">
        <is>
          <t>LHX</t>
        </is>
      </c>
      <c r="B102" s="70" t="n">
        <v>10</v>
      </c>
      <c r="C102" s="55" t="n">
        <v>196</v>
      </c>
      <c r="D102" s="55" t="n">
        <v>50</v>
      </c>
      <c r="E102" s="55" t="n">
        <v>6.532</v>
      </c>
      <c r="F102" s="62" t="n">
        <v>45208</v>
      </c>
      <c r="G102" s="62" t="n"/>
      <c r="H102" s="62" t="n">
        <v>45219</v>
      </c>
      <c r="I102" s="62" t="n"/>
      <c r="J102" s="63">
        <f>IF(ISBLANK(F102:G102),,IF(COUNTA(F102)=0,G102,F102))</f>
        <v/>
      </c>
      <c r="K102" s="64">
        <f>IFERROR(__xludf.DUMMYFUNCTION("if(isblank(J102),,index(googlefinance(A102,K$2,J102-1),2,2))"),180.21)</f>
        <v/>
      </c>
      <c r="L102" s="65">
        <f>IF(ISBLANK(H102:I102),,IF(COUNTA(H102)=0,I102,H102))</f>
        <v/>
      </c>
      <c r="M102" s="66">
        <f>IFERROR(__xludf.DUMMYFUNCTION("if(isblank(L102),, index(googlefinance(A102,M$2,L102-1),2,2))"),177.9)</f>
        <v/>
      </c>
      <c r="N102" s="67">
        <f>IFERROR(__xludf.DUMMYFUNCTION("if(isblank(A102),,googlefinance(A102))"),209.82)</f>
        <v/>
      </c>
      <c r="O102" s="68">
        <f>IF(ISBLANK(J102),,IF(ISBLANK(L102),"Ongoing","Completed"))</f>
        <v/>
      </c>
      <c r="P102" s="68">
        <f>IF(ISBLANK(A102),,IF(AND(COUNTA(F102)=1,T102&gt;0),"Profit",IF(AND(COUNTA(G102)=1,T102&lt;0),"Profit","Loss")))</f>
        <v/>
      </c>
      <c r="Q102" s="53">
        <f>IF(ISBLANK(U102),,IF(P102="Profit",IF(T102&lt;0,U102*-T102,U102*T102),IF(T102&gt;0,U102*-T102,U102*T102)))</f>
        <v/>
      </c>
      <c r="R102" s="68" t="n"/>
      <c r="S102" s="69">
        <f>IF($Q102&gt;0, TRUE, FALSE)</f>
        <v/>
      </c>
      <c r="T102" s="68">
        <f>IF(ISBLANK(J102),,IF(ISBLANK(L102),N102-K102,M102-K102))</f>
        <v/>
      </c>
      <c r="U102" s="55">
        <f>IF(ISBLANK(J102),,ROUNDDOWN(U$1/K102,0))</f>
        <v/>
      </c>
    </row>
    <row r="103" hidden="1" ht="14" customHeight="1">
      <c r="A103" s="72" t="inlineStr">
        <is>
          <t>MO</t>
        </is>
      </c>
      <c r="B103" s="70" t="n">
        <v>12</v>
      </c>
      <c r="C103" s="55" t="n">
        <v>101.13</v>
      </c>
      <c r="D103" s="55" t="n">
        <v>41.667</v>
      </c>
      <c r="E103" s="55" t="n">
        <v>1.923</v>
      </c>
      <c r="F103" s="62" t="n">
        <v>45208</v>
      </c>
      <c r="G103" s="62" t="n"/>
      <c r="H103" s="62" t="n">
        <v>45218</v>
      </c>
      <c r="I103" s="62" t="n"/>
      <c r="J103" s="63">
        <f>IF(ISBLANK(F103:G103),,IF(COUNTA(F103)=0,G103,F103))</f>
        <v/>
      </c>
      <c r="K103" s="64">
        <f>IFERROR(__xludf.DUMMYFUNCTION("if(isblank(J103),,index(googlefinance(A103,K$2,J103-1),2,2))"),42.7)</f>
        <v/>
      </c>
      <c r="L103" s="65">
        <f>IF(ISBLANK(H103:I103),,IF(COUNTA(H103)=0,I103,H103))</f>
        <v/>
      </c>
      <c r="M103" s="66">
        <f>IFERROR(__xludf.DUMMYFUNCTION("if(isblank(L103),, index(googlefinance(A103,M$2,L103-1),2,2))"),43.12)</f>
        <v/>
      </c>
      <c r="N103" s="67">
        <f>IFERROR(__xludf.DUMMYFUNCTION("if(isblank(A103),,googlefinance(A103))"),41.4)</f>
        <v/>
      </c>
      <c r="O103" s="68">
        <f>IF(ISBLANK(J103),,IF(ISBLANK(L103),"Ongoing","Completed"))</f>
        <v/>
      </c>
      <c r="P103" s="68">
        <f>IF(ISBLANK(A103),,IF(AND(COUNTA(F103)=1,T103&gt;0),"Profit",IF(AND(COUNTA(G103)=1,T103&lt;0),"Profit","Loss")))</f>
        <v/>
      </c>
      <c r="Q103" s="53">
        <f>IF(ISBLANK(U103),,IF(P103="Profit",IF(T103&lt;0,U103*-T103,U103*T103),IF(T103&gt;0,U103*-T103,U103*T103)))</f>
        <v/>
      </c>
      <c r="R103" s="68" t="n"/>
      <c r="S103" s="69">
        <f>IF($Q103&gt;0, TRUE, FALSE)</f>
        <v/>
      </c>
      <c r="T103" s="68">
        <f>IF(ISBLANK(J103),,IF(ISBLANK(L103),N103-K103,M103-K103))</f>
        <v/>
      </c>
      <c r="U103" s="55">
        <f>IF(ISBLANK(J103),,ROUNDDOWN(U$1/K103,0))</f>
        <v/>
      </c>
    </row>
    <row r="104" hidden="1" ht="14" customHeight="1">
      <c r="A104" s="72" t="inlineStr">
        <is>
          <t>MRK</t>
        </is>
      </c>
      <c r="B104" s="70" t="n">
        <v>9</v>
      </c>
      <c r="C104" s="55" t="n">
        <v>169.535</v>
      </c>
      <c r="D104" s="55" t="n">
        <v>44.444</v>
      </c>
      <c r="E104" s="55" t="n">
        <v>3.177</v>
      </c>
      <c r="F104" s="62" t="n">
        <v>45208</v>
      </c>
      <c r="G104" s="62" t="n"/>
      <c r="H104" s="62" t="n">
        <v>45217</v>
      </c>
      <c r="I104" s="62" t="n"/>
      <c r="J104" s="63">
        <f>IF(ISBLANK(F104:G104),,IF(COUNTA(F104)=0,G104,F104))</f>
        <v/>
      </c>
      <c r="K104" s="64">
        <f>IFERROR(__xludf.DUMMYFUNCTION("if(isblank(J104),,index(googlefinance(A104,K$2,J104-1),2,2))"),104.5)</f>
        <v/>
      </c>
      <c r="L104" s="65">
        <f>IF(ISBLANK(H104:I104),,IF(COUNTA(H104)=0,I104,H104))</f>
        <v/>
      </c>
      <c r="M104" s="66">
        <f>IFERROR(__xludf.DUMMYFUNCTION("if(isblank(L104),, index(googlefinance(A104,M$2,L104-1),2,2))"),104.17)</f>
        <v/>
      </c>
      <c r="N104" s="67">
        <f>IFERROR(__xludf.DUMMYFUNCTION("if(isblank(A104),,googlefinance(A104))"),114.77)</f>
        <v/>
      </c>
      <c r="O104" s="68">
        <f>IF(ISBLANK(J104),,IF(ISBLANK(L104),"Ongoing","Completed"))</f>
        <v/>
      </c>
      <c r="P104" s="68">
        <f>IF(ISBLANK(A104),,IF(AND(COUNTA(F104)=1,T104&gt;0),"Profit",IF(AND(COUNTA(G104)=1,T104&lt;0),"Profit","Loss")))</f>
        <v/>
      </c>
      <c r="Q104" s="53">
        <f>IF(ISBLANK(U104),,IF(P104="Profit",IF(T104&lt;0,U104*-T104,U104*T104),IF(T104&gt;0,U104*-T104,U104*T104)))</f>
        <v/>
      </c>
      <c r="R104" s="68" t="n"/>
      <c r="S104" s="69">
        <f>IF($Q104&gt;0, TRUE, FALSE)</f>
        <v/>
      </c>
      <c r="T104" s="68">
        <f>IF(ISBLANK(J104),,IF(ISBLANK(L104),N104-K104,M104-K104))</f>
        <v/>
      </c>
      <c r="U104" s="55">
        <f>IF(ISBLANK(J104),,ROUNDDOWN(U$1/K104,0))</f>
        <v/>
      </c>
    </row>
    <row r="105" hidden="1" ht="14" customHeight="1">
      <c r="A105" s="72" t="inlineStr">
        <is>
          <t>CAG</t>
        </is>
      </c>
      <c r="B105" s="70" t="n">
        <v>13</v>
      </c>
      <c r="C105" s="55" t="n">
        <v>132.82</v>
      </c>
      <c r="D105" s="55" t="n">
        <v>53.846</v>
      </c>
      <c r="E105" s="55" t="n">
        <v>1.966</v>
      </c>
      <c r="F105" s="62" t="n">
        <v>45209</v>
      </c>
      <c r="G105" s="62" t="n"/>
      <c r="H105" s="62" t="n">
        <v>45257</v>
      </c>
      <c r="I105" s="62" t="n"/>
      <c r="J105" s="63">
        <f>IF(ISBLANK(F105:G105),,IF(COUNTA(F105)=0,G105,F105))</f>
        <v/>
      </c>
      <c r="K105" s="64">
        <f>IFERROR(__xludf.DUMMYFUNCTION("if(isblank(J105),,index(googlefinance(A105,K$2,J105-1),2,2))"),27.59)</f>
        <v/>
      </c>
      <c r="L105" s="65">
        <f>IF(ISBLANK(H105:I105),,IF(COUNTA(H105)=0,I105,H105))</f>
        <v/>
      </c>
      <c r="M105" s="66">
        <f>IFERROR(__xludf.DUMMYFUNCTION("if(isblank(L105),, index(googlefinance(A105,M$2,L105-1),2,2))"),28.19)</f>
        <v/>
      </c>
      <c r="N105" s="67">
        <f>IFERROR(__xludf.DUMMYFUNCTION("if(isblank(A105),,googlefinance(A105))"),29.28)</f>
        <v/>
      </c>
      <c r="O105" s="68">
        <f>IF(ISBLANK(J105),,IF(ISBLANK(L105),"Ongoing","Completed"))</f>
        <v/>
      </c>
      <c r="P105" s="68">
        <f>IF(ISBLANK(A105),,IF(AND(COUNTA(F105)=1,T105&gt;0),"Profit",IF(AND(COUNTA(G105)=1,T105&lt;0),"Profit","Loss")))</f>
        <v/>
      </c>
      <c r="Q105" s="53">
        <f>IF(ISBLANK(U105),,IF(P105="Profit",IF(T105&lt;0,U105*-T105,U105*T105),IF(T105&gt;0,U105*-T105,U105*T105)))</f>
        <v/>
      </c>
      <c r="R105" s="68" t="n"/>
      <c r="S105" s="69">
        <f>IF($Q105&gt;0, TRUE, FALSE)</f>
        <v/>
      </c>
      <c r="T105" s="68">
        <f>IF(ISBLANK(J105),,IF(ISBLANK(L105),N105-K105,M105-K105))</f>
        <v/>
      </c>
      <c r="U105" s="55">
        <f>IF(ISBLANK(J105),,ROUNDDOWN(U$1/K105,0))</f>
        <v/>
      </c>
    </row>
    <row r="106" hidden="1" ht="14" customHeight="1">
      <c r="A106" s="72" t="inlineStr">
        <is>
          <t>CCI</t>
        </is>
      </c>
      <c r="B106" s="70" t="n">
        <v>9</v>
      </c>
      <c r="C106" s="55" t="n">
        <v>61.58</v>
      </c>
      <c r="D106" s="55" t="n">
        <v>44.444</v>
      </c>
      <c r="E106" s="55" t="n">
        <v>1.377</v>
      </c>
      <c r="F106" s="62" t="n">
        <v>45209</v>
      </c>
      <c r="G106" s="62" t="n"/>
      <c r="H106" s="62" t="n">
        <v>45217</v>
      </c>
      <c r="I106" s="62" t="n"/>
      <c r="J106" s="63">
        <f>IF(ISBLANK(F106:G106),,IF(COUNTA(F106)=0,G106,F106))</f>
        <v/>
      </c>
      <c r="K106" s="64">
        <f>IFERROR(__xludf.DUMMYFUNCTION("if(isblank(J106),,index(googlefinance(A106,K$2,J106-1),2,2))"),93.18)</f>
        <v/>
      </c>
      <c r="L106" s="65">
        <f>IF(ISBLANK(H106:I106),,IF(COUNTA(H106)=0,I106,H106))</f>
        <v/>
      </c>
      <c r="M106" s="66">
        <f>IFERROR(__xludf.DUMMYFUNCTION("if(isblank(L106),, index(googlefinance(A106,M$2,L106-1),2,2))"),93.4)</f>
        <v/>
      </c>
      <c r="N106" s="67">
        <f>IFERROR(__xludf.DUMMYFUNCTION("if(isblank(A106),,googlefinance(A106))"),113.49)</f>
        <v/>
      </c>
      <c r="O106" s="68">
        <f>IF(ISBLANK(J106),,IF(ISBLANK(L106),"Ongoing","Completed"))</f>
        <v/>
      </c>
      <c r="P106" s="68">
        <f>IF(ISBLANK(A106),,IF(AND(COUNTA(F106)=1,T106&gt;0),"Profit",IF(AND(COUNTA(G106)=1,T106&lt;0),"Profit","Loss")))</f>
        <v/>
      </c>
      <c r="Q106" s="53">
        <f>IF(ISBLANK(U106),,IF(P106="Profit",IF(T106&lt;0,U106*-T106,U106*T106),IF(T106&gt;0,U106*-T106,U106*T106)))</f>
        <v/>
      </c>
      <c r="R106" s="68" t="n"/>
      <c r="S106" s="69">
        <f>IF($Q106&gt;0, TRUE, FALSE)</f>
        <v/>
      </c>
      <c r="T106" s="68">
        <f>IF(ISBLANK(J106),,IF(ISBLANK(L106),N106-K106,M106-K106))</f>
        <v/>
      </c>
      <c r="U106" s="55">
        <f>IF(ISBLANK(J106),,ROUNDDOWN(U$1/K106,0))</f>
        <v/>
      </c>
    </row>
    <row r="107" hidden="1" ht="14" customHeight="1">
      <c r="A107" s="72" t="inlineStr">
        <is>
          <t>CMCSA</t>
        </is>
      </c>
      <c r="B107" s="70" t="n">
        <v>9</v>
      </c>
      <c r="C107" s="55" t="n">
        <v>187.86</v>
      </c>
      <c r="D107" s="55" t="n">
        <v>55.556</v>
      </c>
      <c r="E107" s="55" t="n">
        <v>3.621</v>
      </c>
      <c r="F107" s="62" t="n">
        <v>45209</v>
      </c>
      <c r="G107" s="62" t="n"/>
      <c r="H107" s="62" t="n">
        <v>45218</v>
      </c>
      <c r="I107" s="62" t="n"/>
      <c r="J107" s="63">
        <f>IF(ISBLANK(F107:G107),,IF(COUNTA(F107)=0,G107,F107))</f>
        <v/>
      </c>
      <c r="K107" s="64">
        <f>IFERROR(__xludf.DUMMYFUNCTION("if(isblank(J107),,index(googlefinance(A107,K$2,J107-1),2,2))"),44.09)</f>
        <v/>
      </c>
      <c r="L107" s="65">
        <f>IF(ISBLANK(H107:I107),,IF(COUNTA(H107)=0,I107,H107))</f>
        <v/>
      </c>
      <c r="M107" s="66">
        <f>IFERROR(__xludf.DUMMYFUNCTION("if(isblank(L107),, index(googlefinance(A107,M$2,L107-1),2,2))"),44.02)</f>
        <v/>
      </c>
      <c r="N107" s="67">
        <f>IFERROR(__xludf.DUMMYFUNCTION("if(isblank(A107),,googlefinance(A107))"),43.31)</f>
        <v/>
      </c>
      <c r="O107" s="68">
        <f>IF(ISBLANK(J107),,IF(ISBLANK(L107),"Ongoing","Completed"))</f>
        <v/>
      </c>
      <c r="P107" s="68">
        <f>IF(ISBLANK(A107),,IF(AND(COUNTA(F107)=1,T107&gt;0),"Profit",IF(AND(COUNTA(G107)=1,T107&lt;0),"Profit","Loss")))</f>
        <v/>
      </c>
      <c r="Q107" s="53">
        <f>IF(ISBLANK(U107),,IF(P107="Profit",IF(T107&lt;0,U107*-T107,U107*T107),IF(T107&gt;0,U107*-T107,U107*T107)))</f>
        <v/>
      </c>
      <c r="R107" s="68" t="n"/>
      <c r="S107" s="69">
        <f>IF($Q107&gt;0, TRUE, FALSE)</f>
        <v/>
      </c>
      <c r="T107" s="68">
        <f>IF(ISBLANK(J107),,IF(ISBLANK(L107),N107-K107,M107-K107))</f>
        <v/>
      </c>
      <c r="U107" s="55">
        <f>IF(ISBLANK(J107),,ROUNDDOWN(U$1/K107,0))</f>
        <v/>
      </c>
    </row>
    <row r="108" hidden="1" ht="14" customHeight="1">
      <c r="A108" s="72" t="inlineStr">
        <is>
          <t>DLR</t>
        </is>
      </c>
      <c r="B108" s="70" t="n">
        <v>13</v>
      </c>
      <c r="C108" s="55" t="n">
        <v>35.26</v>
      </c>
      <c r="D108" s="55" t="n">
        <v>46.154</v>
      </c>
      <c r="E108" s="55" t="n">
        <v>1.179</v>
      </c>
      <c r="F108" s="62" t="n">
        <v>45209</v>
      </c>
      <c r="G108" s="62" t="n"/>
      <c r="H108" s="62" t="n">
        <v>45217</v>
      </c>
      <c r="I108" s="62" t="n"/>
      <c r="J108" s="63">
        <f>IF(ISBLANK(F108:G108),,IF(COUNTA(F108)=0,G108,F108))</f>
        <v/>
      </c>
      <c r="K108" s="64">
        <f>IFERROR(__xludf.DUMMYFUNCTION("if(isblank(J108),,index(googlefinance(A108,K$2,J108-1),2,2))"),119.05)</f>
        <v/>
      </c>
      <c r="L108" s="65">
        <f>IF(ISBLANK(H108:I108),,IF(COUNTA(H108)=0,I108,H108))</f>
        <v/>
      </c>
      <c r="M108" s="66">
        <f>IFERROR(__xludf.DUMMYFUNCTION("if(isblank(L108),, index(googlefinance(A108,M$2,L108-1),2,2))"),123.29)</f>
        <v/>
      </c>
      <c r="N108" s="67">
        <f>IFERROR(__xludf.DUMMYFUNCTION("if(isblank(A108),,googlefinance(A108))"),133.51)</f>
        <v/>
      </c>
      <c r="O108" s="68">
        <f>IF(ISBLANK(J108),,IF(ISBLANK(L108),"Ongoing","Completed"))</f>
        <v/>
      </c>
      <c r="P108" s="68">
        <f>IF(ISBLANK(A108),,IF(AND(COUNTA(F108)=1,T108&gt;0),"Profit",IF(AND(COUNTA(G108)=1,T108&lt;0),"Profit","Loss")))</f>
        <v/>
      </c>
      <c r="Q108" s="53">
        <f>IF(ISBLANK(U108),,IF(P108="Profit",IF(T108&lt;0,U108*-T108,U108*T108),IF(T108&gt;0,U108*-T108,U108*T108)))</f>
        <v/>
      </c>
      <c r="R108" s="68" t="n"/>
      <c r="S108" s="69">
        <f>IF($Q108&gt;0, TRUE, FALSE)</f>
        <v/>
      </c>
      <c r="T108" s="68">
        <f>IF(ISBLANK(J108),,IF(ISBLANK(L108),N108-K108,M108-K108))</f>
        <v/>
      </c>
      <c r="U108" s="55">
        <f>IF(ISBLANK(J108),,ROUNDDOWN(U$1/K108,0))</f>
        <v/>
      </c>
    </row>
    <row r="109" hidden="1" ht="14" customHeight="1">
      <c r="A109" s="72" t="inlineStr">
        <is>
          <t>ES</t>
        </is>
      </c>
      <c r="B109" s="70" t="n">
        <v>12</v>
      </c>
      <c r="C109" s="55" t="n">
        <v>138.07</v>
      </c>
      <c r="D109" s="55" t="n">
        <v>41.667</v>
      </c>
      <c r="E109" s="55" t="n">
        <v>2.606</v>
      </c>
      <c r="F109" s="62" t="n">
        <v>45209</v>
      </c>
      <c r="G109" s="62" t="n"/>
      <c r="H109" s="62" t="n">
        <v>45211</v>
      </c>
      <c r="I109" s="62" t="n"/>
      <c r="J109" s="63">
        <f>IF(ISBLANK(F109:G109),,IF(COUNTA(F109)=0,G109,F109))</f>
        <v/>
      </c>
      <c r="K109" s="64">
        <f>IFERROR(__xludf.DUMMYFUNCTION("if(isblank(J109),,index(googlefinance(A109,K$2,J109-1),2,2))"),57.24)</f>
        <v/>
      </c>
      <c r="L109" s="65">
        <f>IF(ISBLANK(H109:I109),,IF(COUNTA(H109)=0,I109,H109))</f>
        <v/>
      </c>
      <c r="M109" s="66">
        <f>IFERROR(__xludf.DUMMYFUNCTION("if(isblank(L109),, index(googlefinance(A109,M$2,L109-1),2,2))"),58.97)</f>
        <v/>
      </c>
      <c r="N109" s="67">
        <f>IFERROR(__xludf.DUMMYFUNCTION("if(isblank(A109),,googlefinance(A109))"),64.29)</f>
        <v/>
      </c>
      <c r="O109" s="68">
        <f>IF(ISBLANK(J109),,IF(ISBLANK(L109),"Ongoing","Completed"))</f>
        <v/>
      </c>
      <c r="P109" s="68">
        <f>IF(ISBLANK(A109),,IF(AND(COUNTA(F109)=1,T109&gt;0),"Profit",IF(AND(COUNTA(G109)=1,T109&lt;0),"Profit","Loss")))</f>
        <v/>
      </c>
      <c r="Q109" s="53">
        <f>IF(ISBLANK(U109),,IF(P109="Profit",IF(T109&lt;0,U109*-T109,U109*T109),IF(T109&gt;0,U109*-T109,U109*T109)))</f>
        <v/>
      </c>
      <c r="R109" s="68" t="n"/>
      <c r="S109" s="69">
        <f>IF($Q109&gt;0, TRUE, FALSE)</f>
        <v/>
      </c>
      <c r="T109" s="68">
        <f>IF(ISBLANK(J109),,IF(ISBLANK(L109),N109-K109,M109-K109))</f>
        <v/>
      </c>
      <c r="U109" s="55">
        <f>IF(ISBLANK(J109),,ROUNDDOWN(U$1/K109,0))</f>
        <v/>
      </c>
    </row>
    <row r="110" hidden="1" ht="14" customHeight="1">
      <c r="A110" s="72" t="inlineStr">
        <is>
          <t>LMT</t>
        </is>
      </c>
      <c r="B110" s="70" t="n">
        <v>11</v>
      </c>
      <c r="C110" s="55" t="n">
        <v>61.46</v>
      </c>
      <c r="D110" s="55" t="n">
        <v>18.182</v>
      </c>
      <c r="E110" s="55" t="n">
        <v>1.654</v>
      </c>
      <c r="F110" s="62" t="n">
        <v>45209</v>
      </c>
      <c r="G110" s="62" t="n"/>
      <c r="H110" s="62" t="n">
        <v>45236</v>
      </c>
      <c r="I110" s="62" t="n"/>
      <c r="J110" s="63">
        <f>IF(ISBLANK(F110:G110),,IF(COUNTA(F110)=0,G110,F110))</f>
        <v/>
      </c>
      <c r="K110" s="64">
        <f>IFERROR(__xludf.DUMMYFUNCTION("if(isblank(J110),,index(googlefinance(A110,K$2,J110-1),2,2))"),436.53)</f>
        <v/>
      </c>
      <c r="L110" s="65">
        <f>IF(ISBLANK(H110:I110),,IF(COUNTA(H110)=0,I110,H110))</f>
        <v/>
      </c>
      <c r="M110" s="66">
        <f>IFERROR(__xludf.DUMMYFUNCTION("if(isblank(L110),, index(googlefinance(A110,M$2,L110-1),2,2))"),451.16)</f>
        <v/>
      </c>
      <c r="N110" s="67">
        <f>IFERROR(__xludf.DUMMYFUNCTION("if(isblank(A110),,googlefinance(A110))"),459.12)</f>
        <v/>
      </c>
      <c r="O110" s="68">
        <f>IF(ISBLANK(J110),,IF(ISBLANK(L110),"Ongoing","Completed"))</f>
        <v/>
      </c>
      <c r="P110" s="68">
        <f>IF(ISBLANK(A110),,IF(AND(COUNTA(F110)=1,T110&gt;0),"Profit",IF(AND(COUNTA(G110)=1,T110&lt;0),"Profit","Loss")))</f>
        <v/>
      </c>
      <c r="Q110" s="53">
        <f>IF(ISBLANK(U110),,IF(P110="Profit",IF(T110&lt;0,U110*-T110,U110*T110),IF(T110&gt;0,U110*-T110,U110*T110)))</f>
        <v/>
      </c>
      <c r="R110" s="68" t="n"/>
      <c r="S110" s="69">
        <f>IF($Q110&gt;0, TRUE, FALSE)</f>
        <v/>
      </c>
      <c r="T110" s="68">
        <f>IF(ISBLANK(J110),,IF(ISBLANK(L110),N110-K110,M110-K110))</f>
        <v/>
      </c>
      <c r="U110" s="55">
        <f>IF(ISBLANK(J110),,ROUNDDOWN(U$1/K110,0))</f>
        <v/>
      </c>
    </row>
    <row r="111" hidden="1" ht="14" customHeight="1">
      <c r="A111" s="72" t="inlineStr">
        <is>
          <t>VTR</t>
        </is>
      </c>
      <c r="B111" s="70" t="n">
        <v>13</v>
      </c>
      <c r="C111" s="55" t="n">
        <v>26.65</v>
      </c>
      <c r="D111" s="55" t="n">
        <v>23.077</v>
      </c>
      <c r="E111" s="55" t="n">
        <v>1.058</v>
      </c>
      <c r="F111" s="62" t="n">
        <v>45209</v>
      </c>
      <c r="G111" s="62" t="n"/>
      <c r="H111" s="62" t="n">
        <v>45219</v>
      </c>
      <c r="I111" s="62" t="n"/>
      <c r="J111" s="63">
        <f>IF(ISBLANK(F111:G111),,IF(COUNTA(F111)=0,G111,F111))</f>
        <v/>
      </c>
      <c r="K111" s="64">
        <f>IFERROR(__xludf.DUMMYFUNCTION("if(isblank(J111),,index(googlefinance(A111,K$2,J111-1),2,2))"),40.71)</f>
        <v/>
      </c>
      <c r="L111" s="65">
        <f>IF(ISBLANK(H111:I111),,IF(COUNTA(H111)=0,I111,H111))</f>
        <v/>
      </c>
      <c r="M111" s="66">
        <f>IFERROR(__xludf.DUMMYFUNCTION("if(isblank(L111),, index(googlefinance(A111,M$2,L111-1),2,2))"),41.83)</f>
        <v/>
      </c>
      <c r="N111" s="67">
        <f>IFERROR(__xludf.DUMMYFUNCTION("if(isblank(A111),,googlefinance(A111))"),49.65)</f>
        <v/>
      </c>
      <c r="O111" s="68">
        <f>IF(ISBLANK(J111),,IF(ISBLANK(L111),"Ongoing","Completed"))</f>
        <v/>
      </c>
      <c r="P111" s="68">
        <f>IF(ISBLANK(A111),,IF(AND(COUNTA(F111)=1,T111&gt;0),"Profit",IF(AND(COUNTA(G111)=1,T111&lt;0),"Profit","Loss")))</f>
        <v/>
      </c>
      <c r="Q111" s="53">
        <f>IF(ISBLANK(U111),,IF(P111="Profit",IF(T111&lt;0,U111*-T111,U111*T111),IF(T111&gt;0,U111*-T111,U111*T111)))</f>
        <v/>
      </c>
      <c r="R111" s="68" t="n"/>
      <c r="S111" s="69">
        <f>IF($Q111&gt;0, TRUE, FALSE)</f>
        <v/>
      </c>
      <c r="T111" s="68">
        <f>IF(ISBLANK(J111),,IF(ISBLANK(L111),N111-K111,M111-K111))</f>
        <v/>
      </c>
      <c r="U111" s="55">
        <f>IF(ISBLANK(J111),,ROUNDDOWN(U$1/K111,0))</f>
        <v/>
      </c>
    </row>
    <row r="112" hidden="1" ht="14" customHeight="1">
      <c r="A112" s="72" t="inlineStr">
        <is>
          <t>WFC</t>
        </is>
      </c>
      <c r="B112" s="70" t="n">
        <v>8</v>
      </c>
      <c r="C112" s="55" t="n">
        <v>113.8</v>
      </c>
      <c r="D112" s="55" t="n">
        <v>37.5</v>
      </c>
      <c r="E112" s="55" t="n">
        <v>1.809</v>
      </c>
      <c r="F112" s="62" t="n">
        <v>45209</v>
      </c>
      <c r="G112" s="62" t="n"/>
      <c r="H112" s="62" t="n">
        <v>45219</v>
      </c>
      <c r="I112" s="62" t="n"/>
      <c r="J112" s="63">
        <f>IF(ISBLANK(F112:G112),,IF(COUNTA(F112)=0,G112,F112))</f>
        <v/>
      </c>
      <c r="K112" s="64">
        <f>IFERROR(__xludf.DUMMYFUNCTION("if(isblank(J112),,index(googlefinance(A112,K$2,J112-1),2,2))"),39.7)</f>
        <v/>
      </c>
      <c r="L112" s="65">
        <f>IF(ISBLANK(H112:I112),,IF(COUNTA(H112)=0,I112,H112))</f>
        <v/>
      </c>
      <c r="M112" s="66">
        <f>IFERROR(__xludf.DUMMYFUNCTION("if(isblank(L112),, index(googlefinance(A112,M$2,L112-1),2,2))"),41.18)</f>
        <v/>
      </c>
      <c r="N112" s="67">
        <f>IFERROR(__xludf.DUMMYFUNCTION("if(isblank(A112),,googlefinance(A112))"),48.68)</f>
        <v/>
      </c>
      <c r="O112" s="68">
        <f>IF(ISBLANK(J112),,IF(ISBLANK(L112),"Ongoing","Completed"))</f>
        <v/>
      </c>
      <c r="P112" s="68">
        <f>IF(ISBLANK(A112),,IF(AND(COUNTA(F112)=1,T112&gt;0),"Profit",IF(AND(COUNTA(G112)=1,T112&lt;0),"Profit","Loss")))</f>
        <v/>
      </c>
      <c r="Q112" s="53">
        <f>IF(ISBLANK(U112),,IF(P112="Profit",IF(T112&lt;0,U112*-T112,U112*T112),IF(T112&gt;0,U112*-T112,U112*T112)))</f>
        <v/>
      </c>
      <c r="R112" s="68" t="n"/>
      <c r="S112" s="69">
        <f>IF($Q112&gt;0, TRUE, FALSE)</f>
        <v/>
      </c>
      <c r="T112" s="68">
        <f>IF(ISBLANK(J112),,IF(ISBLANK(L112),N112-K112,M112-K112))</f>
        <v/>
      </c>
      <c r="U112" s="55">
        <f>IF(ISBLANK(J112),,ROUNDDOWN(U$1/K112,0))</f>
        <v/>
      </c>
    </row>
    <row r="113" hidden="1" ht="14" customHeight="1">
      <c r="A113" s="72" t="inlineStr">
        <is>
          <t>DVN</t>
        </is>
      </c>
      <c r="B113" s="70" t="n">
        <v>8</v>
      </c>
      <c r="C113" s="55" t="n">
        <v>235.18</v>
      </c>
      <c r="D113" s="55" t="n">
        <v>25</v>
      </c>
      <c r="E113" s="55" t="n">
        <v>2.602</v>
      </c>
      <c r="F113" s="62" t="n">
        <v>45210</v>
      </c>
      <c r="G113" s="62" t="n"/>
      <c r="H113" s="62" t="n">
        <v>45222</v>
      </c>
      <c r="I113" s="62" t="n"/>
      <c r="J113" s="63">
        <f>IF(ISBLANK(F113:G113),,IF(COUNTA(F113)=0,G113,F113))</f>
        <v/>
      </c>
      <c r="K113" s="64">
        <f>IFERROR(__xludf.DUMMYFUNCTION("if(isblank(J113),,index(googlefinance(A113,K$2,J113-1),2,2))"),46.07)</f>
        <v/>
      </c>
      <c r="L113" s="65">
        <f>IF(ISBLANK(H113:I113),,IF(COUNTA(H113)=0,I113,H113))</f>
        <v/>
      </c>
      <c r="M113" s="66">
        <f>IFERROR(__xludf.DUMMYFUNCTION("if(isblank(L113),, index(googlefinance(A113,M$2,L113-1),2,2))"),47.71)</f>
        <v/>
      </c>
      <c r="N113" s="67">
        <f>IFERROR(__xludf.DUMMYFUNCTION("if(isblank(A113),,googlefinance(A113))"),46.81)</f>
        <v/>
      </c>
      <c r="O113" s="68">
        <f>IF(ISBLANK(J113),,IF(ISBLANK(L113),"Ongoing","Completed"))</f>
        <v/>
      </c>
      <c r="P113" s="68">
        <f>IF(ISBLANK(A113),,IF(AND(COUNTA(F113)=1,T113&gt;0),"Profit",IF(AND(COUNTA(G113)=1,T113&lt;0),"Profit","Loss")))</f>
        <v/>
      </c>
      <c r="Q113" s="53">
        <f>IF(ISBLANK(U113),,IF(P113="Profit",IF(T113&lt;0,U113*-T113,U113*T113),IF(T113&gt;0,U113*-T113,U113*T113)))</f>
        <v/>
      </c>
      <c r="R113" s="68" t="n"/>
      <c r="S113" s="69">
        <f>IF($Q113&gt;0, TRUE, FALSE)</f>
        <v/>
      </c>
      <c r="T113" s="68">
        <f>IF(ISBLANK(J113),,IF(ISBLANK(L113),N113-K113,M113-K113))</f>
        <v/>
      </c>
      <c r="U113" s="55">
        <f>IF(ISBLANK(J113),,ROUNDDOWN(U$1/K113,0))</f>
        <v/>
      </c>
    </row>
    <row r="114" hidden="1" ht="14" customHeight="1">
      <c r="A114" s="72" t="inlineStr">
        <is>
          <t>EXR</t>
        </is>
      </c>
      <c r="B114" s="70" t="n">
        <v>16</v>
      </c>
      <c r="C114" s="55" t="n">
        <v>257.55</v>
      </c>
      <c r="D114" s="55" t="n">
        <v>31.25</v>
      </c>
      <c r="E114" s="55" t="n">
        <v>2.667</v>
      </c>
      <c r="F114" s="62" t="n">
        <v>45210</v>
      </c>
      <c r="G114" s="62" t="n"/>
      <c r="H114" s="62" t="n">
        <v>45212</v>
      </c>
      <c r="I114" s="62" t="n"/>
      <c r="J114" s="63">
        <f>IF(ISBLANK(F114:G114),,IF(COUNTA(F114)=0,G114,F114))</f>
        <v/>
      </c>
      <c r="K114" s="64">
        <f>IFERROR(__xludf.DUMMYFUNCTION("if(isblank(J114),,index(googlefinance(A114,K$2,J114-1),2,2))"),121.23)</f>
        <v/>
      </c>
      <c r="L114" s="65">
        <f>IF(ISBLANK(H114:I114),,IF(COUNTA(H114)=0,I114,H114))</f>
        <v/>
      </c>
      <c r="M114" s="66">
        <f>IFERROR(__xludf.DUMMYFUNCTION("if(isblank(L114),, index(googlefinance(A114,M$2,L114-1),2,2))"),120.11)</f>
        <v/>
      </c>
      <c r="N114" s="67">
        <f>IFERROR(__xludf.DUMMYFUNCTION("if(isblank(A114),,googlefinance(A114))"),158.8)</f>
        <v/>
      </c>
      <c r="O114" s="68">
        <f>IF(ISBLANK(J114),,IF(ISBLANK(L114),"Ongoing","Completed"))</f>
        <v/>
      </c>
      <c r="P114" s="68">
        <f>IF(ISBLANK(A114),,IF(AND(COUNTA(F114)=1,T114&gt;0),"Profit",IF(AND(COUNTA(G114)=1,T114&lt;0),"Profit","Loss")))</f>
        <v/>
      </c>
      <c r="Q114" s="53">
        <f>IF(ISBLANK(U114),,IF(P114="Profit",IF(T114&lt;0,U114*-T114,U114*T114),IF(T114&gt;0,U114*-T114,U114*T114)))</f>
        <v/>
      </c>
      <c r="R114" s="68" t="n"/>
      <c r="S114" s="69">
        <f>IF($Q114&gt;0, TRUE, FALSE)</f>
        <v/>
      </c>
      <c r="T114" s="68">
        <f>IF(ISBLANK(J114),,IF(ISBLANK(L114),N114-K114,M114-K114))</f>
        <v/>
      </c>
      <c r="U114" s="55">
        <f>IF(ISBLANK(J114),,ROUNDDOWN(U$1/K114,0))</f>
        <v/>
      </c>
    </row>
    <row r="115" hidden="1" ht="14" customHeight="1">
      <c r="A115" s="72" t="inlineStr">
        <is>
          <t>GIS</t>
        </is>
      </c>
      <c r="B115" s="70" t="n">
        <v>7</v>
      </c>
      <c r="C115" s="55" t="n">
        <v>189.88</v>
      </c>
      <c r="D115" s="55" t="n">
        <v>71.429</v>
      </c>
      <c r="E115" s="55" t="n">
        <v>11.888</v>
      </c>
      <c r="F115" s="62" t="n">
        <v>45210</v>
      </c>
      <c r="G115" s="62" t="n"/>
      <c r="H115" s="62" t="n">
        <v>45211</v>
      </c>
      <c r="I115" s="62" t="n"/>
      <c r="J115" s="63">
        <f>IF(ISBLANK(F115:G115),,IF(COUNTA(F115)=0,G115,F115))</f>
        <v/>
      </c>
      <c r="K115" s="64">
        <f>IFERROR(__xludf.DUMMYFUNCTION("if(isblank(J115),,index(googlefinance(A115,K$2,J115-1),2,2))"),63.26)</f>
        <v/>
      </c>
      <c r="L115" s="65">
        <f>IF(ISBLANK(H115:I115),,IF(COUNTA(H115)=0,I115,H115))</f>
        <v/>
      </c>
      <c r="M115" s="66">
        <f>IFERROR(__xludf.DUMMYFUNCTION("if(isblank(L115),, index(googlefinance(A115,M$2,L115-1),2,2))"),62.73)</f>
        <v/>
      </c>
      <c r="N115" s="67">
        <f>IFERROR(__xludf.DUMMYFUNCTION("if(isblank(A115),,googlefinance(A115))"),66.73)</f>
        <v/>
      </c>
      <c r="O115" s="68">
        <f>IF(ISBLANK(J115),,IF(ISBLANK(L115),"Ongoing","Completed"))</f>
        <v/>
      </c>
      <c r="P115" s="68">
        <f>IF(ISBLANK(A115),,IF(AND(COUNTA(F115)=1,T115&gt;0),"Profit",IF(AND(COUNTA(G115)=1,T115&lt;0),"Profit","Loss")))</f>
        <v/>
      </c>
      <c r="Q115" s="53">
        <f>IF(ISBLANK(U115),,IF(P115="Profit",IF(T115&lt;0,U115*-T115,U115*T115),IF(T115&gt;0,U115*-T115,U115*T115)))</f>
        <v/>
      </c>
      <c r="R115" s="68" t="n"/>
      <c r="S115" s="69">
        <f>IF($Q115&gt;0, TRUE, FALSE)</f>
        <v/>
      </c>
      <c r="T115" s="68">
        <f>IF(ISBLANK(J115),,IF(ISBLANK(L115),N115-K115,M115-K115))</f>
        <v/>
      </c>
      <c r="U115" s="55">
        <f>IF(ISBLANK(J115),,ROUNDDOWN(U$1/K115,0))</f>
        <v/>
      </c>
    </row>
    <row r="116" hidden="1" ht="14" customHeight="1">
      <c r="A116" s="72" t="inlineStr">
        <is>
          <t>SPG</t>
        </is>
      </c>
      <c r="B116" s="70" t="n">
        <v>15</v>
      </c>
      <c r="C116" s="55" t="n">
        <v>109.92</v>
      </c>
      <c r="D116" s="55" t="n">
        <v>33.333</v>
      </c>
      <c r="E116" s="55" t="n">
        <v>1.404</v>
      </c>
      <c r="F116" s="62" t="n">
        <v>45210</v>
      </c>
      <c r="G116" s="62" t="n"/>
      <c r="H116" s="62" t="n">
        <v>45218</v>
      </c>
      <c r="I116" s="62" t="n"/>
      <c r="J116" s="63">
        <f>IF(ISBLANK(F116:G116),,IF(COUNTA(F116)=0,G116,F116))</f>
        <v/>
      </c>
      <c r="K116" s="64">
        <f>IFERROR(__xludf.DUMMYFUNCTION("if(isblank(J116),,index(googlefinance(A116,K$2,J116-1),2,2))"),106.15)</f>
        <v/>
      </c>
      <c r="L116" s="65">
        <f>IF(ISBLANK(H116:I116),,IF(COUNTA(H116)=0,I116,H116))</f>
        <v/>
      </c>
      <c r="M116" s="66">
        <f>IFERROR(__xludf.DUMMYFUNCTION("if(isblank(L116),, index(googlefinance(A116,M$2,L116-1),2,2))"),108.55)</f>
        <v/>
      </c>
      <c r="N116" s="67">
        <f>IFERROR(__xludf.DUMMYFUNCTION("if(isblank(A116),,googlefinance(A116))"),140.09)</f>
        <v/>
      </c>
      <c r="O116" s="68">
        <f>IF(ISBLANK(J116),,IF(ISBLANK(L116),"Ongoing","Completed"))</f>
        <v/>
      </c>
      <c r="P116" s="68">
        <f>IF(ISBLANK(A116),,IF(AND(COUNTA(F116)=1,T116&gt;0),"Profit",IF(AND(COUNTA(G116)=1,T116&lt;0),"Profit","Loss")))</f>
        <v/>
      </c>
      <c r="Q116" s="53">
        <f>IF(ISBLANK(U116),,IF(P116="Profit",IF(T116&lt;0,U116*-T116,U116*T116),IF(T116&gt;0,U116*-T116,U116*T116)))</f>
        <v/>
      </c>
      <c r="R116" s="68" t="n"/>
      <c r="S116" s="69">
        <f>IF($Q116&gt;0, TRUE, FALSE)</f>
        <v/>
      </c>
      <c r="T116" s="68">
        <f>IF(ISBLANK(J116),,IF(ISBLANK(L116),N116-K116,M116-K116))</f>
        <v/>
      </c>
      <c r="U116" s="55">
        <f>IF(ISBLANK(J116),,ROUNDDOWN(U$1/K116,0))</f>
        <v/>
      </c>
    </row>
    <row r="117" hidden="1" ht="14" customHeight="1">
      <c r="A117" s="72" t="inlineStr">
        <is>
          <t>SYF</t>
        </is>
      </c>
      <c r="B117" s="70" t="n">
        <v>12</v>
      </c>
      <c r="C117" s="55" t="n">
        <v>71.7</v>
      </c>
      <c r="D117" s="55" t="n">
        <v>33.333</v>
      </c>
      <c r="E117" s="55" t="n">
        <v>1.321</v>
      </c>
      <c r="F117" s="62" t="n">
        <v>45210</v>
      </c>
      <c r="G117" s="62" t="n"/>
      <c r="H117" s="62" t="n">
        <v>45212</v>
      </c>
      <c r="I117" s="62" t="n"/>
      <c r="J117" s="63">
        <f>IF(ISBLANK(F117:G117),,IF(COUNTA(F117)=0,G117,F117))</f>
        <v/>
      </c>
      <c r="K117" s="64">
        <f>IFERROR(__xludf.DUMMYFUNCTION("if(isblank(J117),,index(googlefinance(A117,K$2,J117-1),2,2))"),29.84)</f>
        <v/>
      </c>
      <c r="L117" s="65">
        <f>IF(ISBLANK(H117:I117),,IF(COUNTA(H117)=0,I117,H117))</f>
        <v/>
      </c>
      <c r="M117" s="66">
        <f>IFERROR(__xludf.DUMMYFUNCTION("if(isblank(L117),, index(googlefinance(A117,M$2,L117-1),2,2))"),29.43)</f>
        <v/>
      </c>
      <c r="N117" s="67">
        <f>IFERROR(__xludf.DUMMYFUNCTION("if(isblank(A117),,googlefinance(A117))"),37.45)</f>
        <v/>
      </c>
      <c r="O117" s="68">
        <f>IF(ISBLANK(J117),,IF(ISBLANK(L117),"Ongoing","Completed"))</f>
        <v/>
      </c>
      <c r="P117" s="68">
        <f>IF(ISBLANK(A117),,IF(AND(COUNTA(F117)=1,T117&gt;0),"Profit",IF(AND(COUNTA(G117)=1,T117&lt;0),"Profit","Loss")))</f>
        <v/>
      </c>
      <c r="Q117" s="53">
        <f>IF(ISBLANK(U117),,IF(P117="Profit",IF(T117&lt;0,U117*-T117,U117*T117),IF(T117&gt;0,U117*-T117,U117*T117)))</f>
        <v/>
      </c>
      <c r="R117" s="68" t="n"/>
      <c r="S117" s="69">
        <f>IF($Q117&gt;0, TRUE, FALSE)</f>
        <v/>
      </c>
      <c r="T117" s="68">
        <f>IF(ISBLANK(J117),,IF(ISBLANK(L117),N117-K117,M117-K117))</f>
        <v/>
      </c>
      <c r="U117" s="55">
        <f>IF(ISBLANK(J117),,ROUNDDOWN(U$1/K117,0))</f>
        <v/>
      </c>
    </row>
    <row r="118" hidden="1" ht="14" customHeight="1">
      <c r="A118" s="72" t="inlineStr">
        <is>
          <t>NEE</t>
        </is>
      </c>
      <c r="B118" s="70" t="n">
        <v>13</v>
      </c>
      <c r="C118" s="55" t="n">
        <v>40.85</v>
      </c>
      <c r="D118" s="55" t="n">
        <v>30.769</v>
      </c>
      <c r="E118" s="55" t="n">
        <v>1.21</v>
      </c>
      <c r="F118" s="62" t="n">
        <v>45212</v>
      </c>
      <c r="G118" s="62" t="n"/>
      <c r="H118" s="62" t="n">
        <v>45218</v>
      </c>
      <c r="I118" s="62" t="n"/>
      <c r="J118" s="63">
        <f>IF(ISBLANK(F118:G118),,IF(COUNTA(F118)=0,G118,F118))</f>
        <v/>
      </c>
      <c r="K118" s="64">
        <f>IFERROR(__xludf.DUMMYFUNCTION("if(isblank(J118),,index(googlefinance(A118,K$2,J118-1),2,2))"),53)</f>
        <v/>
      </c>
      <c r="L118" s="65">
        <f>IF(ISBLANK(H118:I118),,IF(COUNTA(H118)=0,I118,H118))</f>
        <v/>
      </c>
      <c r="M118" s="66">
        <f>IFERROR(__xludf.DUMMYFUNCTION("if(isblank(L118),, index(googlefinance(A118,M$2,L118-1),2,2))"),53.24)</f>
        <v/>
      </c>
      <c r="N118" s="67">
        <f>IFERROR(__xludf.DUMMYFUNCTION("if(isblank(A118),,googlefinance(A118))"),61.99)</f>
        <v/>
      </c>
      <c r="O118" s="68">
        <f>IF(ISBLANK(J118),,IF(ISBLANK(L118),"Ongoing","Completed"))</f>
        <v/>
      </c>
      <c r="P118" s="68">
        <f>IF(ISBLANK(A118),,IF(AND(COUNTA(F118)=1,T118&gt;0),"Profit",IF(AND(COUNTA(G118)=1,T118&lt;0),"Profit","Loss")))</f>
        <v/>
      </c>
      <c r="Q118" s="53">
        <f>IF(ISBLANK(U118),,IF(P118="Profit",IF(T118&lt;0,U118*-T118,U118*T118),IF(T118&gt;0,U118*-T118,U118*T118)))</f>
        <v/>
      </c>
      <c r="R118" s="68" t="n"/>
      <c r="S118" s="69">
        <f>IF($Q118&gt;0, TRUE, FALSE)</f>
        <v/>
      </c>
      <c r="T118" s="68">
        <f>IF(ISBLANK(J118),,IF(ISBLANK(L118),N118-K118,M118-K118))</f>
        <v/>
      </c>
      <c r="U118" s="55">
        <f>IF(ISBLANK(J118),,ROUNDDOWN(U$1/K118,0))</f>
        <v/>
      </c>
    </row>
    <row r="119" hidden="1" ht="14" customHeight="1">
      <c r="A119" s="72" t="inlineStr">
        <is>
          <t>CPB</t>
        </is>
      </c>
      <c r="B119" s="70" t="n">
        <v>10</v>
      </c>
      <c r="C119" s="55" t="n">
        <v>96.63</v>
      </c>
      <c r="D119" s="55" t="n">
        <v>70</v>
      </c>
      <c r="E119" s="55" t="n">
        <v>3.33</v>
      </c>
      <c r="F119" s="62" t="n">
        <v>45215</v>
      </c>
      <c r="G119" s="62" t="n"/>
      <c r="H119" s="62" t="n">
        <v>45222</v>
      </c>
      <c r="I119" s="62" t="n"/>
      <c r="J119" s="63">
        <f>IF(ISBLANK(F119:G119),,IF(COUNTA(F119)=0,G119,F119))</f>
        <v/>
      </c>
      <c r="K119" s="64">
        <f>IFERROR(__xludf.DUMMYFUNCTION("if(isblank(J119),,index(googlefinance(A119,K$2,J119-1),2,2))"),40.1)</f>
        <v/>
      </c>
      <c r="L119" s="65">
        <f>IF(ISBLANK(H119:I119),,IF(COUNTA(H119)=0,I119,H119))</f>
        <v/>
      </c>
      <c r="M119" s="66">
        <f>IFERROR(__xludf.DUMMYFUNCTION("if(isblank(L119),, index(googlefinance(A119,M$2,L119-1),2,2))"),39.51)</f>
        <v/>
      </c>
      <c r="N119" s="67">
        <f>IFERROR(__xludf.DUMMYFUNCTION("if(isblank(A119),,googlefinance(A119))"),44.53)</f>
        <v/>
      </c>
      <c r="O119" s="68">
        <f>IF(ISBLANK(J119),,IF(ISBLANK(L119),"Ongoing","Completed"))</f>
        <v/>
      </c>
      <c r="P119" s="68">
        <f>IF(ISBLANK(A119),,IF(AND(COUNTA(F119)=1,T119&gt;0),"Profit",IF(AND(COUNTA(G119)=1,T119&lt;0),"Profit","Loss")))</f>
        <v/>
      </c>
      <c r="Q119" s="53">
        <f>IF(ISBLANK(U119),,IF(P119="Profit",IF(T119&lt;0,U119*-T119,U119*T119),IF(T119&gt;0,U119*-T119,U119*T119)))</f>
        <v/>
      </c>
      <c r="R119" s="68" t="n"/>
      <c r="S119" s="69">
        <f>IF($Q119&gt;0, TRUE, FALSE)</f>
        <v/>
      </c>
      <c r="T119" s="68">
        <f>IF(ISBLANK(J119),,IF(ISBLANK(L119),N119-K119,M119-K119))</f>
        <v/>
      </c>
      <c r="U119" s="55">
        <f>IF(ISBLANK(J119),,ROUNDDOWN(U$1/K119,0))</f>
        <v/>
      </c>
    </row>
    <row r="120" hidden="1" ht="14" customHeight="1">
      <c r="A120" s="72" t="inlineStr">
        <is>
          <t>BG</t>
        </is>
      </c>
      <c r="B120" s="70" t="n">
        <v>6</v>
      </c>
      <c r="C120" s="55" t="n">
        <v>40.71</v>
      </c>
      <c r="D120" s="55" t="n">
        <v>16.667</v>
      </c>
      <c r="E120" s="55" t="n">
        <v>1.369</v>
      </c>
      <c r="F120" s="62" t="n">
        <v>45216</v>
      </c>
      <c r="G120" s="62" t="n"/>
      <c r="H120" s="62" t="n">
        <v>45219</v>
      </c>
      <c r="I120" s="62" t="n"/>
      <c r="J120" s="63">
        <f>IF(ISBLANK(F120:G120),,IF(COUNTA(F120)=0,G120,F120))</f>
        <v/>
      </c>
      <c r="K120" s="64">
        <f>IFERROR(__xludf.DUMMYFUNCTION("if(isblank(J120),,index(googlefinance(A120,K$2,J120-1),2,2))"),103.33)</f>
        <v/>
      </c>
      <c r="L120" s="65">
        <f>IF(ISBLANK(H120:I120),,IF(COUNTA(H120)=0,I120,H120))</f>
        <v/>
      </c>
      <c r="M120" s="66">
        <f>IFERROR(__xludf.DUMMYFUNCTION("if(isblank(L120),, index(googlefinance(A120,M$2,L120-1),2,2))"),103.65)</f>
        <v/>
      </c>
      <c r="N120" s="67">
        <f>IFERROR(__xludf.DUMMYFUNCTION("if(isblank(A120),,googlefinance(A120))"),100.27)</f>
        <v/>
      </c>
      <c r="O120" s="68">
        <f>IF(ISBLANK(J120),,IF(ISBLANK(L120),"Ongoing","Completed"))</f>
        <v/>
      </c>
      <c r="P120" s="68">
        <f>IF(ISBLANK(A120),,IF(AND(COUNTA(F120)=1,T120&gt;0),"Profit",IF(AND(COUNTA(G120)=1,T120&lt;0),"Profit","Loss")))</f>
        <v/>
      </c>
      <c r="Q120" s="53">
        <f>IF(ISBLANK(U120),,IF(P120="Profit",IF(T120&lt;0,U120*-T120,U120*T120),IF(T120&gt;0,U120*-T120,U120*T120)))</f>
        <v/>
      </c>
      <c r="R120" s="68" t="n"/>
      <c r="S120" s="69">
        <f>IF($Q120&gt;0, TRUE, FALSE)</f>
        <v/>
      </c>
      <c r="T120" s="68">
        <f>IF(ISBLANK(J120),,IF(ISBLANK(L120),N120-K120,M120-K120))</f>
        <v/>
      </c>
      <c r="U120" s="55">
        <f>IF(ISBLANK(J120),,ROUNDDOWN(U$1/K120,0))</f>
        <v/>
      </c>
    </row>
    <row r="121" hidden="1" ht="14" customHeight="1">
      <c r="A121" s="72" t="inlineStr">
        <is>
          <t>PG</t>
        </is>
      </c>
      <c r="B121" s="70" t="n">
        <v>10</v>
      </c>
      <c r="C121" s="55" t="n">
        <v>288.17</v>
      </c>
      <c r="D121" s="55" t="n">
        <v>70</v>
      </c>
      <c r="E121" s="55" t="n">
        <v>10.128</v>
      </c>
      <c r="F121" s="62" t="n">
        <v>45216</v>
      </c>
      <c r="G121" s="62" t="n"/>
      <c r="H121" s="62" t="n">
        <v>45229</v>
      </c>
      <c r="I121" s="62" t="n"/>
      <c r="J121" s="63">
        <f>IF(ISBLANK(F121:G121),,IF(COUNTA(F121)=0,G121,F121))</f>
        <v/>
      </c>
      <c r="K121" s="64">
        <f>IFERROR(__xludf.DUMMYFUNCTION("if(isblank(J121),,index(googlefinance(A121,K$2,J121-1),2,2))"),146.07)</f>
        <v/>
      </c>
      <c r="L121" s="65">
        <f>IF(ISBLANK(H121:I121),,IF(COUNTA(H121)=0,I121,H121))</f>
        <v/>
      </c>
      <c r="M121" s="66">
        <f>IFERROR(__xludf.DUMMYFUNCTION("if(isblank(L121),, index(googlefinance(A121,M$2,L121-1),2,2))"),149.26)</f>
        <v/>
      </c>
      <c r="N121" s="67">
        <f>IFERROR(__xludf.DUMMYFUNCTION("if(isblank(A121),,googlefinance(A121))"),147.84)</f>
        <v/>
      </c>
      <c r="O121" s="68">
        <f>IF(ISBLANK(J121),,IF(ISBLANK(L121),"Ongoing","Completed"))</f>
        <v/>
      </c>
      <c r="P121" s="68">
        <f>IF(ISBLANK(A121),,IF(AND(COUNTA(F121)=1,T121&gt;0),"Profit",IF(AND(COUNTA(G121)=1,T121&lt;0),"Profit","Loss")))</f>
        <v/>
      </c>
      <c r="Q121" s="53">
        <f>IF(ISBLANK(U121),,IF(P121="Profit",IF(T121&lt;0,U121*-T121,U121*T121),IF(T121&gt;0,U121*-T121,U121*T121)))</f>
        <v/>
      </c>
      <c r="R121" s="68" t="n"/>
      <c r="S121" s="69">
        <f>IF($Q121&gt;0, TRUE, FALSE)</f>
        <v/>
      </c>
      <c r="T121" s="68">
        <f>IF(ISBLANK(J121),,IF(ISBLANK(L121),N121-K121,M121-K121))</f>
        <v/>
      </c>
      <c r="U121" s="55">
        <f>IF(ISBLANK(J121),,ROUNDDOWN(U$1/K121,0))</f>
        <v/>
      </c>
    </row>
    <row r="122" hidden="1" ht="14" customHeight="1">
      <c r="A122" s="72" t="inlineStr">
        <is>
          <t>VLO</t>
        </is>
      </c>
      <c r="B122" s="70" t="n">
        <v>13</v>
      </c>
      <c r="C122" s="55" t="n">
        <v>30.98</v>
      </c>
      <c r="D122" s="55" t="n">
        <v>38.462</v>
      </c>
      <c r="E122" s="55" t="n">
        <v>1.109</v>
      </c>
      <c r="F122" s="62" t="n">
        <v>45216</v>
      </c>
      <c r="G122" s="62" t="n"/>
      <c r="H122" s="62" t="n">
        <v>45222</v>
      </c>
      <c r="I122" s="62" t="n"/>
      <c r="J122" s="63">
        <f>IF(ISBLANK(F122:G122),,IF(COUNTA(F122)=0,G122,F122))</f>
        <v/>
      </c>
      <c r="K122" s="64">
        <f>IFERROR(__xludf.DUMMYFUNCTION("if(isblank(J122),,index(googlefinance(A122,K$2,J122-1),2,2))"),129.2)</f>
        <v/>
      </c>
      <c r="L122" s="65">
        <f>IF(ISBLANK(H122:I122),,IF(COUNTA(H122)=0,I122,H122))</f>
        <v/>
      </c>
      <c r="M122" s="66">
        <f>IFERROR(__xludf.DUMMYFUNCTION("if(isblank(L122),, index(googlefinance(A122,M$2,L122-1),2,2))"),130.73)</f>
        <v/>
      </c>
      <c r="N122" s="67">
        <f>IFERROR(__xludf.DUMMYFUNCTION("if(isblank(A122),,googlefinance(A122))"),133.74)</f>
        <v/>
      </c>
      <c r="O122" s="68">
        <f>IF(ISBLANK(J122),,IF(ISBLANK(L122),"Ongoing","Completed"))</f>
        <v/>
      </c>
      <c r="P122" s="68">
        <f>IF(ISBLANK(A122),,IF(AND(COUNTA(F122)=1,T122&gt;0),"Profit",IF(AND(COUNTA(G122)=1,T122&lt;0),"Profit","Loss")))</f>
        <v/>
      </c>
      <c r="Q122" s="53">
        <f>IF(ISBLANK(U122),,IF(P122="Profit",IF(T122&lt;0,U122*-T122,U122*T122),IF(T122&gt;0,U122*-T122,U122*T122)))</f>
        <v/>
      </c>
      <c r="R122" s="68" t="n"/>
      <c r="S122" s="69">
        <f>IF($Q122&gt;0, TRUE, FALSE)</f>
        <v/>
      </c>
      <c r="T122" s="68">
        <f>IF(ISBLANK(J122),,IF(ISBLANK(L122),N122-K122,M122-K122))</f>
        <v/>
      </c>
      <c r="U122" s="55">
        <f>IF(ISBLANK(J122),,ROUNDDOWN(U$1/K122,0))</f>
        <v/>
      </c>
    </row>
    <row r="123" hidden="1" ht="14" customHeight="1">
      <c r="A123" s="72" t="inlineStr">
        <is>
          <t>CHD</t>
        </is>
      </c>
      <c r="B123" s="70" t="n">
        <v>9</v>
      </c>
      <c r="C123" s="55" t="n">
        <v>38.93</v>
      </c>
      <c r="D123" s="55" t="n">
        <v>33.333</v>
      </c>
      <c r="E123" s="55" t="n">
        <v>1.445</v>
      </c>
      <c r="F123" s="62" t="n">
        <v>45216</v>
      </c>
      <c r="G123" s="62" t="n"/>
      <c r="H123" s="62" t="n">
        <v>45228</v>
      </c>
      <c r="I123" s="62" t="n"/>
      <c r="J123" s="63">
        <f>IF(ISBLANK(F123:G123),,IF(COUNTA(F123)=0,G123,F123))</f>
        <v/>
      </c>
      <c r="K123" s="64">
        <f>IFERROR(__xludf.DUMMYFUNCTION("if(isblank(J123),,index(googlefinance(A123,K$2,J123-1),2,2))"),88.94)</f>
        <v/>
      </c>
      <c r="L123" s="65">
        <f>IF(ISBLANK(H123:I123),,IF(COUNTA(H123)=0,I123,H123))</f>
        <v/>
      </c>
      <c r="M123" s="66">
        <f>IFERROR(__xludf.DUMMYFUNCTION("if(isblank(L123),, index(googlefinance(A123,M$2,L123-1),2,2))"),90.76)</f>
        <v/>
      </c>
      <c r="N123" s="67">
        <f>IFERROR(__xludf.DUMMYFUNCTION("if(isblank(A123),,googlefinance(A123))"),93.95)</f>
        <v/>
      </c>
      <c r="O123" s="68">
        <f>IF(ISBLANK(J123),,IF(ISBLANK(L123),"Ongoing","Completed"))</f>
        <v/>
      </c>
      <c r="P123" s="68">
        <f>IF(ISBLANK(A123),,IF(AND(COUNTA(F123)=1,T123&gt;0),"Profit",IF(AND(COUNTA(G123)=1,T123&lt;0),"Profit","Loss")))</f>
        <v/>
      </c>
      <c r="Q123" s="53">
        <f>IF(ISBLANK(U123),,IF(P123="Profit",IF(T123&lt;0,U123*-T123,U123*T123),IF(T123&gt;0,U123*-T123,U123*T123)))</f>
        <v/>
      </c>
      <c r="R123" s="68" t="n"/>
      <c r="S123" s="69">
        <f>IF($Q123&gt;0, TRUE, FALSE)</f>
        <v/>
      </c>
      <c r="T123" s="68">
        <f>IF(ISBLANK(J123),,IF(ISBLANK(L123),N123-K123,M123-K123))</f>
        <v/>
      </c>
      <c r="U123" s="55">
        <f>IF(ISBLANK(J123),,ROUNDDOWN(U$1/K123,0))</f>
        <v/>
      </c>
    </row>
    <row r="124" hidden="1" ht="14" customHeight="1">
      <c r="A124" s="72" t="inlineStr">
        <is>
          <t>GOOGL</t>
        </is>
      </c>
      <c r="B124" s="70" t="n">
        <v>8</v>
      </c>
      <c r="C124" s="55" t="n">
        <v>263.024</v>
      </c>
      <c r="D124" s="55" t="n">
        <v>75</v>
      </c>
      <c r="E124" s="55" t="n">
        <v>6.32</v>
      </c>
      <c r="F124" s="69" t="n"/>
      <c r="G124" s="62" t="n">
        <v>45217</v>
      </c>
      <c r="H124" s="62" t="n"/>
      <c r="I124" s="62" t="n">
        <v>45223</v>
      </c>
      <c r="J124" s="63">
        <f>IF(ISBLANK(G124:H124),,IF(COUNTA(G124)=0,H124,G124))</f>
        <v/>
      </c>
      <c r="K124" s="64">
        <f>IFERROR(__xludf.DUMMYFUNCTION("if(isblank(J124),,index(googlefinance(A124,K$2,J124-1),2,2))"),139.72)</f>
        <v/>
      </c>
      <c r="L124" s="65">
        <f>IF(ISBLANK(H124:I124),,IF(COUNTA(H124)=0,I124,H124))</f>
        <v/>
      </c>
      <c r="M124" s="66">
        <f>IFERROR(__xludf.DUMMYFUNCTION("if(isblank(L124),, index(googlefinance(A124,M$2,L124-1),2,2))"),136.5)</f>
        <v/>
      </c>
      <c r="N124" s="67">
        <f>IFERROR(__xludf.DUMMYFUNCTION("if(isblank(A124),,googlefinance(A124))"),138.92)</f>
        <v/>
      </c>
      <c r="O124" s="68">
        <f>IF(ISBLANK(J124),,IF(ISBLANK(L124),"Ongoing","Completed"))</f>
        <v/>
      </c>
      <c r="P124" s="68">
        <f>IF(ISBLANK(A124),,IF(AND(COUNTA(G124)=1,T124&gt;0),"Profit",IF(AND(COUNTA(H124)=1,T124&lt;0),"Profit","Loss")))</f>
        <v/>
      </c>
      <c r="Q124" s="53">
        <f>IF(ISBLANK(U124),,IF(P124="Profit",IF(T124&lt;0,U124*-T124,U124*T124),IF(T124&gt;0,U124*-T124,U124*T124)))</f>
        <v/>
      </c>
      <c r="R124" s="68" t="n"/>
      <c r="S124" s="69">
        <f>IF($Q124&gt;0, TRUE, FALSE)</f>
        <v/>
      </c>
      <c r="T124" s="68">
        <f>IF(ISBLANK(J124),,IF(ISBLANK(L124),N124-K124,M124-K124))</f>
        <v/>
      </c>
      <c r="U124" s="55">
        <f>IF(ISBLANK(J124),,ROUNDDOWN(U$1/K124,0))</f>
        <v/>
      </c>
    </row>
    <row r="125" hidden="1" ht="14" customHeight="1">
      <c r="A125" s="72" t="inlineStr">
        <is>
          <t>CME</t>
        </is>
      </c>
      <c r="B125" s="70" t="n">
        <v>8</v>
      </c>
      <c r="C125" s="55" t="n">
        <v>69.59</v>
      </c>
      <c r="D125" s="55" t="n">
        <v>37.5</v>
      </c>
      <c r="E125" s="55" t="n">
        <v>2.186</v>
      </c>
      <c r="F125" s="62" t="n">
        <v>45218</v>
      </c>
      <c r="G125" s="62" t="n"/>
      <c r="H125" s="62" t="n">
        <v>45225</v>
      </c>
      <c r="I125" s="62" t="n"/>
      <c r="J125" s="63">
        <f>IF(ISBLANK(F125:G125),,IF(COUNTA(F125)=0,G125,F125))</f>
        <v/>
      </c>
      <c r="K125" s="64">
        <f>IFERROR(__xludf.DUMMYFUNCTION("if(isblank(J125),,index(googlefinance(A125,K$2,J125-1),2,2))"),215.99)</f>
        <v/>
      </c>
      <c r="L125" s="65">
        <f>IF(ISBLANK(H125:I125),,IF(COUNTA(H125)=0,I125,H125))</f>
        <v/>
      </c>
      <c r="M125" s="66">
        <f>IFERROR(__xludf.DUMMYFUNCTION("if(isblank(L125),, index(googlefinance(A125,M$2,L125-1),2,2))"),214.08)</f>
        <v/>
      </c>
      <c r="N125" s="67">
        <f>IFERROR(__xludf.DUMMYFUNCTION("if(isblank(A125),,googlefinance(A125))"),201.41)</f>
        <v/>
      </c>
      <c r="O125" s="68">
        <f>IF(ISBLANK(J125),,IF(ISBLANK(L125),"Ongoing","Completed"))</f>
        <v/>
      </c>
      <c r="P125" s="68">
        <f>IF(ISBLANK(A125),,IF(AND(COUNTA(F125)=1,T125&gt;0),"Profit",IF(AND(COUNTA(G125)=1,T125&lt;0),"Profit","Loss")))</f>
        <v/>
      </c>
      <c r="Q125" s="53">
        <f>IF(ISBLANK(U125),,IF(P125="Profit",IF(T125&lt;0,U125*-T125,U125*T125),IF(T125&gt;0,U125*-T125,U125*T125)))</f>
        <v/>
      </c>
      <c r="R125" s="68" t="n"/>
      <c r="S125" s="69">
        <f>IF($Q125&gt;0, TRUE, FALSE)</f>
        <v/>
      </c>
      <c r="T125" s="68">
        <f>IF(ISBLANK(J125),,IF(ISBLANK(L125),N125-K125,M125-K125))</f>
        <v/>
      </c>
      <c r="U125" s="55">
        <f>IF(ISBLANK(J125),,ROUNDDOWN(U$1/K125,0))</f>
        <v/>
      </c>
    </row>
    <row r="126" hidden="1" ht="14" customHeight="1">
      <c r="A126" s="72" t="inlineStr">
        <is>
          <t>DIS</t>
        </is>
      </c>
      <c r="B126" s="70" t="n">
        <v>13</v>
      </c>
      <c r="C126" s="55" t="n">
        <v>60.04</v>
      </c>
      <c r="D126" s="55" t="n">
        <v>23.077</v>
      </c>
      <c r="E126" s="55" t="n">
        <v>1.247</v>
      </c>
      <c r="F126" s="62" t="n">
        <v>45204</v>
      </c>
      <c r="G126" s="62" t="n"/>
      <c r="H126" s="62" t="n">
        <v>45218</v>
      </c>
      <c r="I126" s="62" t="n"/>
      <c r="J126" s="63">
        <f>IF(ISBLANK(F126:G126),,IF(COUNTA(F126)=0,G126,F126))</f>
        <v/>
      </c>
      <c r="K126" s="64">
        <f>IFERROR(__xludf.DUMMYFUNCTION("if(isblank(J126),,index(googlefinance(A126,K$2,J126-1),2,2))"),79.32)</f>
        <v/>
      </c>
      <c r="L126" s="65">
        <f>IF(ISBLANK(H126:I126),,IF(COUNTA(H126)=0,I126,H126))</f>
        <v/>
      </c>
      <c r="M126" s="66">
        <f>IFERROR(__xludf.DUMMYFUNCTION("if(isblank(L126),, index(googlefinance(A126,M$2,L126-1),2,2))"),84.68)</f>
        <v/>
      </c>
      <c r="N126" s="67">
        <f>IFERROR(__xludf.DUMMYFUNCTION("if(isblank(A126),,googlefinance(A126))"),91.65)</f>
        <v/>
      </c>
      <c r="O126" s="68">
        <f>IF(ISBLANK(J126),,IF(ISBLANK(L126),"Ongoing","Completed"))</f>
        <v/>
      </c>
      <c r="P126" s="68">
        <f>IF(ISBLANK(A126),,IF(AND(COUNTA(F126)=1,T126&gt;0),"Profit",IF(AND(COUNTA(G126)=1,T126&lt;0),"Profit","Loss")))</f>
        <v/>
      </c>
      <c r="Q126" s="53">
        <f>IF(ISBLANK(U126),,IF(P126="Profit",IF(T126&lt;0,U126*-T126,U126*T126),IF(T126&gt;0,U126*-T126,U126*T126)))</f>
        <v/>
      </c>
      <c r="R126" s="68" t="n"/>
      <c r="S126" s="69">
        <f>IF($Q126&gt;0, TRUE, FALSE)</f>
        <v/>
      </c>
      <c r="T126" s="68">
        <f>IF(ISBLANK(J126),,IF(ISBLANK(L126),N126-K126,M126-K126))</f>
        <v/>
      </c>
      <c r="U126" s="55">
        <f>IF(ISBLANK(J126),,ROUNDDOWN(U$1/K126,0))</f>
        <v/>
      </c>
    </row>
    <row r="127" hidden="1" ht="14" customHeight="1">
      <c r="A127" s="72" t="inlineStr">
        <is>
          <t>SNPS</t>
        </is>
      </c>
      <c r="B127" s="70" t="n">
        <v>11</v>
      </c>
      <c r="C127" s="55" t="n">
        <v>141.29</v>
      </c>
      <c r="D127" s="55" t="n">
        <v>27.273</v>
      </c>
      <c r="E127" s="55" t="n">
        <v>1.649</v>
      </c>
      <c r="F127" s="62" t="n"/>
      <c r="G127" s="62" t="n">
        <v>45218</v>
      </c>
      <c r="H127" s="62" t="n"/>
      <c r="I127" s="62" t="n">
        <v>45230</v>
      </c>
      <c r="J127" s="63">
        <f>IF(ISBLANK(F127:G127),,IF(COUNTA(F127)=0,G127,F127))</f>
        <v/>
      </c>
      <c r="K127" s="64">
        <f>IFERROR(__xludf.DUMMYFUNCTION("if(isblank(J127),,index(googlefinance(A127,K$2,J127-1),2,2))"),485.73)</f>
        <v/>
      </c>
      <c r="L127" s="65">
        <f>IF(ISBLANK(H127:I127),,IF(COUNTA(H127)=0,I127,H127))</f>
        <v/>
      </c>
      <c r="M127" s="66">
        <f>IFERROR(__xludf.DUMMYFUNCTION("if(isblank(L127),, index(googlefinance(A127,M$2,L127-1),2,2))"),460.94)</f>
        <v/>
      </c>
      <c r="N127" s="67">
        <f>IFERROR(__xludf.DUMMYFUNCTION("if(isblank(A127),,googlefinance(A127))"),492.4)</f>
        <v/>
      </c>
      <c r="O127" s="68">
        <f>IF(ISBLANK(J127),,IF(ISBLANK(L127),"Ongoing","Completed"))</f>
        <v/>
      </c>
      <c r="P127" s="68">
        <f>IF(ISBLANK(A127),,IF(AND(COUNTA(F127)=1,T127&gt;0),"Profit",IF(AND(COUNTA(G127)=1,T127&lt;0),"Profit","Loss")))</f>
        <v/>
      </c>
      <c r="Q127" s="53">
        <f>IF(ISBLANK(U127),,IF(P127="Profit",IF(T127&lt;0,U127*-T127,U127*T127),IF(T127&gt;0,U127*-T127,U127*T127)))</f>
        <v/>
      </c>
      <c r="R127" s="68" t="n"/>
      <c r="S127" s="69">
        <f>IF($Q127&gt;0, TRUE, FALSE)</f>
        <v/>
      </c>
      <c r="T127" s="68">
        <f>IF(ISBLANK(J127),,IF(ISBLANK(L127),N127-K127,M127-K127))</f>
        <v/>
      </c>
      <c r="U127" s="55">
        <f>IF(ISBLANK(J127),,ROUNDDOWN(U$1/K127,0))</f>
        <v/>
      </c>
    </row>
    <row r="128" hidden="1" ht="14" customHeight="1">
      <c r="A128" s="72" t="inlineStr">
        <is>
          <t>AIZ</t>
        </is>
      </c>
      <c r="B128" s="70" t="n">
        <v>10</v>
      </c>
      <c r="C128" s="55" t="n">
        <v>262.76</v>
      </c>
      <c r="D128" s="55" t="n">
        <v>60</v>
      </c>
      <c r="E128" s="55" t="n">
        <v>5.689</v>
      </c>
      <c r="F128" s="62" t="n"/>
      <c r="G128" s="62" t="n">
        <v>45219</v>
      </c>
      <c r="H128" s="62" t="n"/>
      <c r="I128" s="62" t="n">
        <v>45224</v>
      </c>
      <c r="J128" s="63">
        <f>IF(ISBLANK(F128:G128),,IF(COUNTA(F128)=0,G128,F128))</f>
        <v/>
      </c>
      <c r="K128" s="64">
        <f>IFERROR(__xludf.DUMMYFUNCTION("if(isblank(J128),,index(googlefinance(A128,K$2,J128-1),2,2))"),149.07)</f>
        <v/>
      </c>
      <c r="L128" s="65">
        <f>IF(ISBLANK(H128:I128),,IF(COUNTA(H128)=0,I128,H128))</f>
        <v/>
      </c>
      <c r="M128" s="66">
        <f>IFERROR(__xludf.DUMMYFUNCTION("if(isblank(L128),, index(googlefinance(A128,M$2,L128-1),2,2))"),146.85)</f>
        <v/>
      </c>
      <c r="N128" s="67">
        <f>IFERROR(__xludf.DUMMYFUNCTION("if(isblank(A128),,googlefinance(A128))"),169.99)</f>
        <v/>
      </c>
      <c r="O128" s="68">
        <f>IF(ISBLANK(J128),,IF(ISBLANK(L128),"Ongoing","Completed"))</f>
        <v/>
      </c>
      <c r="P128" s="68">
        <f>IF(ISBLANK(A128),,IF(AND(COUNTA(F128)=1,T128&gt;0),"Profit",IF(AND(COUNTA(G128)=1,T128&lt;0),"Profit","Loss")))</f>
        <v/>
      </c>
      <c r="Q128" s="53">
        <f>IF(ISBLANK(U128),,IF(P128="Profit",IF(T128&lt;0,U128*-T128,U128*T128),IF(T128&gt;0,U128*-T128,U128*T128)))</f>
        <v/>
      </c>
      <c r="R128" s="68" t="n"/>
      <c r="S128" s="69">
        <f>IF($Q128&gt;0, TRUE, FALSE)</f>
        <v/>
      </c>
      <c r="T128" s="68">
        <f>IF(ISBLANK(J128),,IF(ISBLANK(L128),N128-K128,M128-K128))</f>
        <v/>
      </c>
      <c r="U128" s="55">
        <f>IF(ISBLANK(J128),,ROUNDDOWN(U$1/K128,0))</f>
        <v/>
      </c>
    </row>
    <row r="129" hidden="1" ht="14" customHeight="1">
      <c r="A129" s="72" t="inlineStr">
        <is>
          <t>COST</t>
        </is>
      </c>
      <c r="B129" s="70" t="n">
        <v>13</v>
      </c>
      <c r="C129" s="55" t="n">
        <v>42.37</v>
      </c>
      <c r="D129" s="55" t="n">
        <v>30.769</v>
      </c>
      <c r="E129" s="55" t="n">
        <v>1.254</v>
      </c>
      <c r="F129" s="62" t="n"/>
      <c r="G129" s="62" t="n">
        <v>45219</v>
      </c>
      <c r="H129" s="62" t="n"/>
      <c r="I129" s="62" t="n">
        <v>45229</v>
      </c>
      <c r="J129" s="63">
        <f>IF(ISBLANK(F129:G129),,IF(COUNTA(F129)=0,G129,F129))</f>
        <v/>
      </c>
      <c r="K129" s="64">
        <f>IFERROR(__xludf.DUMMYFUNCTION("if(isblank(J129),,index(googlefinance(A129,K$2,J129-1),2,2))"),565.63)</f>
        <v/>
      </c>
      <c r="L129" s="65">
        <f>IF(ISBLANK(H129:I129),,IF(COUNTA(H129)=0,I129,H129))</f>
        <v/>
      </c>
      <c r="M129" s="66">
        <f>IFERROR(__xludf.DUMMYFUNCTION("if(isblank(L129),, index(googlefinance(A129,M$2,L129-1),2,2))"),554.88)</f>
        <v/>
      </c>
      <c r="N129" s="67">
        <f>IFERROR(__xludf.DUMMYFUNCTION("if(isblank(A129),,googlefinance(A129))"),644.69)</f>
        <v/>
      </c>
      <c r="O129" s="68">
        <f>IF(ISBLANK(J129),,IF(ISBLANK(L129),"Ongoing","Completed"))</f>
        <v/>
      </c>
      <c r="P129" s="68">
        <f>IF(ISBLANK(A129),,IF(AND(COUNTA(F129)=1,T129&gt;0),"Profit",IF(AND(COUNTA(G129)=1,T129&lt;0),"Profit","Loss")))</f>
        <v/>
      </c>
      <c r="Q129" s="53">
        <f>IF(ISBLANK(U129),,IF(P129="Profit",IF(T129&lt;0,U129*-T129,U129*T129),IF(T129&gt;0,U129*-T129,U129*T129)))</f>
        <v/>
      </c>
      <c r="R129" s="68" t="n"/>
      <c r="S129" s="69">
        <f>IF($Q129&gt;0, TRUE, FALSE)</f>
        <v/>
      </c>
      <c r="T129" s="68">
        <f>IF(ISBLANK(J129),,IF(ISBLANK(L129),N129-K129,M129-K129))</f>
        <v/>
      </c>
      <c r="U129" s="55">
        <f>IF(ISBLANK(J129),,ROUNDDOWN(U$1/K129,0))</f>
        <v/>
      </c>
    </row>
    <row r="130" hidden="1" ht="14" customHeight="1">
      <c r="A130" s="72" t="inlineStr">
        <is>
          <t>DXCM</t>
        </is>
      </c>
      <c r="B130" s="70" t="n">
        <v>16</v>
      </c>
      <c r="C130" s="55" t="n">
        <v>224.518</v>
      </c>
      <c r="D130" s="55" t="n">
        <v>31.25</v>
      </c>
      <c r="E130" s="55" t="n">
        <v>1.632</v>
      </c>
      <c r="F130" s="62" t="n">
        <v>45219</v>
      </c>
      <c r="G130" s="62" t="n"/>
      <c r="H130" s="62" t="n">
        <v>45225</v>
      </c>
      <c r="I130" s="62" t="n"/>
      <c r="J130" s="63">
        <f>IF(ISBLANK(F130:G130),,IF(COUNTA(F130)=0,G130,F130))</f>
        <v/>
      </c>
      <c r="K130" s="64">
        <f>IFERROR(__xludf.DUMMYFUNCTION("if(isblank(J130),,index(googlefinance(A130,K$2,J130-1),2,2))"),86.04)</f>
        <v/>
      </c>
      <c r="L130" s="65">
        <f>IF(ISBLANK(H130:I130),,IF(COUNTA(H130)=0,I130,H130))</f>
        <v/>
      </c>
      <c r="M130" s="66">
        <f>IFERROR(__xludf.DUMMYFUNCTION("if(isblank(L130),, index(googlefinance(A130,M$2,L130-1),2,2))"),84.35)</f>
        <v/>
      </c>
      <c r="N130" s="67">
        <f>IFERROR(__xludf.DUMMYFUNCTION("if(isblank(A130),,googlefinance(A130))"),120.27)</f>
        <v/>
      </c>
      <c r="O130" s="68">
        <f>IF(ISBLANK(J130),,IF(ISBLANK(L130),"Ongoing","Completed"))</f>
        <v/>
      </c>
      <c r="P130" s="68">
        <f>IF(ISBLANK(A130),,IF(AND(COUNTA(F130)=1,T130&gt;0),"Profit",IF(AND(COUNTA(G130)=1,T130&lt;0),"Profit","Loss")))</f>
        <v/>
      </c>
      <c r="Q130" s="53">
        <f>IF(ISBLANK(U130),,IF(P130="Profit",IF(T130&lt;0,U130*-T130,U130*T130),IF(T130&gt;0,U130*-T130,U130*T130)))</f>
        <v/>
      </c>
      <c r="R130" s="68" t="n"/>
      <c r="S130" s="69">
        <f>IF($Q130&gt;0, TRUE, FALSE)</f>
        <v/>
      </c>
      <c r="T130" s="68">
        <f>IF(ISBLANK(J130),,IF(ISBLANK(L130),N130-K130,M130-K130))</f>
        <v/>
      </c>
      <c r="U130" s="55">
        <f>IF(ISBLANK(J130),,ROUNDDOWN(U$1/K130,0))</f>
        <v/>
      </c>
    </row>
    <row r="131" hidden="1" ht="14" customHeight="1">
      <c r="A131" s="72" t="inlineStr">
        <is>
          <t>GOOG</t>
        </is>
      </c>
      <c r="B131" s="70" t="n">
        <v>8</v>
      </c>
      <c r="C131" s="55" t="n">
        <v>123.473</v>
      </c>
      <c r="D131" s="55" t="n">
        <v>50</v>
      </c>
      <c r="E131" s="55" t="n">
        <v>2.554</v>
      </c>
      <c r="F131" s="62" t="n"/>
      <c r="G131" s="62" t="n">
        <v>45219</v>
      </c>
      <c r="H131" s="62" t="n"/>
      <c r="I131" s="62" t="n">
        <v>45223</v>
      </c>
      <c r="J131" s="63">
        <f>IF(ISBLANK(F131:G131),,IF(COUNTA(F131)=0,G131,F131))</f>
        <v/>
      </c>
      <c r="K131" s="64">
        <f>IFERROR(__xludf.DUMMYFUNCTION("if(isblank(J131),,index(googlefinance(A131,K$2,J131-1),2,2))"),138.98)</f>
        <v/>
      </c>
      <c r="L131" s="65">
        <f>IF(ISBLANK(H131:I131),,IF(COUNTA(H131)=0,I131,H131))</f>
        <v/>
      </c>
      <c r="M131" s="66">
        <f>IFERROR(__xludf.DUMMYFUNCTION("if(isblank(L131),, index(googlefinance(A131,M$2,L131-1),2,2))"),137.9)</f>
        <v/>
      </c>
      <c r="N131" s="67">
        <f>IFERROR(__xludf.DUMMYFUNCTION("if(isblank(A131),,googlefinance(A131))"),140.36)</f>
        <v/>
      </c>
      <c r="O131" s="68">
        <f>IF(ISBLANK(J131),,IF(ISBLANK(L131),"Ongoing","Completed"))</f>
        <v/>
      </c>
      <c r="P131" s="68">
        <f>IF(ISBLANK(A131),,IF(AND(COUNTA(F131)=1,T131&gt;0),"Profit",IF(AND(COUNTA(G131)=1,T131&lt;0),"Profit","Loss")))</f>
        <v/>
      </c>
      <c r="Q131" s="53">
        <f>IF(ISBLANK(U131),,IF(P131="Profit",IF(T131&lt;0,U131*-T131,U131*T131),IF(T131&gt;0,U131*-T131,U131*T131)))</f>
        <v/>
      </c>
      <c r="R131" s="68" t="n"/>
      <c r="S131" s="69">
        <f>IF($Q131&gt;0, TRUE, FALSE)</f>
        <v/>
      </c>
      <c r="T131" s="68">
        <f>IF(ISBLANK(J131),,IF(ISBLANK(L131),N131-K131,M131-K131))</f>
        <v/>
      </c>
      <c r="U131" s="55">
        <f>IF(ISBLANK(J131),,ROUNDDOWN(U$1/K131,0))</f>
        <v/>
      </c>
    </row>
    <row r="132" hidden="1" ht="14" customHeight="1">
      <c r="A132" s="72" t="inlineStr">
        <is>
          <t>PANW</t>
        </is>
      </c>
      <c r="B132" s="70" t="n">
        <v>10</v>
      </c>
      <c r="C132" s="55" t="n">
        <v>783.86</v>
      </c>
      <c r="D132" s="55" t="n">
        <v>80</v>
      </c>
      <c r="E132" s="55" t="n">
        <v>18.388</v>
      </c>
      <c r="F132" s="62" t="n"/>
      <c r="G132" s="62" t="n">
        <v>45219</v>
      </c>
      <c r="H132" s="62" t="n"/>
      <c r="I132" s="62" t="n">
        <v>45231</v>
      </c>
      <c r="J132" s="63">
        <f>IF(ISBLANK(F132:G132),,IF(COUNTA(F132)=0,G132,F132))</f>
        <v/>
      </c>
      <c r="K132" s="64">
        <f>IFERROR(__xludf.DUMMYFUNCTION("if(isblank(J132),,index(googlefinance(A132,K$2,J132-1),2,2))"),253.13)</f>
        <v/>
      </c>
      <c r="L132" s="65">
        <f>IF(ISBLANK(H132:I132),,IF(COUNTA(H132)=0,I132,H132))</f>
        <v/>
      </c>
      <c r="M132" s="66">
        <f>IFERROR(__xludf.DUMMYFUNCTION("if(isblank(L132),, index(googlefinance(A132,M$2,L132-1),2,2))"),243.02)</f>
        <v/>
      </c>
      <c r="N132" s="67">
        <f>IFERROR(__xludf.DUMMYFUNCTION("if(isblank(A132),,googlefinance(A132))"),286.47)</f>
        <v/>
      </c>
      <c r="O132" s="68">
        <f>IF(ISBLANK(J132),,IF(ISBLANK(L132),"Ongoing","Completed"))</f>
        <v/>
      </c>
      <c r="P132" s="68">
        <f>IF(ISBLANK(A132),,IF(AND(COUNTA(F132)=1,T132&gt;0),"Profit",IF(AND(COUNTA(G132)=1,T132&lt;0),"Profit","Loss")))</f>
        <v/>
      </c>
      <c r="Q132" s="53">
        <f>IF(ISBLANK(U132),,IF(P132="Profit",IF(T132&lt;0,U132*-T132,U132*T132),IF(T132&gt;0,U132*-T132,U132*T132)))</f>
        <v/>
      </c>
      <c r="R132" s="68" t="n"/>
      <c r="S132" s="69">
        <f>IF($Q132&gt;0, TRUE, FALSE)</f>
        <v/>
      </c>
      <c r="T132" s="68">
        <f>IF(ISBLANK(J132),,IF(ISBLANK(L132),N132-K132,M132-K132))</f>
        <v/>
      </c>
      <c r="U132" s="55">
        <f>IF(ISBLANK(J132),,ROUNDDOWN(U$1/K132,0))</f>
        <v/>
      </c>
    </row>
    <row r="133" hidden="1" ht="14" customHeight="1">
      <c r="A133" s="72" t="inlineStr">
        <is>
          <t>VRTX</t>
        </is>
      </c>
      <c r="B133" s="70" t="n">
        <v>12</v>
      </c>
      <c r="C133" s="55" t="n">
        <v>39.59</v>
      </c>
      <c r="D133" s="55" t="n">
        <v>41.667</v>
      </c>
      <c r="E133" s="55" t="n">
        <v>1.449</v>
      </c>
      <c r="F133" s="62" t="n"/>
      <c r="G133" s="62" t="n">
        <v>45219</v>
      </c>
      <c r="H133" s="62" t="n"/>
      <c r="I133" s="62" t="n">
        <v>45223</v>
      </c>
      <c r="J133" s="63">
        <f>IF(ISBLANK(F133:G133),,IF(COUNTA(F133)=0,G133,F133))</f>
        <v/>
      </c>
      <c r="K133" s="64">
        <f>IFERROR(__xludf.DUMMYFUNCTION("if(isblank(J133),,index(googlefinance(A133,K$2,J133-1),2,2))"),364.8)</f>
        <v/>
      </c>
      <c r="L133" s="65">
        <f>IF(ISBLANK(H133:I133),,IF(COUNTA(H133)=0,I133,H133))</f>
        <v/>
      </c>
      <c r="M133" s="66">
        <f>IFERROR(__xludf.DUMMYFUNCTION("if(isblank(L133),, index(googlefinance(A133,M$2,L133-1),2,2))"),367.66)</f>
        <v/>
      </c>
      <c r="N133" s="67">
        <f>IFERROR(__xludf.DUMMYFUNCTION("if(isblank(A133),,googlefinance(A133))"),410.71)</f>
        <v/>
      </c>
      <c r="O133" s="68">
        <f>IF(ISBLANK(J133),,IF(ISBLANK(L133),"Ongoing","Completed"))</f>
        <v/>
      </c>
      <c r="P133" s="68">
        <f>IF(ISBLANK(A133),,IF(AND(COUNTA(F133)=1,T133&gt;0),"Profit",IF(AND(COUNTA(G133)=1,T133&lt;0),"Profit","Loss")))</f>
        <v/>
      </c>
      <c r="Q133" s="53">
        <f>IF(ISBLANK(U133),,IF(P133="Profit",IF(T133&lt;0,U133*-T133,U133*T133),IF(T133&gt;0,U133*-T133,U133*T133)))</f>
        <v/>
      </c>
      <c r="R133" s="68" t="n"/>
      <c r="S133" s="69">
        <f>IF($Q133&gt;0, TRUE, FALSE)</f>
        <v/>
      </c>
      <c r="T133" s="68">
        <f>IF(ISBLANK(J133),,IF(ISBLANK(L133),N133-K133,M133-K133))</f>
        <v/>
      </c>
      <c r="U133" s="55">
        <f>IF(ISBLANK(J133),,ROUNDDOWN(U$1/K133,0))</f>
        <v/>
      </c>
    </row>
    <row r="134" hidden="1" ht="14" customHeight="1">
      <c r="A134" s="72" t="inlineStr">
        <is>
          <t>ZS</t>
        </is>
      </c>
      <c r="B134" s="70" t="n">
        <v>12</v>
      </c>
      <c r="C134" s="55" t="n">
        <v>454.59</v>
      </c>
      <c r="D134" s="55" t="n">
        <v>41.667</v>
      </c>
      <c r="E134" s="55" t="n">
        <v>2.305</v>
      </c>
      <c r="F134" s="62" t="n"/>
      <c r="G134" s="62" t="n">
        <v>45219</v>
      </c>
      <c r="H134" s="62" t="n"/>
      <c r="I134" s="62" t="n">
        <v>45233</v>
      </c>
      <c r="J134" s="63">
        <f>IF(ISBLANK(F134:G134),,IF(COUNTA(F134)=0,G134,F134))</f>
        <v/>
      </c>
      <c r="K134" s="64">
        <f>IFERROR(__xludf.DUMMYFUNCTION("if(isblank(J134),,index(googlefinance(A134,K$2,J134-1),2,2))"),169.07)</f>
        <v/>
      </c>
      <c r="L134" s="65">
        <f>IF(ISBLANK(H134:I134),,IF(COUNTA(H134)=0,I134,H134))</f>
        <v/>
      </c>
      <c r="M134" s="66">
        <f>IFERROR(__xludf.DUMMYFUNCTION("if(isblank(L134),, index(googlefinance(A134,M$2,L134-1),2,2))"),159.19)</f>
        <v/>
      </c>
      <c r="N134" s="67">
        <f>IFERROR(__xludf.DUMMYFUNCTION("if(isblank(A134),,googlefinance(A134))"),210.24)</f>
        <v/>
      </c>
      <c r="O134" s="68">
        <f>IF(ISBLANK(J134),,IF(ISBLANK(L134),"Ongoing","Completed"))</f>
        <v/>
      </c>
      <c r="P134" s="68">
        <f>IF(ISBLANK(A134),,IF(AND(COUNTA(F134)=1,T134&gt;0),"Profit",IF(AND(COUNTA(G134)=1,T134&lt;0),"Profit","Loss")))</f>
        <v/>
      </c>
      <c r="Q134" s="53">
        <f>IF(ISBLANK(U134),,IF(P134="Profit",IF(T134&lt;0,U134*-T134,U134*T134),IF(T134&gt;0,U134*-T134,U134*T134)))</f>
        <v/>
      </c>
      <c r="R134" s="68" t="n"/>
      <c r="S134" s="69">
        <f>IF($Q134&gt;0, TRUE, FALSE)</f>
        <v/>
      </c>
      <c r="T134" s="68">
        <f>IF(ISBLANK(J134),,IF(ISBLANK(L134),N134-K134,M134-K134))</f>
        <v/>
      </c>
      <c r="U134" s="55">
        <f>IF(ISBLANK(J134),,ROUNDDOWN(U$1/K134,0))</f>
        <v/>
      </c>
    </row>
    <row r="135" hidden="1" ht="14" customHeight="1">
      <c r="A135" s="72" t="inlineStr">
        <is>
          <t>CRWD</t>
        </is>
      </c>
      <c r="B135" s="70" t="n">
        <v>12</v>
      </c>
      <c r="C135" s="55" t="n">
        <v>60.17</v>
      </c>
      <c r="D135" s="55" t="n">
        <v>25</v>
      </c>
      <c r="E135" s="55" t="n">
        <v>1.145</v>
      </c>
      <c r="F135" s="62" t="n"/>
      <c r="G135" s="62" t="n">
        <v>45221</v>
      </c>
      <c r="H135" s="62" t="n"/>
      <c r="I135" s="62" t="n">
        <v>45231</v>
      </c>
      <c r="J135" s="63">
        <f>IF(ISBLANK(F135:G135),,IF(COUNTA(F135)=0,G135,F135))</f>
        <v/>
      </c>
      <c r="K135" s="64">
        <f>IFERROR(__xludf.DUMMYFUNCTION("if(isblank(J135),,index(googlefinance(A135,K$2,J135-1),2,2))"),179.08)</f>
        <v/>
      </c>
      <c r="L135" s="65">
        <f>IF(ISBLANK(H135:I135),,IF(COUNTA(H135)=0,I135,H135))</f>
        <v/>
      </c>
      <c r="M135" s="66">
        <f>IFERROR(__xludf.DUMMYFUNCTION("if(isblank(L135),, index(googlefinance(A135,M$2,L135-1),2,2))"),176.77)</f>
        <v/>
      </c>
      <c r="N135" s="67">
        <f>IFERROR(__xludf.DUMMYFUNCTION("if(isblank(A135),,googlefinance(A135))"),244.36)</f>
        <v/>
      </c>
      <c r="O135" s="68">
        <f>IF(ISBLANK(J135),,IF(ISBLANK(L135),"Ongoing","Completed"))</f>
        <v/>
      </c>
      <c r="P135" s="68">
        <f>IF(ISBLANK(A135),,IF(AND(COUNTA(F135)=1,T135&gt;0),"Profit",IF(AND(COUNTA(G135)=1,T135&lt;0),"Profit","Loss")))</f>
        <v/>
      </c>
      <c r="Q135" s="53">
        <f>IF(ISBLANK(U135),,IF(P135="Profit",IF(T135&lt;0,U135*-T135,U135*T135),IF(T135&gt;0,U135*-T135,U135*T135)))</f>
        <v/>
      </c>
      <c r="R135" s="68" t="n"/>
      <c r="S135" s="69">
        <f>IF($Q135&gt;0, TRUE, FALSE)</f>
        <v/>
      </c>
      <c r="T135" s="68">
        <f>IF(ISBLANK(J135),,IF(ISBLANK(L135),N135-K135,M135-K135))</f>
        <v/>
      </c>
      <c r="U135" s="55">
        <f>IF(ISBLANK(J135),,ROUNDDOWN(U$1/K135,0))</f>
        <v/>
      </c>
    </row>
    <row r="136" hidden="1" ht="14" customHeight="1">
      <c r="A136" s="72" t="inlineStr">
        <is>
          <t>AMGN</t>
        </is>
      </c>
      <c r="B136" s="70" t="n">
        <v>8</v>
      </c>
      <c r="C136" s="55" t="n">
        <v>111.8</v>
      </c>
      <c r="D136" s="55" t="n">
        <v>50</v>
      </c>
      <c r="E136" s="55" t="n">
        <v>2.006</v>
      </c>
      <c r="F136" s="62" t="n"/>
      <c r="G136" s="62" t="n">
        <v>45221</v>
      </c>
      <c r="H136" s="62" t="n"/>
      <c r="I136" s="62" t="n">
        <v>45232</v>
      </c>
      <c r="J136" s="63">
        <f>IF(ISBLANK(F136:G136),,IF(COUNTA(F136)=0,G136,F136))</f>
        <v/>
      </c>
      <c r="K136" s="64">
        <f>IFERROR(__xludf.DUMMYFUNCTION("if(isblank(J136),,index(googlefinance(A136,K$2,J136-1),2,2))"),273.06)</f>
        <v/>
      </c>
      <c r="L136" s="65">
        <f>IF(ISBLANK(H136:I136),,IF(COUNTA(H136)=0,I136,H136))</f>
        <v/>
      </c>
      <c r="M136" s="66">
        <f>IFERROR(__xludf.DUMMYFUNCTION("if(isblank(L136),, index(googlefinance(A136,M$2,L136-1),2,2))"),260.84)</f>
        <v/>
      </c>
      <c r="N136" s="67">
        <f>IFERROR(__xludf.DUMMYFUNCTION("if(isblank(A136),,googlefinance(A136))"),300.69)</f>
        <v/>
      </c>
      <c r="O136" s="68">
        <f>IF(ISBLANK(J136),,IF(ISBLANK(L136),"Ongoing","Completed"))</f>
        <v/>
      </c>
      <c r="P136" s="68">
        <f>IF(ISBLANK(A136),,IF(AND(COUNTA(F136)=1,T136&gt;0),"Profit",IF(AND(COUNTA(G136)=1,T136&lt;0),"Profit","Loss")))</f>
        <v/>
      </c>
      <c r="Q136" s="53">
        <f>IF(ISBLANK(U136),,IF(P136="Profit",IF(T136&lt;0,U136*-T136,U136*T136),IF(T136&gt;0,U136*-T136,U136*T136)))</f>
        <v/>
      </c>
      <c r="R136" s="68" t="n"/>
      <c r="S136" s="69">
        <f>IF($Q136&gt;0, TRUE, FALSE)</f>
        <v/>
      </c>
      <c r="T136" s="68">
        <f>IF(ISBLANK(J136),,IF(ISBLANK(L136),N136-K136,M136-K136))</f>
        <v/>
      </c>
      <c r="U136" s="55">
        <f>IF(ISBLANK(J136),,ROUNDDOWN(U$1/K136,0))</f>
        <v/>
      </c>
    </row>
    <row r="137" hidden="1" ht="14" customHeight="1">
      <c r="A137" s="72" t="inlineStr">
        <is>
          <t>MOH</t>
        </is>
      </c>
      <c r="B137" s="70" t="n">
        <v>11</v>
      </c>
      <c r="C137" s="55" t="n">
        <v>213.94</v>
      </c>
      <c r="D137" s="55" t="n">
        <v>36.364</v>
      </c>
      <c r="E137" s="55" t="n">
        <v>2.429</v>
      </c>
      <c r="F137" s="62" t="n"/>
      <c r="G137" s="62" t="n">
        <v>45221</v>
      </c>
      <c r="H137" s="62" t="n"/>
      <c r="I137" s="62" t="n">
        <v>45232</v>
      </c>
      <c r="J137" s="63">
        <f>IF(ISBLANK(F137:G137),,IF(COUNTA(F137)=0,G137,F137))</f>
        <v/>
      </c>
      <c r="K137" s="64">
        <f>IFERROR(__xludf.DUMMYFUNCTION("if(isblank(J137),,index(googlefinance(A137,K$2,J137-1),2,2))"),344.64)</f>
        <v/>
      </c>
      <c r="L137" s="65">
        <f>IF(ISBLANK(H137:I137),,IF(COUNTA(H137)=0,I137,H137))</f>
        <v/>
      </c>
      <c r="M137" s="66">
        <f>IFERROR(__xludf.DUMMYFUNCTION("if(isblank(L137),, index(googlefinance(A137,M$2,L137-1),2,2))"),336.83)</f>
        <v/>
      </c>
      <c r="N137" s="67">
        <f>IFERROR(__xludf.DUMMYFUNCTION("if(isblank(A137),,googlefinance(A137))"),376.67)</f>
        <v/>
      </c>
      <c r="O137" s="68">
        <f>IF(ISBLANK(J137),,IF(ISBLANK(L137),"Ongoing","Completed"))</f>
        <v/>
      </c>
      <c r="P137" s="68">
        <f>IF(ISBLANK(A137),,IF(AND(COUNTA(F137)=1,T137&gt;0),"Profit",IF(AND(COUNTA(G137)=1,T137&lt;0),"Profit","Loss")))</f>
        <v/>
      </c>
      <c r="Q137" s="53">
        <f>IF(ISBLANK(U137),,IF(P137="Profit",IF(T137&lt;0,U137*-T137,U137*T137),IF(T137&gt;0,U137*-T137,U137*T137)))</f>
        <v/>
      </c>
      <c r="R137" s="68" t="n"/>
      <c r="S137" s="69">
        <f>IF($Q137&gt;0, TRUE, FALSE)</f>
        <v/>
      </c>
      <c r="T137" s="68">
        <f>IF(ISBLANK(J137),,IF(ISBLANK(L137),N137-K137,M137-K137))</f>
        <v/>
      </c>
      <c r="U137" s="55">
        <f>IF(ISBLANK(J137),,ROUNDDOWN(U$1/K137,0))</f>
        <v/>
      </c>
    </row>
    <row r="138" hidden="1" ht="14" customHeight="1">
      <c r="A138" s="72" t="inlineStr">
        <is>
          <t>UNH</t>
        </is>
      </c>
      <c r="B138" s="70" t="n">
        <v>6</v>
      </c>
      <c r="C138" s="55" t="n">
        <v>8.34</v>
      </c>
      <c r="D138" s="55" t="n">
        <v>33.333</v>
      </c>
      <c r="E138" s="55" t="n">
        <v>1.085</v>
      </c>
      <c r="F138" s="62" t="n"/>
      <c r="G138" s="62" t="n">
        <v>45222</v>
      </c>
      <c r="H138" s="62" t="n"/>
      <c r="I138" s="62" t="n">
        <v>45230</v>
      </c>
      <c r="J138" s="63">
        <f>IF(ISBLANK(F138:G138),,IF(COUNTA(F138)=0,G138,F138))</f>
        <v/>
      </c>
      <c r="K138" s="64">
        <f>IFERROR(__xludf.DUMMYFUNCTION("if(isblank(J138),,index(googlefinance(A138,K$2,J138-1),2,2))"),521.57)</f>
        <v/>
      </c>
      <c r="L138" s="65">
        <f>IF(ISBLANK(H138:I138),,IF(COUNTA(H138)=0,I138,H138))</f>
        <v/>
      </c>
      <c r="M138" s="66">
        <f>IFERROR(__xludf.DUMMYFUNCTION("if(isblank(L138),, index(googlefinance(A138,M$2,L138-1),2,2))"),529.99)</f>
        <v/>
      </c>
      <c r="N138" s="67">
        <f>IFERROR(__xludf.DUMMYFUNCTION("if(isblank(A138),,googlefinance(A138))"),542.03)</f>
        <v/>
      </c>
      <c r="O138" s="68">
        <f>IF(ISBLANK(J138),,IF(ISBLANK(L138),"Ongoing","Completed"))</f>
        <v/>
      </c>
      <c r="P138" s="68">
        <f>IF(ISBLANK(A138),,IF(AND(COUNTA(F138)=1,T138&gt;0),"Profit",IF(AND(COUNTA(G138)=1,T138&lt;0),"Profit","Loss")))</f>
        <v/>
      </c>
      <c r="Q138" s="53">
        <f>IF(ISBLANK(U138),,IF(P138="Profit",IF(T138&lt;0,U138*-T138,U138*T138),IF(T138&gt;0,U138*-T138,U138*T138)))</f>
        <v/>
      </c>
      <c r="R138" s="68" t="n"/>
      <c r="S138" s="69">
        <f>IF($Q138&gt;0, TRUE, FALSE)</f>
        <v/>
      </c>
      <c r="T138" s="68">
        <f>IF(ISBLANK(J138),,IF(ISBLANK(L138),N138-K138,M138-K138))</f>
        <v/>
      </c>
      <c r="U138" s="55">
        <f>IF(ISBLANK(J138),,ROUNDDOWN(U$1/K138,0))</f>
        <v/>
      </c>
    </row>
    <row r="139" hidden="1" ht="14" customHeight="1">
      <c r="A139" s="72" t="inlineStr">
        <is>
          <t>CNC</t>
        </is>
      </c>
      <c r="B139" s="70" t="n">
        <v>11</v>
      </c>
      <c r="C139" s="55" t="n">
        <v>44.63</v>
      </c>
      <c r="D139" s="55" t="n">
        <v>36.364</v>
      </c>
      <c r="E139" s="55" t="n">
        <v>1.203</v>
      </c>
      <c r="F139" s="62" t="n"/>
      <c r="G139" s="62" t="n">
        <v>45223</v>
      </c>
      <c r="H139" s="62" t="n"/>
      <c r="I139" s="62" t="n">
        <v>45236</v>
      </c>
      <c r="J139" s="63">
        <f>IF(ISBLANK(F139:G139),,IF(COUNTA(F139)=0,G139,F139))</f>
        <v/>
      </c>
      <c r="K139" s="64">
        <f>IFERROR(__xludf.DUMMYFUNCTION("if(isblank(J139),,index(googlefinance(A139,K$2,J139-1),2,2))"),70.86)</f>
        <v/>
      </c>
      <c r="L139" s="65">
        <f>IF(ISBLANK(H139:I139),,IF(COUNTA(H139)=0,I139,H139))</f>
        <v/>
      </c>
      <c r="M139" s="66">
        <f>IFERROR(__xludf.DUMMYFUNCTION("if(isblank(L139),, index(googlefinance(A139,M$2,L139-1),2,2))"),71.84)</f>
        <v/>
      </c>
      <c r="N139" s="67">
        <f>IFERROR(__xludf.DUMMYFUNCTION("if(isblank(A139),,googlefinance(A139))"),76.74)</f>
        <v/>
      </c>
      <c r="O139" s="68">
        <f>IF(ISBLANK(J139),,IF(ISBLANK(L139),"Ongoing","Completed"))</f>
        <v/>
      </c>
      <c r="P139" s="68">
        <f>IF(ISBLANK(A139),,IF(AND(COUNTA(F139)=1,T139&gt;0),"Profit",IF(AND(COUNTA(G139)=1,T139&lt;0),"Profit","Loss")))</f>
        <v/>
      </c>
      <c r="Q139" s="53">
        <f>IF(ISBLANK(U139),,IF(P139="Profit",IF(T139&lt;0,U139*-T139,U139*T139),IF(T139&gt;0,U139*-T139,U139*T139)))</f>
        <v/>
      </c>
      <c r="R139" s="68" t="n"/>
      <c r="S139" s="69">
        <f>IF($Q139&gt;0, TRUE, FALSE)</f>
        <v/>
      </c>
      <c r="T139" s="68">
        <f>IF(ISBLANK(J139),,IF(ISBLANK(L139),N139-K139,M139-K139))</f>
        <v/>
      </c>
      <c r="U139" s="55">
        <f>IF(ISBLANK(J139),,ROUNDDOWN(U$1/K139,0))</f>
        <v/>
      </c>
    </row>
    <row r="140" hidden="1" ht="14" customHeight="1">
      <c r="A140" s="72" t="inlineStr">
        <is>
          <t>IBM</t>
        </is>
      </c>
      <c r="B140" s="70" t="n">
        <v>10</v>
      </c>
      <c r="C140" s="55" t="n">
        <v>113.242</v>
      </c>
      <c r="D140" s="55" t="n">
        <v>40</v>
      </c>
      <c r="E140" s="55" t="n">
        <v>2.674</v>
      </c>
      <c r="F140" s="62" t="n">
        <v>45229</v>
      </c>
      <c r="G140" s="62" t="n"/>
      <c r="H140" s="62" t="n">
        <v>45259</v>
      </c>
      <c r="I140" s="62" t="n"/>
      <c r="J140" s="63">
        <f>IF(ISBLANK(F140:G140),,IF(COUNTA(F140)=0,G140,F140))</f>
        <v/>
      </c>
      <c r="K140" s="64">
        <f>IFERROR(__xludf.DUMMYFUNCTION("if(isblank(J140),,index(googlefinance(A140,K$2,J140-1),2,2))"),142.63)</f>
        <v/>
      </c>
      <c r="L140" s="65">
        <f>IF(ISBLANK(H140:I140),,IF(COUNTA(H140)=0,I140,H140))</f>
        <v/>
      </c>
      <c r="M140" s="66">
        <f>IFERROR(__xludf.DUMMYFUNCTION("if(isblank(L140),, index(googlefinance(A140,M$2,L140-1),2,2))"),155.65)</f>
        <v/>
      </c>
      <c r="N140" s="67">
        <f>IFERROR(__xludf.DUMMYFUNCTION("if(isblank(A140),,googlefinance(A140))"),160.1)</f>
        <v/>
      </c>
      <c r="O140" s="68">
        <f>IF(ISBLANK(J140),,IF(ISBLANK(L140),"Ongoing","Completed"))</f>
        <v/>
      </c>
      <c r="P140" s="68">
        <f>IF(ISBLANK(A140),,IF(AND(COUNTA(F140)=1,T140&gt;0),"Profit",IF(AND(COUNTA(G140)=1,T140&lt;0),"Profit","Loss")))</f>
        <v/>
      </c>
      <c r="Q140" s="53">
        <f>IF(ISBLANK(U140),,IF(P140="Profit",IF(T140&lt;0,U140*-T140,U140*T140),IF(T140&gt;0,U140*-T140,U140*T140)))</f>
        <v/>
      </c>
      <c r="R140" s="68" t="n"/>
      <c r="S140" s="69">
        <f>IF($Q140&gt;0, TRUE, FALSE)</f>
        <v/>
      </c>
      <c r="T140" s="68">
        <f>IF(ISBLANK(J140),,IF(ISBLANK(L140),N140-K140,M140-K140))</f>
        <v/>
      </c>
      <c r="U140" s="55">
        <f>IF(ISBLANK(J140),,ROUNDDOWN(U$1/K140,0))</f>
        <v/>
      </c>
    </row>
    <row r="141" hidden="1" ht="14" customHeight="1">
      <c r="A141" s="72" t="inlineStr">
        <is>
          <t>INTC</t>
        </is>
      </c>
      <c r="B141" s="70" t="n">
        <v>10</v>
      </c>
      <c r="C141" s="55" t="n">
        <v>178.26</v>
      </c>
      <c r="D141" s="55" t="n">
        <v>40</v>
      </c>
      <c r="E141" s="55" t="n">
        <v>1.979</v>
      </c>
      <c r="F141" s="62" t="n">
        <v>45229</v>
      </c>
      <c r="G141" s="62" t="n"/>
      <c r="H141" s="62" t="n">
        <v>45251</v>
      </c>
      <c r="I141" s="62" t="n"/>
      <c r="J141" s="63">
        <f>IF(ISBLANK(F141:G141),,IF(COUNTA(F141)=0,G141,F141))</f>
        <v/>
      </c>
      <c r="K141" s="64">
        <f>IFERROR(__xludf.DUMMYFUNCTION("if(isblank(J141),,index(googlefinance(A141,K$2,J141-1),2,2))"),35.69)</f>
        <v/>
      </c>
      <c r="L141" s="65">
        <f>IF(ISBLANK(H141:I141),,IF(COUNTA(H141)=0,I141,H141))</f>
        <v/>
      </c>
      <c r="M141" s="66">
        <f>IFERROR(__xludf.DUMMYFUNCTION("if(isblank(L141),, index(googlefinance(A141,M$2,L141-1),2,2))"),44.74)</f>
        <v/>
      </c>
      <c r="N141" s="67">
        <f>IFERROR(__xludf.DUMMYFUNCTION("if(isblank(A141),,googlefinance(A141))"),47.05)</f>
        <v/>
      </c>
      <c r="O141" s="68">
        <f>IF(ISBLANK(J141),,IF(ISBLANK(L141),"Ongoing","Completed"))</f>
        <v/>
      </c>
      <c r="P141" s="68">
        <f>IF(ISBLANK(A141),,IF(AND(COUNTA(F141)=1,T141&gt;0),"Profit",IF(AND(COUNTA(G141)=1,T141&lt;0),"Profit","Loss")))</f>
        <v/>
      </c>
      <c r="Q141" s="53">
        <f>IF(ISBLANK(U141),,IF(P141="Profit",IF(T141&lt;0,U141*-T141,U141*T141),IF(T141&gt;0,U141*-T141,U141*T141)))</f>
        <v/>
      </c>
      <c r="R141" s="68" t="n"/>
      <c r="S141" s="69">
        <f>IF($Q141&gt;0, TRUE, FALSE)</f>
        <v/>
      </c>
      <c r="T141" s="68">
        <f>IF(ISBLANK(J141),,IF(ISBLANK(L141),N141-K141,M141-K141))</f>
        <v/>
      </c>
      <c r="U141" s="55">
        <f>IF(ISBLANK(J141),,ROUNDDOWN(U$1/K141,0))</f>
        <v/>
      </c>
    </row>
    <row r="142" hidden="1" ht="14" customHeight="1">
      <c r="A142" s="72" t="inlineStr">
        <is>
          <t>NKE</t>
        </is>
      </c>
      <c r="B142" s="70" t="n">
        <v>11</v>
      </c>
      <c r="C142" s="55" t="n">
        <v>43.35</v>
      </c>
      <c r="D142" s="55" t="n">
        <v>36.364</v>
      </c>
      <c r="E142" s="55" t="n">
        <v>1.335</v>
      </c>
      <c r="F142" s="62" t="n"/>
      <c r="G142" s="62" t="n">
        <v>45228</v>
      </c>
      <c r="H142" s="62" t="n"/>
      <c r="I142" s="62" t="n">
        <v>45229</v>
      </c>
      <c r="J142" s="63">
        <f>IF(ISBLANK(F142:G142),,IF(COUNTA(F142)=0,G142,F142))</f>
        <v/>
      </c>
      <c r="K142" s="64">
        <f>IFERROR(__xludf.DUMMYFUNCTION("if(isblank(J142),,index(googlefinance(A142,K$2,J142-1),2,2))"),101.8)</f>
        <v/>
      </c>
      <c r="L142" s="65">
        <f>IF(ISBLANK(H142:I142),,IF(COUNTA(H142)=0,I142,H142))</f>
        <v/>
      </c>
      <c r="M142" s="66">
        <f>IFERROR(__xludf.DUMMYFUNCTION("if(isblank(L142),, index(googlefinance(A142,M$2,L142-1),2,2))"),101.8)</f>
        <v/>
      </c>
      <c r="N142" s="67">
        <f>IFERROR(__xludf.DUMMYFUNCTION("if(isblank(A142),,googlefinance(A142))"),104.04)</f>
        <v/>
      </c>
      <c r="O142" s="68">
        <f>IF(ISBLANK(J142),,IF(ISBLANK(L142),"Ongoing","Completed"))</f>
        <v/>
      </c>
      <c r="P142" s="68">
        <f>IF(ISBLANK(A142),,IF(AND(COUNTA(F142)=1,T142&gt;0),"Profit",IF(AND(COUNTA(G142)=1,T142&lt;0),"Profit","Loss")))</f>
        <v/>
      </c>
      <c r="Q142" s="53">
        <f>IF(ISBLANK(U142),,IF(P142="Profit",IF(T142&lt;0,U142*-T142,U142*T142),IF(T142&gt;0,U142*-T142,U142*T142)))</f>
        <v/>
      </c>
      <c r="R142" s="68" t="n"/>
      <c r="S142" s="69">
        <f>IF($Q142&gt;0, TRUE, FALSE)</f>
        <v/>
      </c>
      <c r="T142" s="68">
        <f>IF(ISBLANK(J142),,IF(ISBLANK(L142),N142-K142,M142-K142))</f>
        <v/>
      </c>
      <c r="U142" s="55">
        <f>IF(ISBLANK(J142),,ROUNDDOWN(U$1/K142,0))</f>
        <v/>
      </c>
    </row>
    <row r="143" hidden="1" ht="14" customHeight="1">
      <c r="A143" s="72" t="inlineStr">
        <is>
          <t>EMN</t>
        </is>
      </c>
      <c r="B143" s="70" t="n">
        <v>13</v>
      </c>
      <c r="C143" s="55" t="n">
        <v>247.07</v>
      </c>
      <c r="D143" s="55" t="n">
        <v>53.846</v>
      </c>
      <c r="E143" s="55" t="n">
        <v>3.253</v>
      </c>
      <c r="F143" s="62" t="n">
        <v>45229</v>
      </c>
      <c r="G143" s="62" t="n"/>
      <c r="H143" s="62" t="n">
        <v>45264</v>
      </c>
      <c r="I143" s="62" t="n"/>
      <c r="J143" s="63">
        <f>IF(ISBLANK(F143:G143),,IF(COUNTA(F143)=0,G143,F143))</f>
        <v/>
      </c>
      <c r="K143" s="64">
        <f>IFERROR(__xludf.DUMMYFUNCTION("if(isblank(J143),,index(googlefinance(A143,K$2,J143-1),2,2))"),75.19)</f>
        <v/>
      </c>
      <c r="L143" s="65">
        <f>IF(ISBLANK(H143:I143),,IF(COUNTA(H143)=0,I143,H143))</f>
        <v/>
      </c>
      <c r="M143" s="66">
        <f>IFERROR(__xludf.DUMMYFUNCTION("if(isblank(L143),, index(googlefinance(A143,M$2,L143-1),2,2))"),84.88)</f>
        <v/>
      </c>
      <c r="N143" s="67">
        <f>IFERROR(__xludf.DUMMYFUNCTION("if(isblank(A143),,googlefinance(A143))"),88.01)</f>
        <v/>
      </c>
      <c r="O143" s="68">
        <f>IF(ISBLANK(J143),,IF(ISBLANK(L143),"Ongoing","Completed"))</f>
        <v/>
      </c>
      <c r="P143" s="68">
        <f>IF(ISBLANK(A143),,IF(AND(COUNTA(F143)=1,T143&gt;0),"Profit",IF(AND(COUNTA(G143)=1,T143&lt;0),"Profit","Loss")))</f>
        <v/>
      </c>
      <c r="Q143" s="53">
        <f>IF(ISBLANK(U143),,IF(P143="Profit",IF(T143&lt;0,U143*-T143,U143*T143),IF(T143&gt;0,U143*-T143,U143*T143)))</f>
        <v/>
      </c>
      <c r="R143" s="68" t="n"/>
      <c r="S143" s="69">
        <f>IF($Q143&gt;0, TRUE, FALSE)</f>
        <v/>
      </c>
      <c r="T143" s="68">
        <f>IF(ISBLANK(J143),,IF(ISBLANK(L143),N143-K143,M143-K143))</f>
        <v/>
      </c>
      <c r="U143" s="55">
        <f>IF(ISBLANK(J143),,ROUNDDOWN(U$1/K143,0))</f>
        <v/>
      </c>
    </row>
    <row r="144" hidden="1" ht="14" customHeight="1">
      <c r="A144" s="72" t="inlineStr">
        <is>
          <t>NUE</t>
        </is>
      </c>
      <c r="B144" s="70" t="n">
        <v>9</v>
      </c>
      <c r="C144" s="55" t="n">
        <v>54.99</v>
      </c>
      <c r="D144" s="55" t="n">
        <v>33.333</v>
      </c>
      <c r="E144" s="55" t="n">
        <v>1.219</v>
      </c>
      <c r="F144" s="62" t="n">
        <v>45229</v>
      </c>
      <c r="G144" s="62" t="n"/>
      <c r="H144" s="62" t="n">
        <v>45264</v>
      </c>
      <c r="I144" s="62" t="n"/>
      <c r="J144" s="63">
        <f>IF(ISBLANK(F144:G144),,IF(COUNTA(F144)=0,G144,F144))</f>
        <v/>
      </c>
      <c r="K144" s="64">
        <f>IFERROR(__xludf.DUMMYFUNCTION("if(isblank(J144),,index(googlefinance(A144,K$2,J144-1),2,2))"),148.95)</f>
        <v/>
      </c>
      <c r="L144" s="65">
        <f>IF(ISBLANK(H144:I144),,IF(COUNTA(H144)=0,I144,H144))</f>
        <v/>
      </c>
      <c r="M144" s="66">
        <f>IFERROR(__xludf.DUMMYFUNCTION("if(isblank(L144),, index(googlefinance(A144,M$2,L144-1),2,2))"),167.4)</f>
        <v/>
      </c>
      <c r="N144" s="67">
        <f>IFERROR(__xludf.DUMMYFUNCTION("if(isblank(A144),,googlefinance(A144))"),176.57)</f>
        <v/>
      </c>
      <c r="O144" s="68">
        <f>IF(ISBLANK(J144),,IF(ISBLANK(L144),"Ongoing","Completed"))</f>
        <v/>
      </c>
      <c r="P144" s="68">
        <f>IF(ISBLANK(A144),,IF(AND(COUNTA(F144)=1,T144&gt;0),"Profit",IF(AND(COUNTA(G144)=1,T144&lt;0),"Profit","Loss")))</f>
        <v/>
      </c>
      <c r="Q144" s="53">
        <f>IF(ISBLANK(U144),,IF(P144="Profit",IF(T144&lt;0,U144*-T144,U144*T144),IF(T144&gt;0,U144*-T144,U144*T144)))</f>
        <v/>
      </c>
      <c r="R144" s="68" t="n"/>
      <c r="S144" s="69">
        <f>IF($Q144&gt;0, TRUE, FALSE)</f>
        <v/>
      </c>
      <c r="T144" s="68">
        <f>IF(ISBLANK(J144),,IF(ISBLANK(L144),N144-K144,M144-K144))</f>
        <v/>
      </c>
      <c r="U144" s="55">
        <f>IF(ISBLANK(J144),,ROUNDDOWN(U$1/K144,0))</f>
        <v/>
      </c>
    </row>
    <row r="145" hidden="1" ht="14" customHeight="1">
      <c r="A145" s="72" t="inlineStr">
        <is>
          <t>PRU</t>
        </is>
      </c>
      <c r="B145" s="70" t="n">
        <v>9</v>
      </c>
      <c r="C145" s="55" t="n">
        <v>33.68</v>
      </c>
      <c r="D145" s="55" t="n">
        <v>55.556</v>
      </c>
      <c r="E145" s="55" t="n">
        <v>1.336</v>
      </c>
      <c r="F145" s="62" t="n">
        <v>45230</v>
      </c>
      <c r="G145" s="62" t="n"/>
      <c r="H145" s="62" t="n">
        <v>45254</v>
      </c>
      <c r="I145" s="62" t="n"/>
      <c r="J145" s="63">
        <f>IF(ISBLANK(F145:G145),,IF(COUNTA(F145)=0,G145,F145))</f>
        <v/>
      </c>
      <c r="K145" s="64">
        <f>IFERROR(__xludf.DUMMYFUNCTION("if(isblank(J145),,index(googlefinance(A145,K$2,J145-1),2,2))"),90.68)</f>
        <v/>
      </c>
      <c r="L145" s="65">
        <f>IF(ISBLANK(H145:I145),,IF(COUNTA(H145)=0,I145,H145))</f>
        <v/>
      </c>
      <c r="M145" s="66">
        <f>IFERROR(__xludf.DUMMYFUNCTION("if(isblank(L145),, index(googlefinance(A145,M$2,L145-1),2,2))"),95.74)</f>
        <v/>
      </c>
      <c r="N145" s="67">
        <f>IFERROR(__xludf.DUMMYFUNCTION("if(isblank(A145),,googlefinance(A145))"),102.79)</f>
        <v/>
      </c>
      <c r="O145" s="68">
        <f>IF(ISBLANK(J145),,IF(ISBLANK(L145),"Ongoing","Completed"))</f>
        <v/>
      </c>
      <c r="P145" s="68">
        <f>IF(ISBLANK(A145),,IF(AND(COUNTA(F145)=1,T145&gt;0),"Profit",IF(AND(COUNTA(G145)=1,T145&lt;0),"Profit","Loss")))</f>
        <v/>
      </c>
      <c r="Q145" s="53">
        <f>IF(ISBLANK(U145),,IF(P145="Profit",IF(T145&lt;0,U145*-T145,U145*T145),IF(T145&gt;0,U145*-T145,U145*T145)))</f>
        <v/>
      </c>
      <c r="R145" s="68" t="n"/>
      <c r="S145" s="69">
        <f>IF($Q145&gt;0, TRUE, FALSE)</f>
        <v/>
      </c>
      <c r="T145" s="68">
        <f>IF(ISBLANK(J145),,IF(ISBLANK(L145),N145-K145,M145-K145))</f>
        <v/>
      </c>
      <c r="U145" s="55">
        <f>IF(ISBLANK(J145),,ROUNDDOWN(U$1/K145,0))</f>
        <v/>
      </c>
    </row>
    <row r="146" hidden="1" ht="14" customHeight="1">
      <c r="A146" s="72" t="inlineStr">
        <is>
          <t>ADSK</t>
        </is>
      </c>
      <c r="B146" s="70" t="n">
        <v>12</v>
      </c>
      <c r="C146" s="55" t="n">
        <v>37.58</v>
      </c>
      <c r="D146" s="55" t="n">
        <v>25</v>
      </c>
      <c r="E146" s="55" t="n">
        <v>1.139</v>
      </c>
      <c r="F146" s="62" t="n">
        <v>45231</v>
      </c>
      <c r="G146" s="62" t="n"/>
      <c r="H146" s="62" t="n">
        <v>45252</v>
      </c>
      <c r="I146" s="62" t="n"/>
      <c r="J146" s="63">
        <f>IF(ISBLANK(F146:G146),,IF(COUNTA(F146)=0,G146,F146))</f>
        <v/>
      </c>
      <c r="K146" s="64">
        <f>IFERROR(__xludf.DUMMYFUNCTION("if(isblank(J146),,index(googlefinance(A146,K$2,J146-1),2,2))"),197.63)</f>
        <v/>
      </c>
      <c r="L146" s="65">
        <f>IF(ISBLANK(H146:I146),,IF(COUNTA(H146)=0,I146,H146))</f>
        <v/>
      </c>
      <c r="M146" s="66">
        <f>IFERROR(__xludf.DUMMYFUNCTION("if(isblank(L146),, index(googlefinance(A146,M$2,L146-1),2,2))"),217.67)</f>
        <v/>
      </c>
      <c r="N146" s="67">
        <f>IFERROR(__xludf.DUMMYFUNCTION("if(isblank(A146),,googlefinance(A146))"),227.19)</f>
        <v/>
      </c>
      <c r="O146" s="68">
        <f>IF(ISBLANK(J146),,IF(ISBLANK(L146),"Ongoing","Completed"))</f>
        <v/>
      </c>
      <c r="P146" s="68">
        <f>IF(ISBLANK(A146),,IF(AND(COUNTA(F146)=1,T146&gt;0),"Profit",IF(AND(COUNTA(G146)=1,T146&lt;0),"Profit","Loss")))</f>
        <v/>
      </c>
      <c r="Q146" s="53">
        <f>IF(ISBLANK(U146),,IF(P146="Profit",IF(T146&lt;0,U146*-T146,U146*T146),IF(T146&gt;0,U146*-T146,U146*T146)))</f>
        <v/>
      </c>
      <c r="R146" s="68" t="n"/>
      <c r="S146" s="69">
        <f>IF($Q146&gt;0, TRUE, FALSE)</f>
        <v/>
      </c>
      <c r="T146" s="68">
        <f>IF(ISBLANK(J146),,IF(ISBLANK(L146),N146-K146,M146-K146))</f>
        <v/>
      </c>
      <c r="U146" s="55">
        <f>IF(ISBLANK(J146),,ROUNDDOWN(U$1/K146,0))</f>
        <v/>
      </c>
    </row>
    <row r="147" hidden="1" ht="14" customHeight="1">
      <c r="A147" s="72" t="inlineStr">
        <is>
          <t>BAC</t>
        </is>
      </c>
      <c r="B147" s="70" t="n">
        <v>14</v>
      </c>
      <c r="C147" s="55" t="n">
        <v>204.76</v>
      </c>
      <c r="D147" s="55" t="n">
        <v>42.857</v>
      </c>
      <c r="E147" s="55" t="n">
        <v>1.989</v>
      </c>
      <c r="F147" s="62" t="n">
        <v>45231</v>
      </c>
      <c r="G147" s="62" t="n"/>
      <c r="H147" s="62" t="n">
        <v>45265</v>
      </c>
      <c r="I147" s="62" t="n"/>
      <c r="J147" s="63">
        <f>IF(ISBLANK(F147:G147),,IF(COUNTA(F147)=0,G147,F147))</f>
        <v/>
      </c>
      <c r="K147" s="64">
        <f>IFERROR(__xludf.DUMMYFUNCTION("if(isblank(J147),,index(googlefinance(A147,K$2,J147-1),2,2))"),26.34)</f>
        <v/>
      </c>
      <c r="L147" s="65">
        <f>IF(ISBLANK(H147:I147),,IF(COUNTA(H147)=0,I147,H147))</f>
        <v/>
      </c>
      <c r="M147" s="66">
        <f>IFERROR(__xludf.DUMMYFUNCTION("if(isblank(L147),, index(googlefinance(A147,M$2,L147-1),2,2))"),30.82)</f>
        <v/>
      </c>
      <c r="N147" s="67">
        <f>IFERROR(__xludf.DUMMYFUNCTION("if(isblank(A147),,googlefinance(A147))"),33.53)</f>
        <v/>
      </c>
      <c r="O147" s="68">
        <f>IF(ISBLANK(J147),,IF(ISBLANK(L147),"Ongoing","Completed"))</f>
        <v/>
      </c>
      <c r="P147" s="68">
        <f>IF(ISBLANK(A147),,IF(AND(COUNTA(F147)=1,T147&gt;0),"Profit",IF(AND(COUNTA(G147)=1,T147&lt;0),"Profit","Loss")))</f>
        <v/>
      </c>
      <c r="Q147" s="53">
        <f>IF(ISBLANK(U147),,IF(P147="Profit",IF(T147&lt;0,U147*-T147,U147*T147),IF(T147&gt;0,U147*-T147,U147*T147)))</f>
        <v/>
      </c>
      <c r="R147" s="68" t="n"/>
      <c r="S147" s="69">
        <f>IF($Q147&gt;0, TRUE, FALSE)</f>
        <v/>
      </c>
      <c r="T147" s="68">
        <f>IF(ISBLANK(J147),,IF(ISBLANK(L147),N147-K147,M147-K147))</f>
        <v/>
      </c>
      <c r="U147" s="55">
        <f>IF(ISBLANK(J147),,ROUNDDOWN(U$1/K147,0))</f>
        <v/>
      </c>
    </row>
    <row r="148" hidden="1" ht="14" customHeight="1">
      <c r="A148" s="72" t="inlineStr">
        <is>
          <t>FDX</t>
        </is>
      </c>
      <c r="B148" s="70" t="n">
        <v>10</v>
      </c>
      <c r="C148" s="55" t="n">
        <v>24.89</v>
      </c>
      <c r="D148" s="55" t="n">
        <v>10</v>
      </c>
      <c r="E148" s="55" t="n">
        <v>1.1</v>
      </c>
      <c r="F148" s="62" t="n">
        <v>45231</v>
      </c>
      <c r="G148" s="62" t="n"/>
      <c r="H148" s="62" t="n">
        <v>45239</v>
      </c>
      <c r="I148" s="62" t="n"/>
      <c r="J148" s="63">
        <f>IF(ISBLANK(F148:G148),,IF(COUNTA(F148)=0,G148,F148))</f>
        <v/>
      </c>
      <c r="K148" s="64">
        <f>IFERROR(__xludf.DUMMYFUNCTION("if(isblank(J148),,index(googlefinance(A148,K$2,J148-1),2,2))"),240.1)</f>
        <v/>
      </c>
      <c r="L148" s="65">
        <f>IF(ISBLANK(H148:I148),,IF(COUNTA(H148)=0,I148,H148))</f>
        <v/>
      </c>
      <c r="M148" s="66">
        <f>IFERROR(__xludf.DUMMYFUNCTION("if(isblank(L148),, index(googlefinance(A148,M$2,L148-1),2,2))"),245.37)</f>
        <v/>
      </c>
      <c r="N148" s="67">
        <f>IFERROR(__xludf.DUMMYFUNCTION("if(isblank(A148),,googlefinance(A148))"),247.64)</f>
        <v/>
      </c>
      <c r="O148" s="68">
        <f>IF(ISBLANK(J148),,IF(ISBLANK(L148),"Ongoing","Completed"))</f>
        <v/>
      </c>
      <c r="P148" s="68">
        <f>IF(ISBLANK(A148),,IF(AND(COUNTA(F148)=1,T148&gt;0),"Profit",IF(AND(COUNTA(G148)=1,T148&lt;0),"Profit","Loss")))</f>
        <v/>
      </c>
      <c r="Q148" s="53">
        <f>IF(ISBLANK(U148),,IF(P148="Profit",IF(T148&lt;0,U148*-T148,U148*T148),IF(T148&gt;0,U148*-T148,U148*T148)))</f>
        <v/>
      </c>
      <c r="R148" s="68" t="n"/>
      <c r="S148" s="69">
        <f>IF($Q148&gt;0, TRUE, FALSE)</f>
        <v/>
      </c>
      <c r="T148" s="68">
        <f>IF(ISBLANK(J148),,IF(ISBLANK(L148),N148-K148,M148-K148))</f>
        <v/>
      </c>
      <c r="U148" s="55">
        <f>IF(ISBLANK(J148),,ROUNDDOWN(U$1/K148,0))</f>
        <v/>
      </c>
    </row>
    <row r="149" hidden="1" ht="14" customHeight="1">
      <c r="A149" s="72" t="inlineStr">
        <is>
          <t>NTRS</t>
        </is>
      </c>
      <c r="B149" s="70" t="n">
        <v>9</v>
      </c>
      <c r="C149" s="55" t="n">
        <v>48.66</v>
      </c>
      <c r="D149" s="55" t="n">
        <v>55.556</v>
      </c>
      <c r="E149" s="55" t="n">
        <v>1.488</v>
      </c>
      <c r="F149" s="62" t="n">
        <v>45231</v>
      </c>
      <c r="G149" s="62" t="n"/>
      <c r="H149" s="62" t="n">
        <v>45266</v>
      </c>
      <c r="I149" s="62" t="n"/>
      <c r="J149" s="63">
        <f>IF(ISBLANK(F149:G149),,IF(COUNTA(F149)=0,G149,F149))</f>
        <v/>
      </c>
      <c r="K149" s="64">
        <f>IFERROR(__xludf.DUMMYFUNCTION("if(isblank(J149),,index(googlefinance(A149,K$2,J149-1),2,2))"),65.91)</f>
        <v/>
      </c>
      <c r="L149" s="65">
        <f>IF(ISBLANK(H149:I149),,IF(COUNTA(H149)=0,I149,H149))</f>
        <v/>
      </c>
      <c r="M149" s="66">
        <f>IFERROR(__xludf.DUMMYFUNCTION("if(isblank(L149),, index(googlefinance(A149,M$2,L149-1),2,2))"),80.76)</f>
        <v/>
      </c>
      <c r="N149" s="67">
        <f>IFERROR(__xludf.DUMMYFUNCTION("if(isblank(A149),,googlefinance(A149))"),82.58)</f>
        <v/>
      </c>
      <c r="O149" s="68">
        <f>IF(ISBLANK(J149),,IF(ISBLANK(L149),"Ongoing","Completed"))</f>
        <v/>
      </c>
      <c r="P149" s="68">
        <f>IF(ISBLANK(A149),,IF(AND(COUNTA(F149)=1,T149&gt;0),"Profit",IF(AND(COUNTA(G149)=1,T149&lt;0),"Profit","Loss")))</f>
        <v/>
      </c>
      <c r="Q149" s="53">
        <f>IF(ISBLANK(U149),,IF(P149="Profit",IF(T149&lt;0,U149*-T149,U149*T149),IF(T149&gt;0,U149*-T149,U149*T149)))</f>
        <v/>
      </c>
      <c r="R149" s="68" t="n"/>
      <c r="S149" s="69">
        <f>IF($Q149&gt;0, TRUE, FALSE)</f>
        <v/>
      </c>
      <c r="T149" s="68">
        <f>IF(ISBLANK(J149),,IF(ISBLANK(L149),N149-K149,M149-K149))</f>
        <v/>
      </c>
      <c r="U149" s="55">
        <f>IF(ISBLANK(J149),,ROUNDDOWN(U$1/K149,0))</f>
        <v/>
      </c>
    </row>
    <row r="150" hidden="1" ht="14" customHeight="1">
      <c r="A150" s="72" t="inlineStr">
        <is>
          <t>NVDA</t>
        </is>
      </c>
      <c r="B150" s="70" t="n">
        <v>8</v>
      </c>
      <c r="C150" s="55" t="n">
        <v>18.927</v>
      </c>
      <c r="D150" s="55" t="n">
        <v>25</v>
      </c>
      <c r="E150" s="55" t="n">
        <v>1.067</v>
      </c>
      <c r="F150" s="62" t="n">
        <v>45231</v>
      </c>
      <c r="G150" s="62" t="n"/>
      <c r="H150" s="62" t="n">
        <v>45252</v>
      </c>
      <c r="I150" s="62" t="n"/>
      <c r="J150" s="63">
        <f>IF(ISBLANK(F150:G150),,IF(COUNTA(F150)=0,G150,F150))</f>
        <v/>
      </c>
      <c r="K150" s="64">
        <f>IFERROR(__xludf.DUMMYFUNCTION("if(isblank(J150),,index(googlefinance(A150,K$2,J150-1),2,2))"),407.8)</f>
        <v/>
      </c>
      <c r="L150" s="65">
        <f>IF(ISBLANK(H150:I150),,IF(COUNTA(H150)=0,I150,H150))</f>
        <v/>
      </c>
      <c r="M150" s="66">
        <f>IFERROR(__xludf.DUMMYFUNCTION("if(isblank(L150),, index(googlefinance(A150,M$2,L150-1),2,2))"),499.44)</f>
        <v/>
      </c>
      <c r="N150" s="67">
        <f>IFERROR(__xludf.DUMMYFUNCTION("if(isblank(A150),,googlefinance(A150))"),475.69)</f>
        <v/>
      </c>
      <c r="O150" s="68">
        <f>IF(ISBLANK(J150),,IF(ISBLANK(L150),"Ongoing","Completed"))</f>
        <v/>
      </c>
      <c r="P150" s="68">
        <f>IF(ISBLANK(A150),,IF(AND(COUNTA(F150)=1,T150&gt;0),"Profit",IF(AND(COUNTA(G150)=1,T150&lt;0),"Profit","Loss")))</f>
        <v/>
      </c>
      <c r="Q150" s="53">
        <f>IF(ISBLANK(U150),,IF(P150="Profit",IF(T150&lt;0,U150*-T150,U150*T150),IF(T150&gt;0,U150*-T150,U150*T150)))</f>
        <v/>
      </c>
      <c r="R150" s="68" t="n"/>
      <c r="S150" s="69">
        <f>IF($Q150&gt;0, TRUE, FALSE)</f>
        <v/>
      </c>
      <c r="T150" s="68">
        <f>IF(ISBLANK(J150),,IF(ISBLANK(L150),N150-K150,M150-K150))</f>
        <v/>
      </c>
      <c r="U150" s="55">
        <f>IF(ISBLANK(J150),,ROUNDDOWN(U$1/K150,0))</f>
        <v/>
      </c>
    </row>
    <row r="151" hidden="1" ht="14" customHeight="1">
      <c r="A151" s="72" t="inlineStr">
        <is>
          <t>ACN</t>
        </is>
      </c>
      <c r="B151" s="70" t="n">
        <v>9</v>
      </c>
      <c r="C151" s="55" t="n">
        <v>39.09</v>
      </c>
      <c r="D151" s="55" t="n">
        <v>33.333</v>
      </c>
      <c r="E151" s="55" t="n">
        <v>1.157</v>
      </c>
      <c r="F151" s="62" t="n">
        <v>45232</v>
      </c>
      <c r="G151" s="62" t="n"/>
      <c r="H151" s="62" t="n">
        <v>45265</v>
      </c>
      <c r="I151" s="62" t="n"/>
      <c r="J151" s="63">
        <f>IF(ISBLANK(F151:G151),,IF(COUNTA(F151)=0,G151,F151))</f>
        <v/>
      </c>
      <c r="K151" s="64">
        <f>IFERROR(__xludf.DUMMYFUNCTION("if(isblank(J151),,index(googlefinance(A151,K$2,J151-1),2,2))"),300.64)</f>
        <v/>
      </c>
      <c r="L151" s="65">
        <f>IF(ISBLANK(H151:I151),,IF(COUNTA(H151)=0,I151,H151))</f>
        <v/>
      </c>
      <c r="M151" s="66">
        <f>IFERROR(__xludf.DUMMYFUNCTION("if(isblank(L151),, index(googlefinance(A151,M$2,L151-1),2,2))"),336.43)</f>
        <v/>
      </c>
      <c r="N151" s="67">
        <f>IFERROR(__xludf.DUMMYFUNCTION("if(isblank(A151),,googlefinance(A151))"),337.92)</f>
        <v/>
      </c>
      <c r="O151" s="68">
        <f>IF(ISBLANK(J151),,IF(ISBLANK(L151),"Ongoing","Completed"))</f>
        <v/>
      </c>
      <c r="P151" s="68">
        <f>IF(ISBLANK(A151),,IF(AND(COUNTA(F151)=1,T151&gt;0),"Profit",IF(AND(COUNTA(G151)=1,T151&lt;0),"Profit","Loss")))</f>
        <v/>
      </c>
      <c r="Q151" s="53">
        <f>IF(ISBLANK(U151),,IF(P151="Profit",IF(T151&lt;0,U151*-T151,U151*T151),IF(T151&gt;0,U151*-T151,U151*T151)))</f>
        <v/>
      </c>
      <c r="R151" s="68" t="n"/>
      <c r="S151" s="69">
        <f>IF($Q151&gt;0, TRUE, FALSE)</f>
        <v/>
      </c>
      <c r="T151" s="68">
        <f>IF(ISBLANK(J151),,IF(ISBLANK(L151),N151-K151,M151-K151))</f>
        <v/>
      </c>
      <c r="U151" s="55">
        <f>IF(ISBLANK(J151),,ROUNDDOWN(U$1/K151,0))</f>
        <v/>
      </c>
    </row>
    <row r="152" hidden="1" ht="14" customHeight="1">
      <c r="A152" s="73" t="inlineStr">
        <is>
          <t>BA</t>
        </is>
      </c>
      <c r="B152" s="74" t="n">
        <v>9</v>
      </c>
      <c r="C152" s="75" t="n">
        <v>578.77</v>
      </c>
      <c r="D152" s="75" t="n">
        <v>44.444</v>
      </c>
      <c r="E152" s="76" t="n">
        <v>6.458</v>
      </c>
      <c r="F152" s="62" t="n">
        <v>45232</v>
      </c>
      <c r="G152" s="62" t="n"/>
      <c r="H152" s="62" t="n">
        <v>45272</v>
      </c>
      <c r="I152" s="62" t="n"/>
      <c r="J152" s="63">
        <f>IF(ISBLANK(F152:G152),,IF(COUNTA(F152)=0,G152,F152))</f>
        <v/>
      </c>
      <c r="K152" s="64">
        <f>IFERROR(__xludf.DUMMYFUNCTION("if(isblank(J152),,index(googlefinance(A152,K$2,J152-1),2,2))"),189.38)</f>
        <v/>
      </c>
      <c r="L152" s="65">
        <f>IF(ISBLANK(H152:I152),,IF(COUNTA(H152)=0,I152,H152))</f>
        <v/>
      </c>
      <c r="M152" s="66">
        <f>IFERROR(__xludf.DUMMYFUNCTION("if(isblank(L152),, index(googlefinance(A152,M$2,L152-1),2,2))"),248.08)</f>
        <v/>
      </c>
      <c r="N152" s="67">
        <f>IFERROR(__xludf.DUMMYFUNCTION("if(isblank(A152),,googlefinance(A152))"),243.91)</f>
        <v/>
      </c>
      <c r="O152" s="68">
        <f>IF(ISBLANK(J152),,IF(ISBLANK(L152),"Ongoing","Completed"))</f>
        <v/>
      </c>
      <c r="P152" s="68">
        <f>IF(ISBLANK(A152),,IF(AND(COUNTA(F152)=1,T152&gt;0),"Profit",IF(AND(COUNTA(G152)=1,T152&lt;0),"Profit","Loss")))</f>
        <v/>
      </c>
      <c r="Q152" s="53">
        <f>IF(ISBLANK(U152),,IF(P152="Profit",IF(T152&lt;0,U152*-T152,U152*T152),IF(T152&gt;0,U152*-T152,U152*T152)))</f>
        <v/>
      </c>
      <c r="R152" s="68" t="n"/>
      <c r="S152" s="69">
        <f>IF($Q152&gt;0, TRUE, FALSE)</f>
        <v/>
      </c>
      <c r="T152" s="68">
        <f>IF(ISBLANK(J152),,IF(ISBLANK(L152),N152-K152,M152-K152))</f>
        <v/>
      </c>
      <c r="U152" s="55">
        <f>IF(ISBLANK(J152),,ROUNDDOWN(U$1/K152,0))</f>
        <v/>
      </c>
    </row>
    <row r="153" hidden="1" ht="14" customHeight="1">
      <c r="A153" s="72" t="inlineStr">
        <is>
          <t>BBY</t>
        </is>
      </c>
      <c r="B153" s="70" t="n">
        <v>13</v>
      </c>
      <c r="C153" s="55" t="n">
        <v>173.07</v>
      </c>
      <c r="D153" s="55" t="n">
        <v>46.154</v>
      </c>
      <c r="E153" s="55" t="n">
        <v>1.741</v>
      </c>
      <c r="F153" s="62" t="n">
        <v>45232</v>
      </c>
      <c r="G153" s="62" t="n"/>
      <c r="H153" s="62" t="n">
        <v>45237</v>
      </c>
      <c r="I153" s="62" t="n"/>
      <c r="J153" s="63">
        <f>IF(ISBLANK(F153:G153),,IF(COUNTA(F153)=0,G153,F153))</f>
        <v/>
      </c>
      <c r="K153" s="64">
        <f>IFERROR(__xludf.DUMMYFUNCTION("if(isblank(J153),,index(googlefinance(A153,K$2,J153-1),2,2))"),65.97)</f>
        <v/>
      </c>
      <c r="L153" s="65">
        <f>IF(ISBLANK(H153:I153),,IF(COUNTA(H153)=0,I153,H153))</f>
        <v/>
      </c>
      <c r="M153" s="66">
        <f>IFERROR(__xludf.DUMMYFUNCTION("if(isblank(L153),, index(googlefinance(A153,M$2,L153-1),2,2))"),66.96)</f>
        <v/>
      </c>
      <c r="N153" s="67">
        <f>IFERROR(__xludf.DUMMYFUNCTION("if(isblank(A153),,googlefinance(A153))"),75.43)</f>
        <v/>
      </c>
      <c r="O153" s="68">
        <f>IF(ISBLANK(J153),,IF(ISBLANK(L153),"Ongoing","Completed"))</f>
        <v/>
      </c>
      <c r="P153" s="68">
        <f>IF(ISBLANK(A153),,IF(AND(COUNTA(F153)=1,T153&gt;0),"Profit",IF(AND(COUNTA(G153)=1,T153&lt;0),"Profit","Loss")))</f>
        <v/>
      </c>
      <c r="Q153" s="53">
        <f>IF(ISBLANK(U153),,IF(P153="Profit",IF(T153&lt;0,U153*-T153,U153*T153),IF(T153&gt;0,U153*-T153,U153*T153)))</f>
        <v/>
      </c>
      <c r="R153" s="68" t="n"/>
      <c r="S153" s="69">
        <f>IF($Q153&gt;0, TRUE, FALSE)</f>
        <v/>
      </c>
      <c r="T153" s="68">
        <f>IF(ISBLANK(J153),,IF(ISBLANK(L153),N153-K153,M153-K153))</f>
        <v/>
      </c>
      <c r="U153" s="55">
        <f>IF(ISBLANK(J153),,ROUNDDOWN(U$1/K153,0))</f>
        <v/>
      </c>
    </row>
    <row r="154" hidden="1" ht="14" customHeight="1">
      <c r="A154" s="72" t="inlineStr">
        <is>
          <t>BR</t>
        </is>
      </c>
      <c r="B154" s="70" t="n">
        <v>14</v>
      </c>
      <c r="C154" s="55" t="n">
        <v>220.57</v>
      </c>
      <c r="D154" s="55" t="n">
        <v>57.143</v>
      </c>
      <c r="E154" s="55" t="n">
        <v>1.795</v>
      </c>
      <c r="F154" s="62" t="n">
        <v>45232</v>
      </c>
      <c r="G154" s="62" t="n"/>
      <c r="H154" s="62" t="n">
        <v>45257</v>
      </c>
      <c r="I154" s="62" t="n"/>
      <c r="J154" s="63">
        <f>IF(ISBLANK(F154:G154),,IF(COUNTA(F154)=0,G154,F154))</f>
        <v/>
      </c>
      <c r="K154" s="64">
        <f>IFERROR(__xludf.DUMMYFUNCTION("if(isblank(J154),,index(googlefinance(A154,K$2,J154-1),2,2))"),170.53)</f>
        <v/>
      </c>
      <c r="L154" s="65">
        <f>IF(ISBLANK(H154:I154),,IF(COUNTA(H154)=0,I154,H154))</f>
        <v/>
      </c>
      <c r="M154" s="66">
        <f>IFERROR(__xludf.DUMMYFUNCTION("if(isblank(L154),, index(googlefinance(A154,M$2,L154-1),2,2))"),187.62)</f>
        <v/>
      </c>
      <c r="N154" s="67">
        <f>IFERROR(__xludf.DUMMYFUNCTION("if(isblank(A154),,googlefinance(A154))"),197.12)</f>
        <v/>
      </c>
      <c r="O154" s="68">
        <f>IF(ISBLANK(J154),,IF(ISBLANK(L154),"Ongoing","Completed"))</f>
        <v/>
      </c>
      <c r="P154" s="68">
        <f>IF(ISBLANK(A154),,IF(AND(COUNTA(F154)=1,T154&gt;0),"Profit",IF(AND(COUNTA(G154)=1,T154&lt;0),"Profit","Loss")))</f>
        <v/>
      </c>
      <c r="Q154" s="53">
        <f>IF(ISBLANK(U154),,IF(P154="Profit",IF(T154&lt;0,U154*-T154,U154*T154),IF(T154&gt;0,U154*-T154,U154*T154)))</f>
        <v/>
      </c>
      <c r="R154" s="68" t="n"/>
      <c r="S154" s="69">
        <f>IF($Q154&gt;0, TRUE, FALSE)</f>
        <v/>
      </c>
      <c r="T154" s="68">
        <f>IF(ISBLANK(J154),,IF(ISBLANK(L154),N154-K154,M154-K154))</f>
        <v/>
      </c>
      <c r="U154" s="55">
        <f>IF(ISBLANK(J154),,ROUNDDOWN(U$1/K154,0))</f>
        <v/>
      </c>
    </row>
    <row r="155" hidden="1" ht="14" customHeight="1">
      <c r="A155" s="72" t="inlineStr">
        <is>
          <t>C</t>
        </is>
      </c>
      <c r="B155" s="70" t="n">
        <v>11</v>
      </c>
      <c r="C155" s="55" t="n">
        <v>279.37</v>
      </c>
      <c r="D155" s="55" t="n">
        <v>45.455</v>
      </c>
      <c r="E155" s="55" t="n">
        <v>2.328</v>
      </c>
      <c r="F155" s="62" t="n">
        <v>45232</v>
      </c>
      <c r="G155" s="62" t="n"/>
      <c r="H155" s="62" t="n">
        <v>45258</v>
      </c>
      <c r="I155" s="62" t="n"/>
      <c r="J155" s="63">
        <f>IF(ISBLANK(F155:G155),,IF(COUNTA(F155)=0,G155,F155))</f>
        <v/>
      </c>
      <c r="K155" s="64">
        <f>IFERROR(__xludf.DUMMYFUNCTION("if(isblank(J155),,index(googlefinance(A155,K$2,J155-1),2,2))"),39.6)</f>
        <v/>
      </c>
      <c r="L155" s="65">
        <f>IF(ISBLANK(H155:I155),,IF(COUNTA(H155)=0,I155,H155))</f>
        <v/>
      </c>
      <c r="M155" s="66">
        <f>IFERROR(__xludf.DUMMYFUNCTION("if(isblank(L155),, index(googlefinance(A155,M$2,L155-1),2,2))"),45.08)</f>
        <v/>
      </c>
      <c r="N155" s="67">
        <f>IFERROR(__xludf.DUMMYFUNCTION("if(isblank(A155),,googlefinance(A155))"),53.64)</f>
        <v/>
      </c>
      <c r="O155" s="68">
        <f>IF(ISBLANK(J155),,IF(ISBLANK(L155),"Ongoing","Completed"))</f>
        <v/>
      </c>
      <c r="P155" s="68">
        <f>IF(ISBLANK(A155),,IF(AND(COUNTA(F155)=1,T155&gt;0),"Profit",IF(AND(COUNTA(G155)=1,T155&lt;0),"Profit","Loss")))</f>
        <v/>
      </c>
      <c r="Q155" s="53">
        <f>IF(ISBLANK(U155),,IF(P155="Profit",IF(T155&lt;0,U155*-T155,U155*T155),IF(T155&gt;0,U155*-T155,U155*T155)))</f>
        <v/>
      </c>
      <c r="R155" s="68" t="n"/>
      <c r="S155" s="69">
        <f>IF($Q155&gt;0, TRUE, FALSE)</f>
        <v/>
      </c>
      <c r="T155" s="68">
        <f>IF(ISBLANK(J155),,IF(ISBLANK(L155),N155-K155,M155-K155))</f>
        <v/>
      </c>
      <c r="U155" s="55">
        <f>IF(ISBLANK(J155),,ROUNDDOWN(U$1/K155,0))</f>
        <v/>
      </c>
    </row>
    <row r="156" hidden="1" ht="14" customHeight="1">
      <c r="A156" s="72" t="inlineStr">
        <is>
          <t>CTVA</t>
        </is>
      </c>
      <c r="B156" s="70" t="n">
        <v>9</v>
      </c>
      <c r="C156" s="55" t="n">
        <v>7.38</v>
      </c>
      <c r="D156" s="55" t="n">
        <v>44.444</v>
      </c>
      <c r="E156" s="55" t="n">
        <v>1.075</v>
      </c>
      <c r="F156" s="62" t="n">
        <v>45232</v>
      </c>
      <c r="G156" s="62" t="n"/>
      <c r="H156" s="62" t="n">
        <v>45238</v>
      </c>
      <c r="I156" s="62" t="n"/>
      <c r="J156" s="63">
        <f>IF(ISBLANK(F156:G156),,IF(COUNTA(F156)=0,G156,F156))</f>
        <v/>
      </c>
      <c r="K156" s="64">
        <f>IFERROR(__xludf.DUMMYFUNCTION("if(isblank(J156),,index(googlefinance(A156,K$2,J156-1),2,2))"),47.74)</f>
        <v/>
      </c>
      <c r="L156" s="65">
        <f>IF(ISBLANK(H156:I156),,IF(COUNTA(H156)=0,I156,H156))</f>
        <v/>
      </c>
      <c r="M156" s="66">
        <f>IFERROR(__xludf.DUMMYFUNCTION("if(isblank(L156),, index(googlefinance(A156,M$2,L156-1),2,2))"),49.28)</f>
        <v/>
      </c>
      <c r="N156" s="67">
        <f>IFERROR(__xludf.DUMMYFUNCTION("if(isblank(A156),,googlefinance(A156))"),48.08)</f>
        <v/>
      </c>
      <c r="O156" s="68">
        <f>IF(ISBLANK(J156),,IF(ISBLANK(L156),"Ongoing","Completed"))</f>
        <v/>
      </c>
      <c r="P156" s="68">
        <f>IF(ISBLANK(A156),,IF(AND(COUNTA(F156)=1,T156&gt;0),"Profit",IF(AND(COUNTA(G156)=1,T156&lt;0),"Profit","Loss")))</f>
        <v/>
      </c>
      <c r="Q156" s="53">
        <f>IF(ISBLANK(U156),,IF(P156="Profit",IF(T156&lt;0,U156*-T156,U156*T156),IF(T156&gt;0,U156*-T156,U156*T156)))</f>
        <v/>
      </c>
      <c r="R156" s="68" t="n"/>
      <c r="S156" s="69">
        <f>IF($Q156&gt;0, TRUE, FALSE)</f>
        <v/>
      </c>
      <c r="T156" s="68">
        <f>IF(ISBLANK(J156),,IF(ISBLANK(L156),N156-K156,M156-K156))</f>
        <v/>
      </c>
      <c r="U156" s="55">
        <f>IF(ISBLANK(J156),,ROUNDDOWN(U$1/K156,0))</f>
        <v/>
      </c>
    </row>
    <row r="157" hidden="1" ht="14" customHeight="1">
      <c r="A157" s="72" t="inlineStr">
        <is>
          <t>ECL</t>
        </is>
      </c>
      <c r="B157" s="70" t="n">
        <v>8</v>
      </c>
      <c r="C157" s="55" t="n">
        <v>119.41</v>
      </c>
      <c r="D157" s="55" t="n">
        <v>50</v>
      </c>
      <c r="E157" s="55" t="n">
        <v>3.809</v>
      </c>
      <c r="F157" s="62" t="n">
        <v>45232</v>
      </c>
      <c r="G157" s="62" t="n"/>
      <c r="H157" s="62" t="n">
        <v>45264</v>
      </c>
      <c r="I157" s="62" t="n"/>
      <c r="J157" s="63">
        <f>IF(ISBLANK(F157:G157),,IF(COUNTA(F157)=0,G157,F157))</f>
        <v/>
      </c>
      <c r="K157" s="64">
        <f>IFERROR(__xludf.DUMMYFUNCTION("if(isblank(J157),,index(googlefinance(A157,K$2,J157-1),2,2))"),167.21)</f>
        <v/>
      </c>
      <c r="L157" s="65">
        <f>IF(ISBLANK(H157:I157),,IF(COUNTA(H157)=0,I157,H157))</f>
        <v/>
      </c>
      <c r="M157" s="66">
        <f>IFERROR(__xludf.DUMMYFUNCTION("if(isblank(L157),, index(googlefinance(A157,M$2,L157-1),2,2))"),191.44)</f>
        <v/>
      </c>
      <c r="N157" s="67">
        <f>IFERROR(__xludf.DUMMYFUNCTION("if(isblank(A157),,googlefinance(A157))"),196.12)</f>
        <v/>
      </c>
      <c r="O157" s="68">
        <f>IF(ISBLANK(J157),,IF(ISBLANK(L157),"Ongoing","Completed"))</f>
        <v/>
      </c>
      <c r="P157" s="68">
        <f>IF(ISBLANK(A157),,IF(AND(COUNTA(F157)=1,T157&gt;0),"Profit",IF(AND(COUNTA(G157)=1,T157&lt;0),"Profit","Loss")))</f>
        <v/>
      </c>
      <c r="Q157" s="53">
        <f>IF(ISBLANK(U157),,IF(P157="Profit",IF(T157&lt;0,U157*-T157,U157*T157),IF(T157&gt;0,U157*-T157,U157*T157)))</f>
        <v/>
      </c>
      <c r="R157" s="68" t="n"/>
      <c r="S157" s="69">
        <f>IF($Q157&gt;0, TRUE, FALSE)</f>
        <v/>
      </c>
      <c r="T157" s="68">
        <f>IF(ISBLANK(J157),,IF(ISBLANK(L157),N157-K157,M157-K157))</f>
        <v/>
      </c>
      <c r="U157" s="55">
        <f>IF(ISBLANK(J157),,ROUNDDOWN(U$1/K157,0))</f>
        <v/>
      </c>
    </row>
    <row r="158" hidden="1" ht="14" customHeight="1">
      <c r="A158" s="72" t="inlineStr">
        <is>
          <t>GS</t>
        </is>
      </c>
      <c r="B158" s="70" t="n">
        <v>9</v>
      </c>
      <c r="C158" s="55" t="n">
        <v>46.52</v>
      </c>
      <c r="D158" s="55" t="n">
        <v>44.444</v>
      </c>
      <c r="E158" s="55" t="n">
        <v>1.336</v>
      </c>
      <c r="F158" s="62" t="n">
        <v>45232</v>
      </c>
      <c r="G158" s="62" t="n"/>
      <c r="H158" s="62" t="n">
        <v>45265</v>
      </c>
      <c r="I158" s="62" t="n"/>
      <c r="J158" s="63">
        <f>IF(ISBLANK(F158:G158),,IF(COUNTA(F158)=0,G158,F158))</f>
        <v/>
      </c>
      <c r="K158" s="64">
        <f>IFERROR(__xludf.DUMMYFUNCTION("if(isblank(J158),,index(googlefinance(A158,K$2,J158-1),2,2))"),307.16)</f>
        <v/>
      </c>
      <c r="L158" s="65">
        <f>IF(ISBLANK(H158:I158),,IF(COUNTA(H158)=0,I158,H158))</f>
        <v/>
      </c>
      <c r="M158" s="66">
        <f>IFERROR(__xludf.DUMMYFUNCTION("if(isblank(L158),, index(googlefinance(A158,M$2,L158-1),2,2))"),349.39)</f>
        <v/>
      </c>
      <c r="N158" s="67">
        <f>IFERROR(__xludf.DUMMYFUNCTION("if(isblank(A158),,googlefinance(A158))"),381.79)</f>
        <v/>
      </c>
      <c r="O158" s="68">
        <f>IF(ISBLANK(J158),,IF(ISBLANK(L158),"Ongoing","Completed"))</f>
        <v/>
      </c>
      <c r="P158" s="68">
        <f>IF(ISBLANK(A158),,IF(AND(COUNTA(F158)=1,T158&gt;0),"Profit",IF(AND(COUNTA(G158)=1,T158&lt;0),"Profit","Loss")))</f>
        <v/>
      </c>
      <c r="Q158" s="53">
        <f>IF(ISBLANK(U158),,IF(P158="Profit",IF(T158&lt;0,U158*-T158,U158*T158),IF(T158&gt;0,U158*-T158,U158*T158)))</f>
        <v/>
      </c>
      <c r="R158" s="68" t="n"/>
      <c r="S158" s="69">
        <f>IF($Q158&gt;0, TRUE, FALSE)</f>
        <v/>
      </c>
      <c r="T158" s="68">
        <f>IF(ISBLANK(J158),,IF(ISBLANK(L158),N158-K158,M158-K158))</f>
        <v/>
      </c>
      <c r="U158" s="55">
        <f>IF(ISBLANK(J158),,ROUNDDOWN(U$1/K158,0))</f>
        <v/>
      </c>
    </row>
    <row r="159" hidden="1" ht="14" customHeight="1">
      <c r="A159" s="72" t="inlineStr">
        <is>
          <t>HWM</t>
        </is>
      </c>
      <c r="B159" s="70" t="n">
        <v>10</v>
      </c>
      <c r="C159" s="55" t="n">
        <v>316.97</v>
      </c>
      <c r="D159" s="55" t="n">
        <v>40</v>
      </c>
      <c r="E159" s="55" t="n">
        <v>2.261</v>
      </c>
      <c r="F159" s="62" t="n">
        <v>45232</v>
      </c>
      <c r="G159" s="62" t="n"/>
      <c r="H159" s="62" t="n">
        <v>45258</v>
      </c>
      <c r="I159" s="62" t="n"/>
      <c r="J159" s="63">
        <f>IF(ISBLANK(F159:G159),,IF(COUNTA(F159)=0,G159,F159))</f>
        <v/>
      </c>
      <c r="K159" s="64">
        <f>IFERROR(__xludf.DUMMYFUNCTION("if(isblank(J159),,index(googlefinance(A159,K$2,J159-1),2,2))"),44.72)</f>
        <v/>
      </c>
      <c r="L159" s="65">
        <f>IF(ISBLANK(H159:I159),,IF(COUNTA(H159)=0,I159,H159))</f>
        <v/>
      </c>
      <c r="M159" s="66">
        <f>IFERROR(__xludf.DUMMYFUNCTION("if(isblank(L159),, index(googlefinance(A159,M$2,L159-1),2,2))"),52.62)</f>
        <v/>
      </c>
      <c r="N159" s="67">
        <f>IFERROR(__xludf.DUMMYFUNCTION("if(isblank(A159),,googlefinance(A159))"),52.76)</f>
        <v/>
      </c>
      <c r="O159" s="68">
        <f>IF(ISBLANK(J159),,IF(ISBLANK(L159),"Ongoing","Completed"))</f>
        <v/>
      </c>
      <c r="P159" s="68">
        <f>IF(ISBLANK(A159),,IF(AND(COUNTA(F159)=1,T159&gt;0),"Profit",IF(AND(COUNTA(G159)=1,T159&lt;0),"Profit","Loss")))</f>
        <v/>
      </c>
      <c r="Q159" s="53">
        <f>IF(ISBLANK(U159),,IF(P159="Profit",IF(T159&lt;0,U159*-T159,U159*T159),IF(T159&gt;0,U159*-T159,U159*T159)))</f>
        <v/>
      </c>
      <c r="R159" s="68" t="n"/>
      <c r="S159" s="69">
        <f>IF($Q159&gt;0, TRUE, FALSE)</f>
        <v/>
      </c>
      <c r="T159" s="68">
        <f>IF(ISBLANK(J159),,IF(ISBLANK(L159),N159-K159,M159-K159))</f>
        <v/>
      </c>
      <c r="U159" s="55">
        <f>IF(ISBLANK(J159),,ROUNDDOWN(U$1/K159,0))</f>
        <v/>
      </c>
    </row>
    <row r="160" hidden="1" ht="14" customHeight="1">
      <c r="A160" s="72" t="inlineStr">
        <is>
          <t>IR</t>
        </is>
      </c>
      <c r="B160" s="70" t="n">
        <v>16</v>
      </c>
      <c r="C160" s="55" t="n">
        <v>236.63</v>
      </c>
      <c r="D160" s="55" t="n">
        <v>31.25</v>
      </c>
      <c r="E160" s="55" t="n">
        <v>1.737</v>
      </c>
      <c r="F160" s="62" t="n">
        <v>45232</v>
      </c>
      <c r="G160" s="62" t="n"/>
      <c r="H160" s="62" t="n">
        <v>45258</v>
      </c>
      <c r="I160" s="62" t="n"/>
      <c r="J160" s="63">
        <f>IF(ISBLANK(F160:G160),,IF(COUNTA(F160)=0,G160,F160))</f>
        <v/>
      </c>
      <c r="K160" s="64">
        <f>IFERROR(__xludf.DUMMYFUNCTION("if(isblank(J160),,index(googlefinance(A160,K$2,J160-1),2,2))"),61.99)</f>
        <v/>
      </c>
      <c r="L160" s="65">
        <f>IF(ISBLANK(H160:I160),,IF(COUNTA(H160)=0,I160,H160))</f>
        <v/>
      </c>
      <c r="M160" s="66">
        <f>IFERROR(__xludf.DUMMYFUNCTION("if(isblank(L160),, index(googlefinance(A160,M$2,L160-1),2,2))"),70.78)</f>
        <v/>
      </c>
      <c r="N160" s="67">
        <f>IFERROR(__xludf.DUMMYFUNCTION("if(isblank(A160),,googlefinance(A160))"),74.72)</f>
        <v/>
      </c>
      <c r="O160" s="68">
        <f>IF(ISBLANK(J160),,IF(ISBLANK(L160),"Ongoing","Completed"))</f>
        <v/>
      </c>
      <c r="P160" s="68">
        <f>IF(ISBLANK(A160),,IF(AND(COUNTA(F160)=1,T160&gt;0),"Profit",IF(AND(COUNTA(G160)=1,T160&lt;0),"Profit","Loss")))</f>
        <v/>
      </c>
      <c r="Q160" s="53">
        <f>IF(ISBLANK(U160),,IF(P160="Profit",IF(T160&lt;0,U160*-T160,U160*T160),IF(T160&gt;0,U160*-T160,U160*T160)))</f>
        <v/>
      </c>
      <c r="R160" s="68" t="n"/>
      <c r="S160" s="69">
        <f>IF($Q160&gt;0, TRUE, FALSE)</f>
        <v/>
      </c>
      <c r="T160" s="68">
        <f>IF(ISBLANK(J160),,IF(ISBLANK(L160),N160-K160,M160-K160))</f>
        <v/>
      </c>
      <c r="U160" s="55">
        <f>IF(ISBLANK(J160),,ROUNDDOWN(U$1/K160,0))</f>
        <v/>
      </c>
    </row>
    <row r="161" hidden="1" ht="14" customHeight="1">
      <c r="A161" s="72" t="inlineStr">
        <is>
          <t>MTB</t>
        </is>
      </c>
      <c r="B161" s="70" t="n">
        <v>11</v>
      </c>
      <c r="C161" s="55" t="n">
        <v>131.34</v>
      </c>
      <c r="D161" s="55" t="n">
        <v>36.364</v>
      </c>
      <c r="E161" s="55" t="n">
        <v>1.63</v>
      </c>
      <c r="F161" s="62" t="n">
        <v>45232</v>
      </c>
      <c r="G161" s="62" t="n"/>
      <c r="H161" s="62" t="n">
        <v>45239</v>
      </c>
      <c r="I161" s="62" t="n"/>
      <c r="J161" s="63">
        <f>IF(ISBLANK(F161:G161),,IF(COUNTA(F161)=0,G161,F161))</f>
        <v/>
      </c>
      <c r="K161" s="64">
        <f>IFERROR(__xludf.DUMMYFUNCTION("if(isblank(J161),,index(googlefinance(A161,K$2,J161-1),2,2))"),112.13)</f>
        <v/>
      </c>
      <c r="L161" s="65">
        <f>IF(ISBLANK(H161:I161),,IF(COUNTA(H161)=0,I161,H161))</f>
        <v/>
      </c>
      <c r="M161" s="66">
        <f>IFERROR(__xludf.DUMMYFUNCTION("if(isblank(L161),, index(googlefinance(A161,M$2,L161-1),2,2))"),119.34)</f>
        <v/>
      </c>
      <c r="N161" s="67">
        <f>IFERROR(__xludf.DUMMYFUNCTION("if(isblank(A161),,googlefinance(A161))"),134.59)</f>
        <v/>
      </c>
      <c r="O161" s="68">
        <f>IF(ISBLANK(J161),,IF(ISBLANK(L161),"Ongoing","Completed"))</f>
        <v/>
      </c>
      <c r="P161" s="68">
        <f>IF(ISBLANK(A161),,IF(AND(COUNTA(F161)=1,T161&gt;0),"Profit",IF(AND(COUNTA(G161)=1,T161&lt;0),"Profit","Loss")))</f>
        <v/>
      </c>
      <c r="Q161" s="53">
        <f>IF(ISBLANK(U161),,IF(P161="Profit",IF(T161&lt;0,U161*-T161,U161*T161),IF(T161&gt;0,U161*-T161,U161*T161)))</f>
        <v/>
      </c>
      <c r="R161" s="68" t="n"/>
      <c r="S161" s="69">
        <f>IF($Q161&gt;0, TRUE, FALSE)</f>
        <v/>
      </c>
      <c r="T161" s="68">
        <f>IF(ISBLANK(J161),,IF(ISBLANK(L161),N161-K161,M161-K161))</f>
        <v/>
      </c>
      <c r="U161" s="55">
        <f>IF(ISBLANK(J161),,ROUNDDOWN(U$1/K161,0))</f>
        <v/>
      </c>
    </row>
    <row r="162" hidden="1" ht="14" customHeight="1">
      <c r="A162" s="72" t="inlineStr">
        <is>
          <t>PNC</t>
        </is>
      </c>
      <c r="B162" s="70" t="n">
        <v>9</v>
      </c>
      <c r="C162" s="55" t="n">
        <v>86.22</v>
      </c>
      <c r="D162" s="55" t="n">
        <v>55.556</v>
      </c>
      <c r="E162" s="55" t="n">
        <v>1.797</v>
      </c>
      <c r="F162" s="62" t="n">
        <v>45232</v>
      </c>
      <c r="G162" s="62" t="n"/>
      <c r="H162" s="62" t="n">
        <v>45265</v>
      </c>
      <c r="I162" s="62" t="n"/>
      <c r="J162" s="63">
        <f>IF(ISBLANK(F162:G162),,IF(COUNTA(F162)=0,G162,F162))</f>
        <v/>
      </c>
      <c r="K162" s="64">
        <f>IFERROR(__xludf.DUMMYFUNCTION("if(isblank(J162),,index(googlefinance(A162,K$2,J162-1),2,2))"),113.46)</f>
        <v/>
      </c>
      <c r="L162" s="65">
        <f>IF(ISBLANK(H162:I162),,IF(COUNTA(H162)=0,I162,H162))</f>
        <v/>
      </c>
      <c r="M162" s="66">
        <f>IFERROR(__xludf.DUMMYFUNCTION("if(isblank(L162),, index(googlefinance(A162,M$2,L162-1),2,2))"),140.79)</f>
        <v/>
      </c>
      <c r="N162" s="67">
        <f>IFERROR(__xludf.DUMMYFUNCTION("if(isblank(A162),,googlefinance(A162))"),151.66)</f>
        <v/>
      </c>
      <c r="O162" s="68">
        <f>IF(ISBLANK(J162),,IF(ISBLANK(L162),"Ongoing","Completed"))</f>
        <v/>
      </c>
      <c r="P162" s="68">
        <f>IF(ISBLANK(A162),,IF(AND(COUNTA(F162)=1,T162&gt;0),"Profit",IF(AND(COUNTA(G162)=1,T162&lt;0),"Profit","Loss")))</f>
        <v/>
      </c>
      <c r="Q162" s="53">
        <f>IF(ISBLANK(U162),,IF(P162="Profit",IF(T162&lt;0,U162*-T162,U162*T162),IF(T162&gt;0,U162*-T162,U162*T162)))</f>
        <v/>
      </c>
      <c r="R162" s="68" t="n"/>
      <c r="S162" s="69">
        <f>IF($Q162&gt;0, TRUE, FALSE)</f>
        <v/>
      </c>
      <c r="T162" s="68">
        <f>IF(ISBLANK(J162),,IF(ISBLANK(L162),N162-K162,M162-K162))</f>
        <v/>
      </c>
      <c r="U162" s="55">
        <f>IF(ISBLANK(J162),,ROUNDDOWN(U$1/K162,0))</f>
        <v/>
      </c>
    </row>
    <row r="163" hidden="1" ht="14" customHeight="1">
      <c r="A163" s="72" t="inlineStr">
        <is>
          <t>PM</t>
        </is>
      </c>
      <c r="B163" s="70" t="n">
        <v>13</v>
      </c>
      <c r="C163" s="55" t="n">
        <v>120.2</v>
      </c>
      <c r="D163" s="55" t="n">
        <v>30.769</v>
      </c>
      <c r="E163" s="55" t="n">
        <v>2</v>
      </c>
      <c r="F163" s="62" t="n">
        <v>45232</v>
      </c>
      <c r="G163" s="62" t="n"/>
      <c r="H163" s="62" t="n">
        <v>45264</v>
      </c>
      <c r="I163" s="62" t="n"/>
      <c r="J163" s="63">
        <f>IF(ISBLANK(F163:G163),,IF(COUNTA(F163)=0,G163,F163))</f>
        <v/>
      </c>
      <c r="K163" s="64">
        <f>IFERROR(__xludf.DUMMYFUNCTION("if(isblank(J163),,index(googlefinance(A163,K$2,J163-1),2,2))"),89.01)</f>
        <v/>
      </c>
      <c r="L163" s="65">
        <f>IF(ISBLANK(H163:I163),,IF(COUNTA(H163)=0,I163,H163))</f>
        <v/>
      </c>
      <c r="M163" s="66">
        <f>IFERROR(__xludf.DUMMYFUNCTION("if(isblank(L163),, index(googlefinance(A163,M$2,L163-1),2,2))"),92.93)</f>
        <v/>
      </c>
      <c r="N163" s="67">
        <f>IFERROR(__xludf.DUMMYFUNCTION("if(isblank(A163),,googlefinance(A163))"),95.42)</f>
        <v/>
      </c>
      <c r="O163" s="68">
        <f>IF(ISBLANK(J163),,IF(ISBLANK(L163),"Ongoing","Completed"))</f>
        <v/>
      </c>
      <c r="P163" s="68">
        <f>IF(ISBLANK(A163),,IF(AND(COUNTA(F163)=1,T163&gt;0),"Profit",IF(AND(COUNTA(G163)=1,T163&lt;0),"Profit","Loss")))</f>
        <v/>
      </c>
      <c r="Q163" s="53">
        <f>IF(ISBLANK(U163),,IF(P163="Profit",IF(T163&lt;0,U163*-T163,U163*T163),IF(T163&gt;0,U163*-T163,U163*T163)))</f>
        <v/>
      </c>
      <c r="R163" s="68" t="n"/>
      <c r="S163" s="69">
        <f>IF($Q163&gt;0, TRUE, FALSE)</f>
        <v/>
      </c>
      <c r="T163" s="68">
        <f>IF(ISBLANK(J163),,IF(ISBLANK(L163),N163-K163,M163-K163))</f>
        <v/>
      </c>
      <c r="U163" s="55">
        <f>IF(ISBLANK(J163),,ROUNDDOWN(U$1/K163,0))</f>
        <v/>
      </c>
    </row>
    <row r="164" hidden="1" ht="14" customHeight="1">
      <c r="A164" s="72" t="inlineStr">
        <is>
          <t>STT</t>
        </is>
      </c>
      <c r="B164" s="70" t="n">
        <v>6</v>
      </c>
      <c r="C164" s="55" t="n">
        <v>107.29</v>
      </c>
      <c r="D164" s="55" t="n">
        <v>33.333</v>
      </c>
      <c r="E164" s="55" t="n">
        <v>1.649</v>
      </c>
      <c r="F164" s="62" t="n">
        <v>45232</v>
      </c>
      <c r="G164" s="62" t="n"/>
      <c r="H164" s="62" t="n">
        <v>45265</v>
      </c>
      <c r="I164" s="62" t="n"/>
      <c r="J164" s="63">
        <f>IF(ISBLANK(F164:G164),,IF(COUNTA(F164)=0,G164,F164))</f>
        <v/>
      </c>
      <c r="K164" s="64">
        <f>IFERROR(__xludf.DUMMYFUNCTION("if(isblank(J164),,index(googlefinance(A164,K$2,J164-1),2,2))"),64.74)</f>
        <v/>
      </c>
      <c r="L164" s="65">
        <f>IF(ISBLANK(H164:I164),,IF(COUNTA(H164)=0,I164,H164))</f>
        <v/>
      </c>
      <c r="M164" s="66">
        <f>IFERROR(__xludf.DUMMYFUNCTION("if(isblank(L164),, index(googlefinance(A164,M$2,L164-1),2,2))"),74.1)</f>
        <v/>
      </c>
      <c r="N164" s="67">
        <f>IFERROR(__xludf.DUMMYFUNCTION("if(isblank(A164),,googlefinance(A164))"),77.3)</f>
        <v/>
      </c>
      <c r="O164" s="68">
        <f>IF(ISBLANK(J164),,IF(ISBLANK(L164),"Ongoing","Completed"))</f>
        <v/>
      </c>
      <c r="P164" s="68">
        <f>IF(ISBLANK(A164),,IF(AND(COUNTA(F164)=1,T164&gt;0),"Profit",IF(AND(COUNTA(G164)=1,T164&lt;0),"Profit","Loss")))</f>
        <v/>
      </c>
      <c r="Q164" s="53">
        <f>IF(ISBLANK(U164),,IF(P164="Profit",IF(T164&lt;0,U164*-T164,U164*T164),IF(T164&gt;0,U164*-T164,U164*T164)))</f>
        <v/>
      </c>
      <c r="R164" s="68" t="n"/>
      <c r="S164" s="69">
        <f>IF($Q164&gt;0, TRUE, FALSE)</f>
        <v/>
      </c>
      <c r="T164" s="68">
        <f>IF(ISBLANK(J164),,IF(ISBLANK(L164),N164-K164,M164-K164))</f>
        <v/>
      </c>
      <c r="U164" s="55">
        <f>IF(ISBLANK(J164),,ROUNDDOWN(U$1/K164,0))</f>
        <v/>
      </c>
    </row>
    <row r="165" hidden="1" ht="14" customHeight="1">
      <c r="A165" s="72" t="inlineStr">
        <is>
          <t>TFX</t>
        </is>
      </c>
      <c r="B165" s="70" t="n">
        <v>16</v>
      </c>
      <c r="C165" s="55" t="n">
        <v>120.15</v>
      </c>
      <c r="D165" s="55" t="n">
        <v>37.5</v>
      </c>
      <c r="E165" s="55" t="n">
        <v>1.434</v>
      </c>
      <c r="F165" s="62" t="n">
        <v>45232</v>
      </c>
      <c r="G165" s="62" t="n"/>
      <c r="H165" s="62" t="n">
        <v>45265</v>
      </c>
      <c r="I165" s="62" t="n"/>
      <c r="J165" s="63">
        <f>IF(ISBLANK(F165:G165),,IF(COUNTA(F165)=0,G165,F165))</f>
        <v/>
      </c>
      <c r="K165" s="64">
        <f>IFERROR(__xludf.DUMMYFUNCTION("if(isblank(J165),,index(googlefinance(A165,K$2,J165-1),2,2))"),187.51)</f>
        <v/>
      </c>
      <c r="L165" s="65">
        <f>IF(ISBLANK(H165:I165),,IF(COUNTA(H165)=0,I165,H165))</f>
        <v/>
      </c>
      <c r="M165" s="66">
        <f>IFERROR(__xludf.DUMMYFUNCTION("if(isblank(L165),, index(googlefinance(A165,M$2,L165-1),2,2))"),229.36)</f>
        <v/>
      </c>
      <c r="N165" s="67">
        <f>IFERROR(__xludf.DUMMYFUNCTION("if(isblank(A165),,googlefinance(A165))"),242.02)</f>
        <v/>
      </c>
      <c r="O165" s="68">
        <f>IF(ISBLANK(J165),,IF(ISBLANK(L165),"Ongoing","Completed"))</f>
        <v/>
      </c>
      <c r="P165" s="68">
        <f>IF(ISBLANK(A165),,IF(AND(COUNTA(F165)=1,T165&gt;0),"Profit",IF(AND(COUNTA(G165)=1,T165&lt;0),"Profit","Loss")))</f>
        <v/>
      </c>
      <c r="Q165" s="53">
        <f>IF(ISBLANK(U165),,IF(P165="Profit",IF(T165&lt;0,U165*-T165,U165*T165),IF(T165&gt;0,U165*-T165,U165*T165)))</f>
        <v/>
      </c>
      <c r="R165" s="68" t="n"/>
      <c r="S165" s="69">
        <f>IF($Q165&gt;0, TRUE, FALSE)</f>
        <v/>
      </c>
      <c r="T165" s="68">
        <f>IF(ISBLANK(J165),,IF(ISBLANK(L165),N165-K165,M165-K165))</f>
        <v/>
      </c>
      <c r="U165" s="55">
        <f>IF(ISBLANK(J165),,ROUNDDOWN(U$1/K165,0))</f>
        <v/>
      </c>
    </row>
    <row r="166" hidden="1" ht="14" customHeight="1">
      <c r="A166" s="72" t="inlineStr">
        <is>
          <t>ZION</t>
        </is>
      </c>
      <c r="B166" s="70" t="n">
        <v>16</v>
      </c>
      <c r="C166" s="55" t="n">
        <v>61.93</v>
      </c>
      <c r="D166" s="55" t="n">
        <v>25</v>
      </c>
      <c r="E166" s="55" t="n">
        <v>1.169</v>
      </c>
      <c r="F166" s="62" t="n">
        <v>45232</v>
      </c>
      <c r="G166" s="62" t="n"/>
      <c r="H166" s="62" t="n">
        <v>45239</v>
      </c>
      <c r="I166" s="62" t="n"/>
      <c r="J166" s="63">
        <f>IF(ISBLANK(F166:G166),,IF(COUNTA(F166)=0,G166,F166))</f>
        <v/>
      </c>
      <c r="K166" s="64">
        <f>IFERROR(__xludf.DUMMYFUNCTION("if(isblank(J166),,index(googlefinance(A166,K$2,J166-1),2,2))"),31.02)</f>
        <v/>
      </c>
      <c r="L166" s="65">
        <f>IF(ISBLANK(H166:I166),,IF(COUNTA(H166)=0,I166,H166))</f>
        <v/>
      </c>
      <c r="M166" s="66">
        <f>IFERROR(__xludf.DUMMYFUNCTION("if(isblank(L166),, index(googlefinance(A166,M$2,L166-1),2,2))"),33.76)</f>
        <v/>
      </c>
      <c r="N166" s="67">
        <f>IFERROR(__xludf.DUMMYFUNCTION("if(isblank(A166),,googlefinance(A166))"),42)</f>
        <v/>
      </c>
      <c r="O166" s="68">
        <f>IF(ISBLANK(J166),,IF(ISBLANK(L166),"Ongoing","Completed"))</f>
        <v/>
      </c>
      <c r="P166" s="68">
        <f>IF(ISBLANK(A166),,IF(AND(COUNTA(F166)=1,T166&gt;0),"Profit",IF(AND(COUNTA(G166)=1,T166&lt;0),"Profit","Loss")))</f>
        <v/>
      </c>
      <c r="Q166" s="53">
        <f>IF(ISBLANK(U166),,IF(P166="Profit",IF(T166&lt;0,U166*-T166,U166*T166),IF(T166&gt;0,U166*-T166,U166*T166)))</f>
        <v/>
      </c>
      <c r="R166" s="68" t="n"/>
      <c r="S166" s="69">
        <f>IF($Q166&gt;0, TRUE, FALSE)</f>
        <v/>
      </c>
      <c r="T166" s="68">
        <f>IF(ISBLANK(J166),,IF(ISBLANK(L166),N166-K166,M166-K166))</f>
        <v/>
      </c>
      <c r="U166" s="55">
        <f>IF(ISBLANK(J166),,ROUNDDOWN(U$1/K166,0))</f>
        <v/>
      </c>
    </row>
    <row r="167" hidden="1" ht="14" customHeight="1">
      <c r="A167" s="72" t="inlineStr">
        <is>
          <t>BDX</t>
        </is>
      </c>
      <c r="B167" s="70" t="n">
        <v>11</v>
      </c>
      <c r="C167" s="55" t="n">
        <v>240.237</v>
      </c>
      <c r="D167" s="55" t="n">
        <v>45.455</v>
      </c>
      <c r="E167" s="55" t="n">
        <v>3.455</v>
      </c>
      <c r="F167" s="62" t="n">
        <v>45233</v>
      </c>
      <c r="G167" s="62" t="n"/>
      <c r="H167" s="62" t="n">
        <v>45239</v>
      </c>
      <c r="I167" s="62" t="n"/>
      <c r="J167" s="63">
        <f>IF(ISBLANK(F167:G167),,IF(COUNTA(F167)=0,G167,F167))</f>
        <v/>
      </c>
      <c r="K167" s="64">
        <f>IFERROR(__xludf.DUMMYFUNCTION("if(isblank(J167),,index(googlefinance(A167,K$2,J167-1),2,2))"),255.92)</f>
        <v/>
      </c>
      <c r="L167" s="65">
        <f>IF(ISBLANK(H167:I167),,IF(COUNTA(H167)=0,I167,H167))</f>
        <v/>
      </c>
      <c r="M167" s="66">
        <f>IFERROR(__xludf.DUMMYFUNCTION("if(isblank(L167),, index(googlefinance(A167,M$2,L167-1),2,2))"),255.92)</f>
        <v/>
      </c>
      <c r="N167" s="67">
        <f>IFERROR(__xludf.DUMMYFUNCTION("if(isblank(A167),,googlefinance(A167))"),240.47)</f>
        <v/>
      </c>
      <c r="O167" s="68">
        <f>IF(ISBLANK(J167),,IF(ISBLANK(L167),"Ongoing","Completed"))</f>
        <v/>
      </c>
      <c r="P167" s="68">
        <f>IF(ISBLANK(A167),,IF(AND(COUNTA(F167)=1,T167&gt;0),"Profit",IF(AND(COUNTA(G167)=1,T167&lt;0),"Profit","Loss")))</f>
        <v/>
      </c>
      <c r="Q167" s="53">
        <f>IF(ISBLANK(U167),,IF(P167="Profit",IF(T167&lt;0,U167*-T167,U167*T167),IF(T167&gt;0,U167*-T167,U167*T167)))</f>
        <v/>
      </c>
      <c r="R167" s="68" t="n"/>
      <c r="S167" s="69">
        <f>IF($Q167&gt;0, TRUE, FALSE)</f>
        <v/>
      </c>
      <c r="T167" s="68">
        <f>IF(ISBLANK(J167),,IF(ISBLANK(L167),N167-K167,M167-K167))</f>
        <v/>
      </c>
      <c r="U167" s="55">
        <f>IF(ISBLANK(J167),,ROUNDDOWN(U$1/K167,0))</f>
        <v/>
      </c>
    </row>
    <row r="168" hidden="1" ht="14" customHeight="1">
      <c r="A168" s="72" t="inlineStr">
        <is>
          <t>BIIB</t>
        </is>
      </c>
      <c r="B168" s="70" t="n">
        <v>6</v>
      </c>
      <c r="C168" s="55" t="n">
        <v>43.22</v>
      </c>
      <c r="D168" s="55" t="n">
        <v>50</v>
      </c>
      <c r="E168" s="55" t="n">
        <v>1.69</v>
      </c>
      <c r="F168" s="62" t="n">
        <v>45233</v>
      </c>
      <c r="G168" s="62" t="n"/>
      <c r="H168" s="62" t="n">
        <v>45257</v>
      </c>
      <c r="I168" s="62" t="n"/>
      <c r="J168" s="63">
        <f>IF(ISBLANK(F168:G168),,IF(COUNTA(F168)=0,G168,F168))</f>
        <v/>
      </c>
      <c r="K168" s="64">
        <f>IFERROR(__xludf.DUMMYFUNCTION("if(isblank(J168),,index(googlefinance(A168,K$2,J168-1),2,2))"),241.86)</f>
        <v/>
      </c>
      <c r="L168" s="65">
        <f>IF(ISBLANK(H168:I168),,IF(COUNTA(H168)=0,I168,H168))</f>
        <v/>
      </c>
      <c r="M168" s="66">
        <f>IFERROR(__xludf.DUMMYFUNCTION("if(isblank(L168),, index(googlefinance(A168,M$2,L168-1),2,2))"),228.79)</f>
        <v/>
      </c>
      <c r="N168" s="67">
        <f>IFERROR(__xludf.DUMMYFUNCTION("if(isblank(A168),,googlefinance(A168))"),263.43)</f>
        <v/>
      </c>
      <c r="O168" s="68">
        <f>IF(ISBLANK(J168),,IF(ISBLANK(L168),"Ongoing","Completed"))</f>
        <v/>
      </c>
      <c r="P168" s="68">
        <f>IF(ISBLANK(A168),,IF(AND(COUNTA(F168)=1,T168&gt;0),"Profit",IF(AND(COUNTA(G168)=1,T168&lt;0),"Profit","Loss")))</f>
        <v/>
      </c>
      <c r="Q168" s="53">
        <f>IF(ISBLANK(U168),,IF(P168="Profit",IF(T168&lt;0,U168*-T168,U168*T168),IF(T168&gt;0,U168*-T168,U168*T168)))</f>
        <v/>
      </c>
      <c r="R168" s="68" t="n"/>
      <c r="S168" s="69">
        <f>IF($Q168&gt;0, TRUE, FALSE)</f>
        <v/>
      </c>
      <c r="T168" s="68">
        <f>IF(ISBLANK(J168),,IF(ISBLANK(L168),N168-K168,M168-K168))</f>
        <v/>
      </c>
      <c r="U168" s="55">
        <f>IF(ISBLANK(J168),,ROUNDDOWN(U$1/K168,0))</f>
        <v/>
      </c>
    </row>
    <row r="169" hidden="1" ht="14" customHeight="1">
      <c r="A169" s="72" t="inlineStr">
        <is>
          <t>BLK</t>
        </is>
      </c>
      <c r="B169" s="70" t="n">
        <v>16</v>
      </c>
      <c r="C169" s="55" t="n">
        <v>417.95</v>
      </c>
      <c r="D169" s="55" t="n">
        <v>37.5</v>
      </c>
      <c r="E169" s="77" t="n">
        <v>2.915</v>
      </c>
      <c r="F169" s="62" t="n">
        <v>45233</v>
      </c>
      <c r="G169" s="62" t="n"/>
      <c r="H169" s="62" t="n">
        <v>45265</v>
      </c>
      <c r="I169" s="62" t="n"/>
      <c r="J169" s="63">
        <f>IF(ISBLANK(F169:G169),,IF(COUNTA(F169)=0,G169,F169))</f>
        <v/>
      </c>
      <c r="K169" s="64">
        <f>IFERROR(__xludf.DUMMYFUNCTION("if(isblank(J169),,index(googlefinance(A169,K$2,J169-1),2,2))"),644.49)</f>
        <v/>
      </c>
      <c r="L169" s="65">
        <f>IF(ISBLANK(H169:I169),,IF(COUNTA(H169)=0,I169,H169))</f>
        <v/>
      </c>
      <c r="M169" s="66">
        <f>IFERROR(__xludf.DUMMYFUNCTION("if(isblank(L169),, index(googlefinance(A169,M$2,L169-1),2,2))"),756.43)</f>
        <v/>
      </c>
      <c r="N169" s="67">
        <f>IFERROR(__xludf.DUMMYFUNCTION("if(isblank(A169),,googlefinance(A169))"),784.15)</f>
        <v/>
      </c>
      <c r="O169" s="68">
        <f>IF(ISBLANK(J169),,IF(ISBLANK(L169),"Ongoing","Completed"))</f>
        <v/>
      </c>
      <c r="P169" s="68">
        <f>IF(ISBLANK(A169),,IF(AND(COUNTA(F169)=1,T169&gt;0),"Profit",IF(AND(COUNTA(G169)=1,T169&lt;0),"Profit","Loss")))</f>
        <v/>
      </c>
      <c r="Q169" s="53">
        <f>IF(ISBLANK(U169),,IF(P169="Profit",IF(T169&lt;0,U169*-T169,U169*T169),IF(T169&gt;0,U169*-T169,U169*T169)))</f>
        <v/>
      </c>
      <c r="R169" s="68" t="n"/>
      <c r="S169" s="69">
        <f>IF($Q169&gt;0, TRUE, FALSE)</f>
        <v/>
      </c>
      <c r="T169" s="68">
        <f>IF(ISBLANK(J169),,IF(ISBLANK(L169),N169-K169,M169-K169))</f>
        <v/>
      </c>
      <c r="U169" s="55">
        <f>IF(ISBLANK(J169),,ROUNDDOWN(U$1/K169,0))</f>
        <v/>
      </c>
    </row>
    <row r="170" hidden="1" ht="14" customHeight="1">
      <c r="A170" s="72" t="inlineStr">
        <is>
          <t>CFG</t>
        </is>
      </c>
      <c r="B170" s="70" t="n">
        <v>10</v>
      </c>
      <c r="C170" s="55" t="n">
        <v>248.28</v>
      </c>
      <c r="D170" s="55" t="n">
        <v>60</v>
      </c>
      <c r="E170" s="55" t="n">
        <v>3.03</v>
      </c>
      <c r="F170" s="62" t="n">
        <v>45233</v>
      </c>
      <c r="G170" s="62" t="n"/>
      <c r="H170" s="62" t="n">
        <v>45252</v>
      </c>
      <c r="I170" s="62" t="n"/>
      <c r="J170" s="63">
        <f>IF(ISBLANK(F170:G170),,IF(COUNTA(F170)=0,G170,F170))</f>
        <v/>
      </c>
      <c r="K170" s="64">
        <f>IFERROR(__xludf.DUMMYFUNCTION("if(isblank(J170),,index(googlefinance(A170,K$2,J170-1),2,2))"),24.9)</f>
        <v/>
      </c>
      <c r="L170" s="65">
        <f>IF(ISBLANK(H170:I170),,IF(COUNTA(H170)=0,I170,H170))</f>
        <v/>
      </c>
      <c r="M170" s="66">
        <f>IFERROR(__xludf.DUMMYFUNCTION("if(isblank(L170),, index(googlefinance(A170,M$2,L170-1),2,2))"),26.88)</f>
        <v/>
      </c>
      <c r="N170" s="67">
        <f>IFERROR(__xludf.DUMMYFUNCTION("if(isblank(A170),,googlefinance(A170))"),32.14)</f>
        <v/>
      </c>
      <c r="O170" s="68">
        <f>IF(ISBLANK(J170),,IF(ISBLANK(L170),"Ongoing","Completed"))</f>
        <v/>
      </c>
      <c r="P170" s="68">
        <f>IF(ISBLANK(A170),,IF(AND(COUNTA(F170)=1,T170&gt;0),"Profit",IF(AND(COUNTA(G170)=1,T170&lt;0),"Profit","Loss")))</f>
        <v/>
      </c>
      <c r="Q170" s="53">
        <f>IF(ISBLANK(U170),,IF(P170="Profit",IF(T170&lt;0,U170*-T170,U170*T170),IF(T170&gt;0,U170*-T170,U170*T170)))</f>
        <v/>
      </c>
      <c r="R170" s="68" t="n"/>
      <c r="S170" s="69">
        <f>IF($Q170&gt;0, TRUE, FALSE)</f>
        <v/>
      </c>
      <c r="T170" s="68">
        <f>IF(ISBLANK(J170),,IF(ISBLANK(L170),N170-K170,M170-K170))</f>
        <v/>
      </c>
      <c r="U170" s="55">
        <f>IF(ISBLANK(J170),,ROUNDDOWN(U$1/K170,0))</f>
        <v/>
      </c>
    </row>
    <row r="171" hidden="1" ht="14" customHeight="1">
      <c r="A171" s="72" t="inlineStr">
        <is>
          <t>CMI</t>
        </is>
      </c>
      <c r="B171" s="70" t="n">
        <v>11</v>
      </c>
      <c r="C171" s="55" t="n">
        <v>239.51</v>
      </c>
      <c r="D171" s="55" t="n">
        <v>45.455</v>
      </c>
      <c r="E171" s="55" t="n">
        <v>2.412</v>
      </c>
      <c r="F171" s="62" t="n">
        <v>45233</v>
      </c>
      <c r="G171" s="62" t="n"/>
      <c r="H171" s="62" t="n">
        <v>45238</v>
      </c>
      <c r="I171" s="62" t="n"/>
      <c r="J171" s="63">
        <f>IF(ISBLANK(F171:G171),,IF(COUNTA(F171)=0,G171,F171))</f>
        <v/>
      </c>
      <c r="K171" s="64">
        <f>IFERROR(__xludf.DUMMYFUNCTION("if(isblank(J171),,index(googlefinance(A171,K$2,J171-1),2,2))"),217.94)</f>
        <v/>
      </c>
      <c r="L171" s="65">
        <f>IF(ISBLANK(H171:I171),,IF(COUNTA(H171)=0,I171,H171))</f>
        <v/>
      </c>
      <c r="M171" s="66">
        <f>IFERROR(__xludf.DUMMYFUNCTION("if(isblank(L171),, index(googlefinance(A171,M$2,L171-1),2,2))"),219.64)</f>
        <v/>
      </c>
      <c r="N171" s="67">
        <f>IFERROR(__xludf.DUMMYFUNCTION("if(isblank(A171),,googlefinance(A171))"),237.72)</f>
        <v/>
      </c>
      <c r="O171" s="68">
        <f>IF(ISBLANK(J171),,IF(ISBLANK(L171),"Ongoing","Completed"))</f>
        <v/>
      </c>
      <c r="P171" s="68">
        <f>IF(ISBLANK(A171),,IF(AND(COUNTA(F171)=1,T171&gt;0),"Profit",IF(AND(COUNTA(G171)=1,T171&lt;0),"Profit","Loss")))</f>
        <v/>
      </c>
      <c r="Q171" s="53">
        <f>IF(ISBLANK(U171),,IF(P171="Profit",IF(T171&lt;0,U171*-T171,U171*T171),IF(T171&gt;0,U171*-T171,U171*T171)))</f>
        <v/>
      </c>
      <c r="R171" s="68" t="n"/>
      <c r="S171" s="69">
        <f>IF($Q171&gt;0, TRUE, FALSE)</f>
        <v/>
      </c>
      <c r="T171" s="68">
        <f>IF(ISBLANK(J171),,IF(ISBLANK(L171),N171-K171,M171-K171))</f>
        <v/>
      </c>
      <c r="U171" s="55">
        <f>IF(ISBLANK(J171),,ROUNDDOWN(U$1/K171,0))</f>
        <v/>
      </c>
    </row>
    <row r="172" hidden="1" ht="14" customHeight="1">
      <c r="A172" s="72" t="inlineStr">
        <is>
          <t>CSCO</t>
        </is>
      </c>
      <c r="B172" s="70" t="n">
        <v>11</v>
      </c>
      <c r="C172" s="55" t="n">
        <v>72.81</v>
      </c>
      <c r="D172" s="55" t="n">
        <v>54.545</v>
      </c>
      <c r="E172" s="55" t="n">
        <v>1.624</v>
      </c>
      <c r="F172" s="62" t="n">
        <v>45233</v>
      </c>
      <c r="G172" s="62" t="n"/>
      <c r="H172" s="62" t="n">
        <v>45239</v>
      </c>
      <c r="I172" s="62" t="n"/>
      <c r="J172" s="63">
        <f>IF(ISBLANK(F172:G172),,IF(COUNTA(F172)=0,G172,F172))</f>
        <v/>
      </c>
      <c r="K172" s="64">
        <f>IFERROR(__xludf.DUMMYFUNCTION("if(isblank(J172),,index(googlefinance(A172,K$2,J172-1),2,2))"),52.75)</f>
        <v/>
      </c>
      <c r="L172" s="65">
        <f>IF(ISBLANK(H172:I172),,IF(COUNTA(H172)=0,I172,H172))</f>
        <v/>
      </c>
      <c r="M172" s="66">
        <f>IFERROR(__xludf.DUMMYFUNCTION("if(isblank(L172),, index(googlefinance(A172,M$2,L172-1),2,2))"),53)</f>
        <v/>
      </c>
      <c r="N172" s="67">
        <f>IFERROR(__xludf.DUMMYFUNCTION("if(isblank(A172),,googlefinance(A172))"),50.51)</f>
        <v/>
      </c>
      <c r="O172" s="68">
        <f>IF(ISBLANK(J172),,IF(ISBLANK(L172),"Ongoing","Completed"))</f>
        <v/>
      </c>
      <c r="P172" s="68">
        <f>IF(ISBLANK(A172),,IF(AND(COUNTA(F172)=1,T172&gt;0),"Profit",IF(AND(COUNTA(G172)=1,T172&lt;0),"Profit","Loss")))</f>
        <v/>
      </c>
      <c r="Q172" s="53">
        <f>IF(ISBLANK(U172),,IF(P172="Profit",IF(T172&lt;0,U172*-T172,U172*T172),IF(T172&gt;0,U172*-T172,U172*T172)))</f>
        <v/>
      </c>
      <c r="R172" s="68" t="n"/>
      <c r="S172" s="69">
        <f>IF($Q172&gt;0, TRUE, FALSE)</f>
        <v/>
      </c>
      <c r="T172" s="68">
        <f>IF(ISBLANK(J172),,IF(ISBLANK(L172),N172-K172,M172-K172))</f>
        <v/>
      </c>
      <c r="U172" s="55">
        <f>IF(ISBLANK(J172),,ROUNDDOWN(U$1/K172,0))</f>
        <v/>
      </c>
    </row>
    <row r="173" hidden="1" ht="14" customHeight="1">
      <c r="A173" s="72" t="inlineStr">
        <is>
          <t>EXPE</t>
        </is>
      </c>
      <c r="B173" s="70" t="n">
        <v>9</v>
      </c>
      <c r="C173" s="55" t="n">
        <v>190.02</v>
      </c>
      <c r="D173" s="55" t="n">
        <v>33.333</v>
      </c>
      <c r="E173" s="55" t="n">
        <v>1.749</v>
      </c>
      <c r="F173" s="62" t="n">
        <v>45233</v>
      </c>
      <c r="G173" s="62" t="n"/>
      <c r="H173" s="62" t="n">
        <v>45265</v>
      </c>
      <c r="I173" s="62" t="n"/>
      <c r="J173" s="63">
        <f>IF(ISBLANK(F173:G173),,IF(COUNTA(F173)=0,G173,F173))</f>
        <v/>
      </c>
      <c r="K173" s="64">
        <f>IFERROR(__xludf.DUMMYFUNCTION("if(isblank(J173),,index(googlefinance(A173,K$2,J173-1),2,2))"),94.84)</f>
        <v/>
      </c>
      <c r="L173" s="65">
        <f>IF(ISBLANK(H173:I173),,IF(COUNTA(H173)=0,I173,H173))</f>
        <v/>
      </c>
      <c r="M173" s="66">
        <f>IFERROR(__xludf.DUMMYFUNCTION("if(isblank(L173),, index(googlefinance(A173,M$2,L173-1),2,2))"),139.82)</f>
        <v/>
      </c>
      <c r="N173" s="67">
        <f>IFERROR(__xludf.DUMMYFUNCTION("if(isblank(A173),,googlefinance(A173))"),144.99)</f>
        <v/>
      </c>
      <c r="O173" s="68">
        <f>IF(ISBLANK(J173),,IF(ISBLANK(L173),"Ongoing","Completed"))</f>
        <v/>
      </c>
      <c r="P173" s="68">
        <f>IF(ISBLANK(A173),,IF(AND(COUNTA(F173)=1,T173&gt;0),"Profit",IF(AND(COUNTA(G173)=1,T173&lt;0),"Profit","Loss")))</f>
        <v/>
      </c>
      <c r="Q173" s="53">
        <f>IF(ISBLANK(U173),,IF(P173="Profit",IF(T173&lt;0,U173*-T173,U173*T173),IF(T173&gt;0,U173*-T173,U173*T173)))</f>
        <v/>
      </c>
      <c r="R173" s="68" t="n"/>
      <c r="S173" s="69">
        <f>IF($Q173&gt;0, TRUE, FALSE)</f>
        <v/>
      </c>
      <c r="T173" s="68">
        <f>IF(ISBLANK(J173),,IF(ISBLANK(L173),N173-K173,M173-K173))</f>
        <v/>
      </c>
      <c r="U173" s="55">
        <f>IF(ISBLANK(J173),,ROUNDDOWN(U$1/K173,0))</f>
        <v/>
      </c>
    </row>
    <row r="174" hidden="1" ht="14" customHeight="1">
      <c r="A174" s="72" t="inlineStr">
        <is>
          <t>IDXX</t>
        </is>
      </c>
      <c r="B174" s="70" t="n">
        <v>15</v>
      </c>
      <c r="C174" s="55" t="n">
        <v>86.63</v>
      </c>
      <c r="D174" s="55" t="n">
        <v>46.667</v>
      </c>
      <c r="E174" s="55" t="n">
        <v>1.311</v>
      </c>
      <c r="F174" s="62" t="n">
        <v>45233</v>
      </c>
      <c r="G174" s="62" t="n"/>
      <c r="H174" s="62" t="n">
        <v>45258</v>
      </c>
      <c r="I174" s="62" t="n"/>
      <c r="J174" s="63">
        <f>IF(ISBLANK(F174:G174),,IF(COUNTA(F174)=0,G174,F174))</f>
        <v/>
      </c>
      <c r="K174" s="64">
        <f>IFERROR(__xludf.DUMMYFUNCTION("if(isblank(J174),,index(googlefinance(A174,K$2,J174-1),2,2))"),419.44)</f>
        <v/>
      </c>
      <c r="L174" s="65">
        <f>IF(ISBLANK(H174:I174),,IF(COUNTA(H174)=0,I174,H174))</f>
        <v/>
      </c>
      <c r="M174" s="66">
        <f>IFERROR(__xludf.DUMMYFUNCTION("if(isblank(L174),, index(googlefinance(A174,M$2,L174-1),2,2))"),479.63)</f>
        <v/>
      </c>
      <c r="N174" s="67">
        <f>IFERROR(__xludf.DUMMYFUNCTION("if(isblank(A174),,googlefinance(A174))"),535.06)</f>
        <v/>
      </c>
      <c r="O174" s="68">
        <f>IF(ISBLANK(J174),,IF(ISBLANK(L174),"Ongoing","Completed"))</f>
        <v/>
      </c>
      <c r="P174" s="68">
        <f>IF(ISBLANK(A174),,IF(AND(COUNTA(F174)=1,T174&gt;0),"Profit",IF(AND(COUNTA(G174)=1,T174&lt;0),"Profit","Loss")))</f>
        <v/>
      </c>
      <c r="Q174" s="53">
        <f>IF(ISBLANK(U174),,IF(P174="Profit",IF(T174&lt;0,U174*-T174,U174*T174),IF(T174&gt;0,U174*-T174,U174*T174)))</f>
        <v/>
      </c>
      <c r="R174" s="68" t="n"/>
      <c r="S174" s="69">
        <f>IF($Q174&gt;0, TRUE, FALSE)</f>
        <v/>
      </c>
      <c r="T174" s="68">
        <f>IF(ISBLANK(J174),,IF(ISBLANK(L174),N174-K174,M174-K174))</f>
        <v/>
      </c>
      <c r="U174" s="55">
        <f>IF(ISBLANK(J174),,ROUNDDOWN(U$1/K174,0))</f>
        <v/>
      </c>
    </row>
    <row r="175" hidden="1" ht="14" customHeight="1">
      <c r="A175" s="72" t="inlineStr">
        <is>
          <t>KEYS</t>
        </is>
      </c>
      <c r="B175" s="70" t="n">
        <v>5</v>
      </c>
      <c r="C175" s="55" t="n">
        <v>60.66</v>
      </c>
      <c r="D175" s="55" t="n">
        <v>60</v>
      </c>
      <c r="E175" s="55" t="n">
        <v>1.856</v>
      </c>
      <c r="F175" s="62" t="n">
        <v>45233</v>
      </c>
      <c r="G175" s="62" t="n"/>
      <c r="H175" s="62" t="n">
        <v>45239</v>
      </c>
      <c r="I175" s="62" t="n"/>
      <c r="J175" s="63">
        <f>IF(ISBLANK(F175:G175),,IF(COUNTA(F175)=0,G175,F175))</f>
        <v/>
      </c>
      <c r="K175" s="64">
        <f>IFERROR(__xludf.DUMMYFUNCTION("if(isblank(J175),,index(googlefinance(A175,K$2,J175-1),2,2))"),123.2)</f>
        <v/>
      </c>
      <c r="L175" s="65">
        <f>IF(ISBLANK(H175:I175),,IF(COUNTA(H175)=0,I175,H175))</f>
        <v/>
      </c>
      <c r="M175" s="66">
        <f>IFERROR(__xludf.DUMMYFUNCTION("if(isblank(L175),, index(googlefinance(A175,M$2,L175-1),2,2))"),124.79)</f>
        <v/>
      </c>
      <c r="N175" s="67">
        <f>IFERROR(__xludf.DUMMYFUNCTION("if(isblank(A175),,googlefinance(A175))"),150.65)</f>
        <v/>
      </c>
      <c r="O175" s="68">
        <f>IF(ISBLANK(J175),,IF(ISBLANK(L175),"Ongoing","Completed"))</f>
        <v/>
      </c>
      <c r="P175" s="68">
        <f>IF(ISBLANK(A175),,IF(AND(COUNTA(F175)=1,T175&gt;0),"Profit",IF(AND(COUNTA(G175)=1,T175&lt;0),"Profit","Loss")))</f>
        <v/>
      </c>
      <c r="Q175" s="53">
        <f>IF(ISBLANK(U175),,IF(P175="Profit",IF(T175&lt;0,U175*-T175,U175*T175),IF(T175&gt;0,U175*-T175,U175*T175)))</f>
        <v/>
      </c>
      <c r="R175" s="68" t="n"/>
      <c r="S175" s="69">
        <f>IF($Q175&gt;0, TRUE, FALSE)</f>
        <v/>
      </c>
      <c r="T175" s="68">
        <f>IF(ISBLANK(J175),,IF(ISBLANK(L175),N175-K175,M175-K175))</f>
        <v/>
      </c>
      <c r="U175" s="55">
        <f>IF(ISBLANK(J175),,ROUNDDOWN(U$1/K175,0))</f>
        <v/>
      </c>
    </row>
    <row r="176" hidden="1" ht="14" customHeight="1">
      <c r="A176" s="72" t="inlineStr">
        <is>
          <t>PPG</t>
        </is>
      </c>
      <c r="B176" s="70" t="n">
        <v>14</v>
      </c>
      <c r="C176" s="55" t="n">
        <v>159.96</v>
      </c>
      <c r="D176" s="55" t="n">
        <v>50</v>
      </c>
      <c r="E176" s="55" t="n">
        <v>1.676</v>
      </c>
      <c r="F176" s="62" t="n">
        <v>45233</v>
      </c>
      <c r="G176" s="62" t="n"/>
      <c r="H176" s="62" t="n">
        <v>45264</v>
      </c>
      <c r="I176" s="62" t="n"/>
      <c r="J176" s="63">
        <f>IF(ISBLANK(F176:G176),,IF(COUNTA(F176)=0,G176,F176))</f>
        <v/>
      </c>
      <c r="K176" s="64">
        <f>IFERROR(__xludf.DUMMYFUNCTION("if(isblank(J176),,index(googlefinance(A176,K$2,J176-1),2,2))"),124.92)</f>
        <v/>
      </c>
      <c r="L176" s="65">
        <f>IF(ISBLANK(H176:I176),,IF(COUNTA(H176)=0,I176,H176))</f>
        <v/>
      </c>
      <c r="M176" s="66">
        <f>IFERROR(__xludf.DUMMYFUNCTION("if(isblank(L176),, index(googlefinance(A176,M$2,L176-1),2,2))"),143.15)</f>
        <v/>
      </c>
      <c r="N176" s="67">
        <f>IFERROR(__xludf.DUMMYFUNCTION("if(isblank(A176),,googlefinance(A176))"),145.62)</f>
        <v/>
      </c>
      <c r="O176" s="68">
        <f>IF(ISBLANK(J176),,IF(ISBLANK(L176),"Ongoing","Completed"))</f>
        <v/>
      </c>
      <c r="P176" s="68">
        <f>IF(ISBLANK(A176),,IF(AND(COUNTA(F176)=1,T176&gt;0),"Profit",IF(AND(COUNTA(G176)=1,T176&lt;0),"Profit","Loss")))</f>
        <v/>
      </c>
      <c r="Q176" s="53">
        <f>IF(ISBLANK(U176),,IF(P176="Profit",IF(T176&lt;0,U176*-T176,U176*T176),IF(T176&gt;0,U176*-T176,U176*T176)))</f>
        <v/>
      </c>
      <c r="R176" s="68" t="n"/>
      <c r="S176" s="69">
        <f>IF($Q176&gt;0, TRUE, FALSE)</f>
        <v/>
      </c>
      <c r="T176" s="68">
        <f>IF(ISBLANK(J176),,IF(ISBLANK(L176),N176-K176,M176-K176))</f>
        <v/>
      </c>
      <c r="U176" s="55">
        <f>IF(ISBLANK(J176),,ROUNDDOWN(U$1/K176,0))</f>
        <v/>
      </c>
    </row>
    <row r="177" hidden="1" ht="14" customHeight="1">
      <c r="A177" s="72" t="inlineStr">
        <is>
          <t>PSA</t>
        </is>
      </c>
      <c r="B177" s="70" t="n">
        <v>10</v>
      </c>
      <c r="C177" s="55" t="n">
        <v>220.57</v>
      </c>
      <c r="D177" s="55" t="n">
        <v>40</v>
      </c>
      <c r="E177" s="55" t="n">
        <v>3.069</v>
      </c>
      <c r="F177" s="62" t="n">
        <v>45233</v>
      </c>
      <c r="G177" s="62" t="n"/>
      <c r="H177" s="62" t="n">
        <v>45239</v>
      </c>
      <c r="I177" s="62" t="n"/>
      <c r="J177" s="63">
        <f>IF(ISBLANK(F177:G177),,IF(COUNTA(F177)=0,G177,F177))</f>
        <v/>
      </c>
      <c r="K177" s="64">
        <f>IFERROR(__xludf.DUMMYFUNCTION("if(isblank(J177),,index(googlefinance(A177,K$2,J177-1),2,2))"),248.26)</f>
        <v/>
      </c>
      <c r="L177" s="65">
        <f>IF(ISBLANK(H177:I177),,IF(COUNTA(H177)=0,I177,H177))</f>
        <v/>
      </c>
      <c r="M177" s="66">
        <f>IFERROR(__xludf.DUMMYFUNCTION("if(isblank(L177),, index(googlefinance(A177,M$2,L177-1),2,2))"),250.69)</f>
        <v/>
      </c>
      <c r="N177" s="67">
        <f>IFERROR(__xludf.DUMMYFUNCTION("if(isblank(A177),,googlefinance(A177))"),303.01)</f>
        <v/>
      </c>
      <c r="O177" s="68">
        <f>IF(ISBLANK(J177),,IF(ISBLANK(L177),"Ongoing","Completed"))</f>
        <v/>
      </c>
      <c r="P177" s="68">
        <f>IF(ISBLANK(A177),,IF(AND(COUNTA(F177)=1,T177&gt;0),"Profit",IF(AND(COUNTA(G177)=1,T177&lt;0),"Profit","Loss")))</f>
        <v/>
      </c>
      <c r="Q177" s="53">
        <f>IF(ISBLANK(U177),,IF(P177="Profit",IF(T177&lt;0,U177*-T177,U177*T177),IF(T177&gt;0,U177*-T177,U177*T177)))</f>
        <v/>
      </c>
      <c r="R177" s="68" t="n"/>
      <c r="S177" s="69">
        <f>IF($Q177&gt;0, TRUE, FALSE)</f>
        <v/>
      </c>
      <c r="T177" s="68">
        <f>IF(ISBLANK(J177),,IF(ISBLANK(L177),N177-K177,M177-K177))</f>
        <v/>
      </c>
      <c r="U177" s="55">
        <f>IF(ISBLANK(J177),,ROUNDDOWN(U$1/K177,0))</f>
        <v/>
      </c>
    </row>
    <row r="178" hidden="1" ht="14" customHeight="1">
      <c r="A178" s="72" t="inlineStr">
        <is>
          <t>WDAY</t>
        </is>
      </c>
      <c r="B178" s="70" t="n">
        <v>16</v>
      </c>
      <c r="C178" s="55" t="n">
        <v>63.6</v>
      </c>
      <c r="D178" s="55" t="n">
        <v>31.25</v>
      </c>
      <c r="E178" s="77" t="n">
        <v>1.201</v>
      </c>
      <c r="F178" s="62" t="n">
        <v>45233</v>
      </c>
      <c r="G178" s="62" t="n"/>
      <c r="H178" s="62" t="n">
        <v>45265</v>
      </c>
      <c r="I178" s="62" t="n"/>
      <c r="J178" s="63">
        <f>IF(ISBLANK(F178:G178),,IF(COUNTA(F178)=0,G178,F178))</f>
        <v/>
      </c>
      <c r="K178" s="64">
        <f>IFERROR(__xludf.DUMMYFUNCTION("if(isblank(J178),,index(googlefinance(A178,K$2,J178-1),2,2))"),212.92)</f>
        <v/>
      </c>
      <c r="L178" s="65">
        <f>IF(ISBLANK(H178:I178),,IF(COUNTA(H178)=0,I178,H178))</f>
        <v/>
      </c>
      <c r="M178" s="66">
        <f>IFERROR(__xludf.DUMMYFUNCTION("if(isblank(L178),, index(googlefinance(A178,M$2,L178-1),2,2))"),269.22)</f>
        <v/>
      </c>
      <c r="N178" s="67">
        <f>IFERROR(__xludf.DUMMYFUNCTION("if(isblank(A178),,googlefinance(A178))"),268.41)</f>
        <v/>
      </c>
      <c r="O178" s="68">
        <f>IF(ISBLANK(J178),,IF(ISBLANK(L178),"Ongoing","Completed"))</f>
        <v/>
      </c>
      <c r="P178" s="68">
        <f>IF(ISBLANK(A178),,IF(AND(COUNTA(F178)=1,T178&gt;0),"Profit",IF(AND(COUNTA(G178)=1,T178&lt;0),"Profit","Loss")))</f>
        <v/>
      </c>
      <c r="Q178" s="53">
        <f>IF(ISBLANK(U178),,IF(P178="Profit",IF(T178&lt;0,U178*-T178,U178*T178),IF(T178&gt;0,U178*-T178,U178*T178)))</f>
        <v/>
      </c>
      <c r="R178" s="68" t="n"/>
      <c r="S178" s="69">
        <f>IF($Q178&gt;0, TRUE, FALSE)</f>
        <v/>
      </c>
      <c r="T178" s="68">
        <f>IF(ISBLANK(J178),,IF(ISBLANK(L178),N178-K178,M178-K178))</f>
        <v/>
      </c>
      <c r="U178" s="55">
        <f>IF(ISBLANK(J178),,ROUNDDOWN(U$1/K178,0))</f>
        <v/>
      </c>
    </row>
    <row r="179" hidden="1" ht="14" customHeight="1">
      <c r="A179" s="73" t="inlineStr">
        <is>
          <t>JKHY</t>
        </is>
      </c>
      <c r="B179" s="74" t="n">
        <v>7</v>
      </c>
      <c r="C179" s="75" t="n">
        <v>32.79</v>
      </c>
      <c r="D179" s="75" t="n">
        <v>28.571</v>
      </c>
      <c r="E179" s="75" t="n">
        <v>1.339</v>
      </c>
      <c r="F179" s="62" t="n">
        <v>45234</v>
      </c>
      <c r="G179" s="62" t="n"/>
      <c r="H179" s="62" t="n">
        <v>45274</v>
      </c>
      <c r="I179" s="62" t="n"/>
      <c r="J179" s="63">
        <f>IF(ISBLANK(F179:G179),,IF(COUNTA(F179)=0,G179,F179))</f>
        <v/>
      </c>
      <c r="K179" s="64">
        <f>IFERROR(__xludf.DUMMYFUNCTION("if(isblank(J179),,index(googlefinance(A179,K$2,J179-1),2,2))"),144.85)</f>
        <v/>
      </c>
      <c r="L179" s="65">
        <f>IF(ISBLANK(H179:I179),,IF(COUNTA(H179)=0,I179,H179))</f>
        <v/>
      </c>
      <c r="M179" s="66">
        <f>IFERROR(__xludf.DUMMYFUNCTION("if(isblank(L179),, index(googlefinance(A179,M$2,L179-1),2,2))"),168.17)</f>
        <v/>
      </c>
      <c r="N179" s="67">
        <f>IFERROR(__xludf.DUMMYFUNCTION("if(isblank(A179),,googlefinance(A179))"),163.43)</f>
        <v/>
      </c>
      <c r="O179" s="68">
        <f>IF(ISBLANK(J179),,IF(ISBLANK(L179),"Ongoing","Completed"))</f>
        <v/>
      </c>
      <c r="P179" s="68">
        <f>IF(ISBLANK(A179),,IF(AND(COUNTA(F179)=1,T179&gt;0),"Profit",IF(AND(COUNTA(G179)=1,T179&lt;0),"Profit","Loss")))</f>
        <v/>
      </c>
      <c r="Q179" s="53">
        <f>IF(ISBLANK(U179),,IF(P179="Profit",IF(T179&lt;0,U179*-T179,U179*T179),IF(T179&gt;0,U179*-T179,U179*T179)))</f>
        <v/>
      </c>
      <c r="R179" s="68" t="n"/>
      <c r="S179" s="69">
        <f>IF($Q179&gt;0, TRUE, FALSE)</f>
        <v/>
      </c>
      <c r="T179" s="68">
        <f>IF(ISBLANK(J179),,IF(ISBLANK(L179),N179-K179,M179-K179))</f>
        <v/>
      </c>
      <c r="U179" s="55">
        <f>IF(ISBLANK(J179),,ROUNDDOWN(U$1/K179,0))</f>
        <v/>
      </c>
    </row>
    <row r="180" hidden="1" ht="14" customHeight="1">
      <c r="A180" s="72" t="inlineStr">
        <is>
          <t>BKNG</t>
        </is>
      </c>
      <c r="B180" s="70" t="n">
        <v>18</v>
      </c>
      <c r="C180" s="55" t="n">
        <v>8.220000000000001</v>
      </c>
      <c r="D180" s="55" t="n">
        <v>11.111</v>
      </c>
      <c r="E180" s="55" t="n">
        <v>1.07</v>
      </c>
      <c r="F180" s="62" t="n">
        <v>45236</v>
      </c>
      <c r="G180" s="62" t="n"/>
      <c r="H180" s="62" t="n">
        <v>45254</v>
      </c>
      <c r="I180" s="62" t="n"/>
      <c r="J180" s="63">
        <f>IF(ISBLANK(F180:G180),,IF(COUNTA(F180)=0,G180,F180))</f>
        <v/>
      </c>
      <c r="K180" s="64">
        <f>IFERROR(__xludf.DUMMYFUNCTION("if(isblank(J180),,index(googlefinance(A180,K$2,J180-1),2,2))"),2971.43)</f>
        <v/>
      </c>
      <c r="L180" s="65">
        <f>IF(ISBLANK(H180:I180),,IF(COUNTA(H180)=0,I180,H180))</f>
        <v/>
      </c>
      <c r="M180" s="66">
        <f>IFERROR(__xludf.DUMMYFUNCTION("if(isblank(L180),, index(googlefinance(A180,M$2,L180-1),2,2))"),3115.59)</f>
        <v/>
      </c>
      <c r="N180" s="67">
        <f>IFERROR(__xludf.DUMMYFUNCTION("if(isblank(A180),,googlefinance(A180))"),3409.27)</f>
        <v/>
      </c>
      <c r="O180" s="68">
        <f>IF(ISBLANK(J180),,IF(ISBLANK(L180),"Ongoing","Completed"))</f>
        <v/>
      </c>
      <c r="P180" s="68">
        <f>IF(ISBLANK(A180),,IF(AND(COUNTA(F180)=1,T180&gt;0),"Profit",IF(AND(COUNTA(G180)=1,T180&lt;0),"Profit","Loss")))</f>
        <v/>
      </c>
      <c r="Q180" s="53">
        <f>IF(ISBLANK(U180),,IF(P180="Profit",IF(T180&lt;0,U180*-T180,U180*T180),IF(T180&gt;0,U180*-T180,U180*T180)))</f>
        <v/>
      </c>
      <c r="R180" s="68" t="n"/>
      <c r="S180" s="69">
        <f>IF($Q180&gt;0, TRUE, FALSE)</f>
        <v/>
      </c>
      <c r="T180" s="68">
        <f>IF(ISBLANK(J180),,IF(ISBLANK(L180),N180-K180,M180-K180))</f>
        <v/>
      </c>
      <c r="U180" s="55">
        <f>IF(ISBLANK(J180),,ROUNDDOWN(U$1/K180,0))</f>
        <v/>
      </c>
    </row>
    <row r="181" hidden="1" ht="14" customHeight="1">
      <c r="A181" s="72" t="inlineStr">
        <is>
          <t>CLX</t>
        </is>
      </c>
      <c r="B181" s="70" t="n">
        <v>10</v>
      </c>
      <c r="C181" s="55" t="n">
        <v>200.61</v>
      </c>
      <c r="D181" s="55" t="n">
        <v>50</v>
      </c>
      <c r="E181" s="55" t="n">
        <v>3.113</v>
      </c>
      <c r="F181" s="62" t="n">
        <v>45236</v>
      </c>
      <c r="G181" s="62" t="n"/>
      <c r="H181" s="62" t="n">
        <v>45259</v>
      </c>
      <c r="I181" s="62" t="n"/>
      <c r="J181" s="63">
        <f>IF(ISBLANK(F181:G181),,IF(COUNTA(F181)=0,G181,F181))</f>
        <v/>
      </c>
      <c r="K181" s="64">
        <f>IFERROR(__xludf.DUMMYFUNCTION("if(isblank(J181),,index(googlefinance(A181,K$2,J181-1),2,2))"),129)</f>
        <v/>
      </c>
      <c r="L181" s="65">
        <f>IF(ISBLANK(H181:I181),,IF(COUNTA(H181)=0,I181,H181))</f>
        <v/>
      </c>
      <c r="M181" s="66">
        <f>IFERROR(__xludf.DUMMYFUNCTION("if(isblank(L181),, index(googlefinance(A181,M$2,L181-1),2,2))"),144.11)</f>
        <v/>
      </c>
      <c r="N181" s="67">
        <f>IFERROR(__xludf.DUMMYFUNCTION("if(isblank(A181),,googlefinance(A181))"),141.52)</f>
        <v/>
      </c>
      <c r="O181" s="68">
        <f>IF(ISBLANK(J181),,IF(ISBLANK(L181),"Ongoing","Completed"))</f>
        <v/>
      </c>
      <c r="P181" s="68">
        <f>IF(ISBLANK(A181),,IF(AND(COUNTA(F181)=1,T181&gt;0),"Profit",IF(AND(COUNTA(G181)=1,T181&lt;0),"Profit","Loss")))</f>
        <v/>
      </c>
      <c r="Q181" s="53">
        <f>IF(ISBLANK(U181),,IF(P181="Profit",IF(T181&lt;0,U181*-T181,U181*T181),IF(T181&gt;0,U181*-T181,U181*T181)))</f>
        <v/>
      </c>
      <c r="R181" s="68" t="n"/>
      <c r="S181" s="69">
        <f>IF($Q181&gt;0, TRUE, FALSE)</f>
        <v/>
      </c>
      <c r="T181" s="68">
        <f>IF(ISBLANK(J181),,IF(ISBLANK(L181),N181-K181,M181-K181))</f>
        <v/>
      </c>
      <c r="U181" s="55">
        <f>IF(ISBLANK(J181),,ROUNDDOWN(U$1/K181,0))</f>
        <v/>
      </c>
    </row>
    <row r="182" hidden="1" ht="14" customHeight="1">
      <c r="A182" s="72" t="inlineStr">
        <is>
          <t>DAL</t>
        </is>
      </c>
      <c r="B182" s="70" t="n">
        <v>14</v>
      </c>
      <c r="C182" s="55" t="n">
        <v>435.78</v>
      </c>
      <c r="D182" s="55" t="n">
        <v>35.714</v>
      </c>
      <c r="E182" s="77" t="n">
        <v>2.006</v>
      </c>
      <c r="F182" s="62" t="n">
        <v>45236</v>
      </c>
      <c r="G182" s="62" t="n"/>
      <c r="H182" s="62" t="n">
        <v>45265</v>
      </c>
      <c r="I182" s="62" t="n"/>
      <c r="J182" s="63">
        <f>IF(ISBLANK(F182:G182),,IF(COUNTA(F182)=0,G182,F182))</f>
        <v/>
      </c>
      <c r="K182" s="64">
        <f>IFERROR(__xludf.DUMMYFUNCTION("if(isblank(J182),,index(googlefinance(A182,K$2,J182-1),2,2))"),32.92)</f>
        <v/>
      </c>
      <c r="L182" s="65">
        <f>IF(ISBLANK(H182:I182),,IF(COUNTA(H182)=0,I182,H182))</f>
        <v/>
      </c>
      <c r="M182" s="66">
        <f>IFERROR(__xludf.DUMMYFUNCTION("if(isblank(L182),, index(googlefinance(A182,M$2,L182-1),2,2))"),38.16)</f>
        <v/>
      </c>
      <c r="N182" s="67">
        <f>IFERROR(__xludf.DUMMYFUNCTION("if(isblank(A182),,googlefinance(A182))"),38.74)</f>
        <v/>
      </c>
      <c r="O182" s="68">
        <f>IF(ISBLANK(J182),,IF(ISBLANK(L182),"Ongoing","Completed"))</f>
        <v/>
      </c>
      <c r="P182" s="68">
        <f>IF(ISBLANK(A182),,IF(AND(COUNTA(F182)=1,T182&gt;0),"Profit",IF(AND(COUNTA(G182)=1,T182&lt;0),"Profit","Loss")))</f>
        <v/>
      </c>
      <c r="Q182" s="53">
        <f>IF(ISBLANK(U182),,IF(P182="Profit",IF(T182&lt;0,U182*-T182,U182*T182),IF(T182&gt;0,U182*-T182,U182*T182)))</f>
        <v/>
      </c>
      <c r="R182" s="68" t="n"/>
      <c r="S182" s="69">
        <f>IF($Q182&gt;0, TRUE, FALSE)</f>
        <v/>
      </c>
      <c r="T182" s="68">
        <f>IF(ISBLANK(J182),,IF(ISBLANK(L182),N182-K182,M182-K182))</f>
        <v/>
      </c>
      <c r="U182" s="55">
        <f>IF(ISBLANK(J182),,ROUNDDOWN(U$1/K182,0))</f>
        <v/>
      </c>
    </row>
    <row r="183" hidden="1" ht="14" customHeight="1">
      <c r="A183" s="72" t="inlineStr">
        <is>
          <t>DOV</t>
        </is>
      </c>
      <c r="B183" s="70" t="n">
        <v>14</v>
      </c>
      <c r="C183" s="55" t="n">
        <v>62.52</v>
      </c>
      <c r="D183" s="55" t="n">
        <v>42.857</v>
      </c>
      <c r="E183" s="55" t="n">
        <v>1.417</v>
      </c>
      <c r="F183" s="62" t="n">
        <v>45236</v>
      </c>
      <c r="G183" s="62" t="n"/>
      <c r="H183" s="62" t="n">
        <v>45237</v>
      </c>
      <c r="I183" s="62" t="n"/>
      <c r="J183" s="63">
        <f>IF(ISBLANK(F183:G183),,IF(COUNTA(F183)=0,G183,F183))</f>
        <v/>
      </c>
      <c r="K183" s="64">
        <f>IFERROR(__xludf.DUMMYFUNCTION("if(isblank(J183),,index(googlefinance(A183,K$2,J183-1),2,2))"),132.76)</f>
        <v/>
      </c>
      <c r="L183" s="65">
        <f>IF(ISBLANK(H183:I183),,IF(COUNTA(H183)=0,I183,H183))</f>
        <v/>
      </c>
      <c r="M183" s="66">
        <f>IFERROR(__xludf.DUMMYFUNCTION("if(isblank(L183),, index(googlefinance(A183,M$2,L183-1),2,2))"),132.76)</f>
        <v/>
      </c>
      <c r="N183" s="67">
        <f>IFERROR(__xludf.DUMMYFUNCTION("if(isblank(A183),,googlefinance(A183))"),148.33)</f>
        <v/>
      </c>
      <c r="O183" s="68">
        <f>IF(ISBLANK(J183),,IF(ISBLANK(L183),"Ongoing","Completed"))</f>
        <v/>
      </c>
      <c r="P183" s="68">
        <f>IF(ISBLANK(A183),,IF(AND(COUNTA(F183)=1,T183&gt;0),"Profit",IF(AND(COUNTA(G183)=1,T183&lt;0),"Profit","Loss")))</f>
        <v/>
      </c>
      <c r="Q183" s="53">
        <f>IF(ISBLANK(U183),,IF(P183="Profit",IF(T183&lt;0,U183*-T183,U183*T183),IF(T183&gt;0,U183*-T183,U183*T183)))</f>
        <v/>
      </c>
      <c r="R183" s="68" t="n"/>
      <c r="S183" s="69">
        <f>IF($Q183&gt;0, TRUE, FALSE)</f>
        <v/>
      </c>
      <c r="T183" s="68">
        <f>IF(ISBLANK(J183),,IF(ISBLANK(L183),N183-K183,M183-K183))</f>
        <v/>
      </c>
      <c r="U183" s="55">
        <f>IF(ISBLANK(J183),,ROUNDDOWN(U$1/K183,0))</f>
        <v/>
      </c>
    </row>
    <row r="184" hidden="1" ht="14" customHeight="1">
      <c r="A184" s="72" t="inlineStr">
        <is>
          <t>EMR</t>
        </is>
      </c>
      <c r="B184" s="70" t="n">
        <v>11</v>
      </c>
      <c r="C184" s="55" t="n">
        <v>0.87</v>
      </c>
      <c r="D184" s="55" t="n">
        <v>36.364</v>
      </c>
      <c r="E184" s="55" t="n">
        <v>1.007</v>
      </c>
      <c r="F184" s="62" t="n">
        <v>45236</v>
      </c>
      <c r="G184" s="62" t="n"/>
      <c r="H184" s="62" t="n">
        <v>45237</v>
      </c>
      <c r="I184" s="62" t="n"/>
      <c r="J184" s="63">
        <f>IF(ISBLANK(F184:G184),,IF(COUNTA(F184)=0,G184,F184))</f>
        <v/>
      </c>
      <c r="K184" s="64">
        <f>IFERROR(__xludf.DUMMYFUNCTION("if(isblank(J184),,index(googlefinance(A184,K$2,J184-1),2,2))"),91.74)</f>
        <v/>
      </c>
      <c r="L184" s="65">
        <f>IF(ISBLANK(H184:I184),,IF(COUNTA(H184)=0,I184,H184))</f>
        <v/>
      </c>
      <c r="M184" s="66">
        <f>IFERROR(__xludf.DUMMYFUNCTION("if(isblank(L184),, index(googlefinance(A184,M$2,L184-1),2,2))"),91.74)</f>
        <v/>
      </c>
      <c r="N184" s="67">
        <f>IFERROR(__xludf.DUMMYFUNCTION("if(isblank(A184),,googlefinance(A184))"),94.68)</f>
        <v/>
      </c>
      <c r="O184" s="68">
        <f>IF(ISBLANK(J184),,IF(ISBLANK(L184),"Ongoing","Completed"))</f>
        <v/>
      </c>
      <c r="P184" s="68">
        <f>IF(ISBLANK(A184),,IF(AND(COUNTA(F184)=1,T184&gt;0),"Profit",IF(AND(COUNTA(G184)=1,T184&lt;0),"Profit","Loss")))</f>
        <v/>
      </c>
      <c r="Q184" s="53">
        <f>IF(ISBLANK(U184),,IF(P184="Profit",IF(T184&lt;0,U184*-T184,U184*T184),IF(T184&gt;0,U184*-T184,U184*T184)))</f>
        <v/>
      </c>
      <c r="R184" s="68" t="n"/>
      <c r="S184" s="69">
        <f>IF($Q184&gt;0, TRUE, FALSE)</f>
        <v/>
      </c>
      <c r="T184" s="68">
        <f>IF(ISBLANK(J184),,IF(ISBLANK(L184),N184-K184,M184-K184))</f>
        <v/>
      </c>
      <c r="U184" s="55">
        <f>IF(ISBLANK(J184),,ROUNDDOWN(U$1/K184,0))</f>
        <v/>
      </c>
    </row>
    <row r="185" hidden="1" ht="14" customHeight="1">
      <c r="A185" s="72" t="inlineStr">
        <is>
          <t>JNJ</t>
        </is>
      </c>
      <c r="B185" s="70" t="n">
        <v>9</v>
      </c>
      <c r="C185" s="55" t="n">
        <v>81.02</v>
      </c>
      <c r="D185" s="55" t="n">
        <v>55.556</v>
      </c>
      <c r="E185" s="55" t="n">
        <v>2.796</v>
      </c>
      <c r="F185" s="62" t="n">
        <v>45236</v>
      </c>
      <c r="G185" s="62" t="n"/>
      <c r="H185" s="62" t="n">
        <v>45239</v>
      </c>
      <c r="I185" s="62" t="n"/>
      <c r="J185" s="63">
        <f>IF(ISBLANK(F185:G185),,IF(COUNTA(F185)=0,G185,F185))</f>
        <v/>
      </c>
      <c r="K185" s="64">
        <f>IFERROR(__xludf.DUMMYFUNCTION("if(isblank(J185),,index(googlefinance(A185,K$2,J185-1),2,2))"),151.7)</f>
        <v/>
      </c>
      <c r="L185" s="65">
        <f>IF(ISBLANK(H185:I185),,IF(COUNTA(H185)=0,I185,H185))</f>
        <v/>
      </c>
      <c r="M185" s="66">
        <f>IFERROR(__xludf.DUMMYFUNCTION("if(isblank(L185),, index(googlefinance(A185,M$2,L185-1),2,2))"),150.35)</f>
        <v/>
      </c>
      <c r="N185" s="67">
        <f>IFERROR(__xludf.DUMMYFUNCTION("if(isblank(A185),,googlefinance(A185))"),160.97)</f>
        <v/>
      </c>
      <c r="O185" s="68">
        <f>IF(ISBLANK(J185),,IF(ISBLANK(L185),"Ongoing","Completed"))</f>
        <v/>
      </c>
      <c r="P185" s="68">
        <f>IF(ISBLANK(A185),,IF(AND(COUNTA(F185)=1,T185&gt;0),"Profit",IF(AND(COUNTA(G185)=1,T185&lt;0),"Profit","Loss")))</f>
        <v/>
      </c>
      <c r="Q185" s="53">
        <f>IF(ISBLANK(U185),,IF(P185="Profit",IF(T185&lt;0,U185*-T185,U185*T185),IF(T185&gt;0,U185*-T185,U185*T185)))</f>
        <v/>
      </c>
      <c r="R185" s="68" t="n"/>
      <c r="S185" s="69">
        <f>IF($Q185&gt;0, TRUE, FALSE)</f>
        <v/>
      </c>
      <c r="T185" s="68">
        <f>IF(ISBLANK(J185),,IF(ISBLANK(L185),N185-K185,M185-K185))</f>
        <v/>
      </c>
      <c r="U185" s="55">
        <f>IF(ISBLANK(J185),,ROUNDDOWN(U$1/K185,0))</f>
        <v/>
      </c>
    </row>
    <row r="186" hidden="1" ht="14" customHeight="1">
      <c r="A186" s="72" t="inlineStr">
        <is>
          <t>MAA</t>
        </is>
      </c>
      <c r="B186" s="70" t="n">
        <v>11</v>
      </c>
      <c r="C186" s="55" t="n">
        <v>40.26</v>
      </c>
      <c r="D186" s="55" t="n">
        <v>36.364</v>
      </c>
      <c r="E186" s="55" t="n">
        <v>1.165</v>
      </c>
      <c r="F186" s="62" t="n">
        <v>45236</v>
      </c>
      <c r="G186" s="62" t="n"/>
      <c r="H186" s="62" t="n">
        <v>45237</v>
      </c>
      <c r="I186" s="62" t="n"/>
      <c r="J186" s="63">
        <f>IF(ISBLANK(F186:G186),,IF(COUNTA(F186)=0,G186,F186))</f>
        <v/>
      </c>
      <c r="K186" s="64">
        <f>IFERROR(__xludf.DUMMYFUNCTION("if(isblank(J186),,index(googlefinance(A186,K$2,J186-1),2,2))"),121.76)</f>
        <v/>
      </c>
      <c r="L186" s="65">
        <f>IF(ISBLANK(H186:I186),,IF(COUNTA(H186)=0,I186,H186))</f>
        <v/>
      </c>
      <c r="M186" s="66">
        <f>IFERROR(__xludf.DUMMYFUNCTION("if(isblank(L186),, index(googlefinance(A186,M$2,L186-1),2,2))"),121.76)</f>
        <v/>
      </c>
      <c r="N186" s="67">
        <f>IFERROR(__xludf.DUMMYFUNCTION("if(isblank(A186),,googlefinance(A186))"),132.2)</f>
        <v/>
      </c>
      <c r="O186" s="68">
        <f>IF(ISBLANK(J186),,IF(ISBLANK(L186),"Ongoing","Completed"))</f>
        <v/>
      </c>
      <c r="P186" s="68">
        <f>IF(ISBLANK(A186),,IF(AND(COUNTA(F186)=1,T186&gt;0),"Profit",IF(AND(COUNTA(G186)=1,T186&lt;0),"Profit","Loss")))</f>
        <v/>
      </c>
      <c r="Q186" s="53">
        <f>IF(ISBLANK(U186),,IF(P186="Profit",IF(T186&lt;0,U186*-T186,U186*T186),IF(T186&gt;0,U186*-T186,U186*T186)))</f>
        <v/>
      </c>
      <c r="R186" s="68" t="n"/>
      <c r="S186" s="69">
        <f>IF($Q186&gt;0, TRUE, FALSE)</f>
        <v/>
      </c>
      <c r="T186" s="68">
        <f>IF(ISBLANK(J186),,IF(ISBLANK(L186),N186-K186,M186-K186))</f>
        <v/>
      </c>
      <c r="U186" s="55">
        <f>IF(ISBLANK(J186),,ROUNDDOWN(U$1/K186,0))</f>
        <v/>
      </c>
    </row>
    <row r="187" hidden="1" ht="14" customHeight="1">
      <c r="A187" s="72" t="inlineStr">
        <is>
          <t>PFE</t>
        </is>
      </c>
      <c r="B187" s="70" t="n">
        <v>9</v>
      </c>
      <c r="C187" s="55" t="n">
        <v>139.688</v>
      </c>
      <c r="D187" s="55" t="n">
        <v>33.333</v>
      </c>
      <c r="E187" s="55" t="n">
        <v>1.666</v>
      </c>
      <c r="F187" s="62" t="n">
        <v>45236</v>
      </c>
      <c r="G187" s="62" t="n"/>
      <c r="H187" s="62" t="n">
        <v>45239</v>
      </c>
      <c r="I187" s="62" t="n"/>
      <c r="J187" s="63">
        <f>IF(ISBLANK(F187:G187),,IF(COUNTA(F187)=0,G187,F187))</f>
        <v/>
      </c>
      <c r="K187" s="64">
        <f>IFERROR(__xludf.DUMMYFUNCTION("if(isblank(J187),,index(googlefinance(A187,K$2,J187-1),2,2))"),31.18)</f>
        <v/>
      </c>
      <c r="L187" s="65">
        <f>IF(ISBLANK(H187:I187),,IF(COUNTA(H187)=0,I187,H187))</f>
        <v/>
      </c>
      <c r="M187" s="66">
        <f>IFERROR(__xludf.DUMMYFUNCTION("if(isblank(L187),, index(googlefinance(A187,M$2,L187-1),2,2))"),30.82)</f>
        <v/>
      </c>
      <c r="N187" s="67">
        <f>IFERROR(__xludf.DUMMYFUNCTION("if(isblank(A187),,googlefinance(A187))"),29.73)</f>
        <v/>
      </c>
      <c r="O187" s="68">
        <f>IF(ISBLANK(J187),,IF(ISBLANK(L187),"Ongoing","Completed"))</f>
        <v/>
      </c>
      <c r="P187" s="68">
        <f>IF(ISBLANK(A187),,IF(AND(COUNTA(F187)=1,T187&gt;0),"Profit",IF(AND(COUNTA(G187)=1,T187&lt;0),"Profit","Loss")))</f>
        <v/>
      </c>
      <c r="Q187" s="53">
        <f>IF(ISBLANK(U187),,IF(P187="Profit",IF(T187&lt;0,U187*-T187,U187*T187),IF(T187&gt;0,U187*-T187,U187*T187)))</f>
        <v/>
      </c>
      <c r="R187" s="68" t="n"/>
      <c r="S187" s="69">
        <f>IF($Q187&gt;0, TRUE, FALSE)</f>
        <v/>
      </c>
      <c r="T187" s="68">
        <f>IF(ISBLANK(J187),,IF(ISBLANK(L187),N187-K187,M187-K187))</f>
        <v/>
      </c>
      <c r="U187" s="55">
        <f>IF(ISBLANK(J187),,ROUNDDOWN(U$1/K187,0))</f>
        <v/>
      </c>
    </row>
    <row r="188" hidden="1" ht="14" customHeight="1">
      <c r="A188" s="72" t="inlineStr">
        <is>
          <t>UAL</t>
        </is>
      </c>
      <c r="B188" s="55" t="n">
        <v>10</v>
      </c>
      <c r="C188" s="55" t="n">
        <v>988.49</v>
      </c>
      <c r="D188" s="55" t="n">
        <v>50</v>
      </c>
      <c r="E188" s="77" t="n">
        <v>5.72</v>
      </c>
      <c r="F188" s="62" t="n">
        <v>45236</v>
      </c>
      <c r="G188" s="62" t="n"/>
      <c r="H188" s="62" t="n">
        <v>45278</v>
      </c>
      <c r="I188" s="62" t="n"/>
      <c r="J188" s="63">
        <f>IF(ISBLANK(F188:G188),,IF(COUNTA(F188)=0,G188,F188))</f>
        <v/>
      </c>
      <c r="K188" s="64">
        <f>IFERROR(__xludf.DUMMYFUNCTION("if(isblank(J188),,index(googlefinance(A188,K$2,J188-1),2,2))"),36.76)</f>
        <v/>
      </c>
      <c r="L188" s="65">
        <f>IF(ISBLANK(H188:I188),,IF(COUNTA(H188)=0,I188,H188))</f>
        <v/>
      </c>
      <c r="M188" s="66">
        <f>IFERROR(__xludf.DUMMYFUNCTION("if(isblank(L188),, index(googlefinance(A188,M$2,L188-1),2,2))"),42.33)</f>
        <v/>
      </c>
      <c r="N188" s="67">
        <f>IFERROR(__xludf.DUMMYFUNCTION("if(isblank(A188),,googlefinance(A188))"),39.53)</f>
        <v/>
      </c>
      <c r="O188" s="68">
        <f>IF(ISBLANK(J188),,IF(ISBLANK(L188),"Ongoing","Completed"))</f>
        <v/>
      </c>
      <c r="P188" s="68">
        <f>IF(ISBLANK(A188),,IF(AND(COUNTA(F188)=1,T188&gt;0),"Profit",IF(AND(COUNTA(G188)=1,T188&lt;0),"Profit","Loss")))</f>
        <v/>
      </c>
      <c r="Q188" s="53">
        <f>IF(ISBLANK(U188),,IF(P188="Profit",IF(T188&lt;0,U188*-T188,U188*T188),IF(T188&gt;0,U188*-T188,U188*T188)))</f>
        <v/>
      </c>
      <c r="R188" s="68" t="n"/>
      <c r="S188" s="69">
        <f>IF($Q188&gt;0, TRUE, FALSE)</f>
        <v/>
      </c>
      <c r="T188" s="68">
        <f>IF(ISBLANK(J188),,IF(ISBLANK(L188),N188-K188,M188-K188))</f>
        <v/>
      </c>
      <c r="U188" s="55">
        <f>IF(ISBLANK(J188),,ROUNDDOWN(U$1/K188,0))</f>
        <v/>
      </c>
    </row>
    <row r="189" hidden="1" ht="14" customHeight="1">
      <c r="A189" s="72" t="inlineStr">
        <is>
          <t>PLD</t>
        </is>
      </c>
      <c r="B189" s="70" t="n">
        <v>12</v>
      </c>
      <c r="C189" s="55" t="n">
        <v>91.38</v>
      </c>
      <c r="D189" s="55" t="n">
        <v>58.333</v>
      </c>
      <c r="E189" s="55" t="n">
        <v>1.651</v>
      </c>
      <c r="F189" s="62" t="n">
        <v>45236</v>
      </c>
      <c r="G189" s="62" t="n"/>
      <c r="H189" s="62" t="n">
        <v>45275</v>
      </c>
      <c r="I189" s="62" t="n"/>
      <c r="J189" s="63">
        <f>IF(ISBLANK(F189:G189),,IF(COUNTA(F189)=0,G189,F189))</f>
        <v/>
      </c>
      <c r="K189" s="64">
        <f>IFERROR(__xludf.DUMMYFUNCTION("if(isblank(J189),,index(googlefinance(A189,K$2,J189-1),2,2))"),104.93)</f>
        <v/>
      </c>
      <c r="L189" s="65">
        <f>IF(ISBLANK(H189:I189),,IF(COUNTA(H189)=0,I189,H189))</f>
        <v/>
      </c>
      <c r="M189" s="66">
        <f>IFERROR(__xludf.DUMMYFUNCTION("if(isblank(L189),, index(googlefinance(A189,M$2,L189-1),2,2))"),137.12)</f>
        <v/>
      </c>
      <c r="N189" s="67">
        <f>IFERROR(__xludf.DUMMYFUNCTION("if(isblank(A189),,googlefinance(A189))"),130.52)</f>
        <v/>
      </c>
      <c r="O189" s="68">
        <f>IF(ISBLANK(J189),,IF(ISBLANK(L189),"Ongoing","Completed"))</f>
        <v/>
      </c>
      <c r="P189" s="68">
        <f>IF(ISBLANK(A189),,IF(AND(COUNTA(F189)=1,T189&gt;0),"Profit",IF(AND(COUNTA(G189)=1,T189&lt;0),"Profit","Loss")))</f>
        <v/>
      </c>
      <c r="Q189" s="53">
        <f>IF(ISBLANK(U189),,IF(P189="Profit",IF(T189&lt;0,U189*-T189,U189*T189),IF(T189&gt;0,U189*-T189,U189*T189)))</f>
        <v/>
      </c>
      <c r="R189" s="68" t="n"/>
      <c r="S189" s="69">
        <f>IF($Q189&gt;0, TRUE, FALSE)</f>
        <v/>
      </c>
      <c r="T189" s="68">
        <f>IF(ISBLANK(J189),,IF(ISBLANK(L189),N189-K189,M189-K189))</f>
        <v/>
      </c>
      <c r="U189" s="55">
        <f>IF(ISBLANK(J189),,ROUNDDOWN(U$1/K189,0))</f>
        <v/>
      </c>
    </row>
    <row r="190" hidden="1" ht="14" customHeight="1">
      <c r="A190" s="72" t="inlineStr">
        <is>
          <t>WST</t>
        </is>
      </c>
      <c r="B190" s="70" t="n">
        <v>8</v>
      </c>
      <c r="C190" s="55" t="n">
        <v>139.65</v>
      </c>
      <c r="D190" s="55" t="n">
        <v>37.5</v>
      </c>
      <c r="E190" s="55" t="n">
        <v>1.955</v>
      </c>
      <c r="F190" s="62" t="n">
        <v>45237</v>
      </c>
      <c r="G190" s="62" t="n"/>
      <c r="H190" s="62" t="n">
        <v>45259</v>
      </c>
      <c r="I190" s="62" t="n"/>
      <c r="J190" s="63">
        <f>IF(ISBLANK(F190:G190),,IF(COUNTA(F190)=0,G190,F190))</f>
        <v/>
      </c>
      <c r="K190" s="64">
        <f>IFERROR(__xludf.DUMMYFUNCTION("if(isblank(J190),,index(googlefinance(A190,K$2,J190-1),2,2))"),333.03)</f>
        <v/>
      </c>
      <c r="L190" s="65">
        <f>IF(ISBLANK(H190:I190),,IF(COUNTA(H190)=0,I190,H190))</f>
        <v/>
      </c>
      <c r="M190" s="66">
        <f>IFERROR(__xludf.DUMMYFUNCTION("if(isblank(L190),, index(googlefinance(A190,M$2,L190-1),2,2))"),352.42)</f>
        <v/>
      </c>
      <c r="N190" s="67">
        <f>IFERROR(__xludf.DUMMYFUNCTION("if(isblank(A190),,googlefinance(A190))"),338.27)</f>
        <v/>
      </c>
      <c r="O190" s="68">
        <f>IF(ISBLANK(J190),,IF(ISBLANK(L190),"Ongoing","Completed"))</f>
        <v/>
      </c>
      <c r="P190" s="68">
        <f>IF(ISBLANK(A190),,IF(AND(COUNTA(F190)=1,T190&gt;0),"Profit",IF(AND(COUNTA(G190)=1,T190&lt;0),"Profit","Loss")))</f>
        <v/>
      </c>
      <c r="Q190" s="53">
        <f>IF(ISBLANK(U190),,IF(P190="Profit",IF(T190&lt;0,U190*-T190,U190*T190),IF(T190&gt;0,U190*-T190,U190*T190)))</f>
        <v/>
      </c>
      <c r="R190" s="68" t="n"/>
      <c r="S190" s="69">
        <f>IF($Q190&gt;0, TRUE, FALSE)</f>
        <v/>
      </c>
      <c r="T190" s="68">
        <f>IF(ISBLANK(J190),,IF(ISBLANK(L190),N190-K190,M190-K190))</f>
        <v/>
      </c>
      <c r="U190" s="55">
        <f>IF(ISBLANK(J190),,ROUNDDOWN(U$1/K190,0))</f>
        <v/>
      </c>
    </row>
    <row r="191" hidden="1" ht="14" customHeight="1">
      <c r="A191" s="78" t="inlineStr">
        <is>
          <t>ALK</t>
        </is>
      </c>
      <c r="B191" s="79" t="n">
        <v>12</v>
      </c>
      <c r="C191" s="80" t="n">
        <v>282.81</v>
      </c>
      <c r="D191" s="80" t="n">
        <v>50</v>
      </c>
      <c r="E191" s="80" t="n">
        <v>2.731</v>
      </c>
      <c r="F191" s="62" t="n">
        <v>45238</v>
      </c>
      <c r="G191" s="62" t="n"/>
      <c r="H191" s="62" t="n">
        <v>45264</v>
      </c>
      <c r="I191" s="62" t="n"/>
      <c r="J191" s="63">
        <f>IF(ISBLANK(F191:G191),,IF(COUNTA(F191)=0,G191,F191))</f>
        <v/>
      </c>
      <c r="K191" s="64">
        <f>IFERROR(__xludf.DUMMYFUNCTION("if(isblank(J191),,index(googlefinance(A191,K$2,J191-1),2,2))"),33.16)</f>
        <v/>
      </c>
      <c r="L191" s="65">
        <f>IF(ISBLANK(H191:I191),,IF(COUNTA(H191)=0,I191,H191))</f>
        <v/>
      </c>
      <c r="M191" s="66">
        <f>IFERROR(__xludf.DUMMYFUNCTION("if(isblank(L191),, index(googlefinance(A191,M$2,L191-1),2,2))"),34.08)</f>
        <v/>
      </c>
      <c r="N191" s="67">
        <f>IFERROR(__xludf.DUMMYFUNCTION("if(isblank(A191),,googlefinance(A191))"),36.42)</f>
        <v/>
      </c>
      <c r="O191" s="68">
        <f>IF(ISBLANK(J191),,IF(ISBLANK(L191),"Ongoing","Completed"))</f>
        <v/>
      </c>
      <c r="P191" s="68">
        <f>IF(ISBLANK(A191),,IF(AND(COUNTA(F191)=1,T191&gt;0),"Profit",IF(AND(COUNTA(G191)=1,T191&lt;0),"Profit","Loss")))</f>
        <v/>
      </c>
      <c r="Q191" s="53">
        <f>IF(ISBLANK(U191),,IF(P191="Profit",IF(T191&lt;0,U191*-T191,U191*T191),IF(T191&gt;0,U191*-T191,U191*T191)))</f>
        <v/>
      </c>
      <c r="R191" s="68" t="n"/>
      <c r="S191" s="69">
        <f>IF($Q191&gt;0, TRUE, FALSE)</f>
        <v/>
      </c>
      <c r="T191" s="68">
        <f>IF(ISBLANK(J191),,IF(ISBLANK(L191),N191-K191,M191-K191))</f>
        <v/>
      </c>
      <c r="U191" s="55">
        <f>IF(ISBLANK(J191),,ROUNDDOWN(U$1/K191,0))</f>
        <v/>
      </c>
    </row>
    <row r="192" hidden="1" ht="14" customHeight="1">
      <c r="A192" s="72" t="inlineStr">
        <is>
          <t>EXR</t>
        </is>
      </c>
      <c r="B192" s="55" t="n">
        <v>18</v>
      </c>
      <c r="C192" s="55" t="n">
        <v>207.1</v>
      </c>
      <c r="D192" s="55" t="n">
        <v>27.778</v>
      </c>
      <c r="E192" s="77" t="n">
        <v>2.011</v>
      </c>
      <c r="F192" s="62" t="n">
        <v>45238</v>
      </c>
      <c r="G192" s="62" t="n"/>
      <c r="H192" s="62" t="n">
        <v>45278</v>
      </c>
      <c r="I192" s="62" t="n"/>
      <c r="J192" s="63">
        <f>IF(ISBLANK(F192:G192),,IF(COUNTA(F192)=0,G192,F192))</f>
        <v/>
      </c>
      <c r="K192" s="64">
        <f>IFERROR(__xludf.DUMMYFUNCTION("if(isblank(J192),,index(googlefinance(A192,K$2,J192-1),2,2))"),107.2)</f>
        <v/>
      </c>
      <c r="L192" s="65">
        <f>IF(ISBLANK(H192:I192),,IF(COUNTA(H192)=0,I192,H192))</f>
        <v/>
      </c>
      <c r="M192" s="66">
        <f>IFERROR(__xludf.DUMMYFUNCTION("if(isblank(L192),, index(googlefinance(A192,M$2,L192-1),2,2))"),151.61)</f>
        <v/>
      </c>
      <c r="N192" s="67">
        <f>IFERROR(__xludf.DUMMYFUNCTION("if(isblank(A192),,googlefinance(A192))"),158.8)</f>
        <v/>
      </c>
      <c r="O192" s="68">
        <f>IF(ISBLANK(J192),,IF(ISBLANK(L192),"Ongoing","Completed"))</f>
        <v/>
      </c>
      <c r="P192" s="68">
        <f>IF(ISBLANK(A192),,IF(AND(COUNTA(F192)=1,T192&gt;0),"Profit",IF(AND(COUNTA(G192)=1,T192&lt;0),"Profit","Loss")))</f>
        <v/>
      </c>
      <c r="Q192" s="53">
        <f>IF(ISBLANK(U192),,IF(P192="Profit",IF(T192&lt;0,U192*-T192,U192*T192),IF(T192&gt;0,U192*-T192,U192*T192)))</f>
        <v/>
      </c>
      <c r="R192" s="68" t="n"/>
      <c r="S192" s="69">
        <f>IF($Q192&gt;0, TRUE, FALSE)</f>
        <v/>
      </c>
      <c r="T192" s="68">
        <f>IF(ISBLANK(J192),,IF(ISBLANK(L192),N192-K192,M192-K192))</f>
        <v/>
      </c>
      <c r="U192" s="55">
        <f>IF(ISBLANK(J192),,ROUNDDOWN(U$1/K192,0))</f>
        <v/>
      </c>
    </row>
    <row r="193" hidden="1" ht="14" customHeight="1">
      <c r="A193" s="72" t="inlineStr">
        <is>
          <t>BBY</t>
        </is>
      </c>
      <c r="B193" s="70" t="n">
        <v>13</v>
      </c>
      <c r="C193" s="55" t="n">
        <v>173.07</v>
      </c>
      <c r="D193" s="55" t="n">
        <v>46.154</v>
      </c>
      <c r="E193" s="55" t="n">
        <v>1.741</v>
      </c>
      <c r="F193" s="62" t="n">
        <v>45244</v>
      </c>
      <c r="G193" s="62" t="n"/>
      <c r="H193" s="62" t="n">
        <v>45272</v>
      </c>
      <c r="I193" s="62" t="n"/>
      <c r="J193" s="63">
        <f>IF(ISBLANK(F193:G193),,IF(COUNTA(F193)=0,G193,F193))</f>
        <v/>
      </c>
      <c r="K193" s="64">
        <f>IFERROR(__xludf.DUMMYFUNCTION("if(isblank(J193),,index(googlefinance(A193,K$2,J193-1),2,2))"),63.84)</f>
        <v/>
      </c>
      <c r="L193" s="65">
        <f>IF(ISBLANK(H193:I193),,IF(COUNTA(H193)=0,I193,H193))</f>
        <v/>
      </c>
      <c r="M193" s="66">
        <f>IFERROR(__xludf.DUMMYFUNCTION("if(isblank(L193),, index(googlefinance(A193,M$2,L193-1),2,2))"),74.14)</f>
        <v/>
      </c>
      <c r="N193" s="67">
        <f>IFERROR(__xludf.DUMMYFUNCTION("if(isblank(A193),,googlefinance(A193))"),75.43)</f>
        <v/>
      </c>
      <c r="O193" s="68">
        <f>IF(ISBLANK(J193),,IF(ISBLANK(L193),"Ongoing","Completed"))</f>
        <v/>
      </c>
      <c r="P193" s="68">
        <f>IF(ISBLANK(A193),,IF(AND(COUNTA(F193)=1,T193&gt;0),"Profit",IF(AND(COUNTA(G193)=1,T193&lt;0),"Profit","Loss")))</f>
        <v/>
      </c>
      <c r="Q193" s="53">
        <f>IF(ISBLANK(U193),,IF(P193="Profit",IF(T193&lt;0,U193*-T193,U193*T193),IF(T193&gt;0,U193*-T193,U193*T193)))</f>
        <v/>
      </c>
      <c r="R193" s="68" t="n"/>
      <c r="S193" s="69">
        <f>IF($Q193&gt;0, TRUE, FALSE)</f>
        <v/>
      </c>
      <c r="T193" s="68">
        <f>IF(ISBLANK(J193),,IF(ISBLANK(L193),N193-K193,M193-K193))</f>
        <v/>
      </c>
      <c r="U193" s="55">
        <f>IF(ISBLANK(J193),,ROUNDDOWN(U$1/K193,0))</f>
        <v/>
      </c>
    </row>
    <row r="194" hidden="1" ht="14" customHeight="1">
      <c r="A194" s="72" t="inlineStr">
        <is>
          <t>BXP</t>
        </is>
      </c>
      <c r="B194" s="70" t="n">
        <v>11</v>
      </c>
      <c r="C194" s="55" t="n">
        <v>0.61</v>
      </c>
      <c r="D194" s="55" t="n">
        <v>9.090999999999999</v>
      </c>
      <c r="E194" s="55" t="n">
        <v>1.002</v>
      </c>
      <c r="F194" s="62" t="n">
        <v>45244</v>
      </c>
      <c r="G194" s="62" t="n"/>
      <c r="H194" s="62" t="n">
        <v>45251</v>
      </c>
      <c r="I194" s="62" t="n"/>
      <c r="J194" s="63">
        <f>IF(ISBLANK(F194:G194),,IF(COUNTA(F194)=0,G194,F194))</f>
        <v/>
      </c>
      <c r="K194" s="64">
        <f>IFERROR(__xludf.DUMMYFUNCTION("if(isblank(J194),,index(googlefinance(A194,K$2,J194-1),2,2))"),51.21)</f>
        <v/>
      </c>
      <c r="L194" s="65">
        <f>IF(ISBLANK(H194:I194),,IF(COUNTA(H194)=0,I194,H194))</f>
        <v/>
      </c>
      <c r="M194" s="66">
        <f>IFERROR(__xludf.DUMMYFUNCTION("if(isblank(L194),, index(googlefinance(A194,M$2,L194-1),2,2))"),55.09)</f>
        <v/>
      </c>
      <c r="N194" s="67">
        <f>IFERROR(__xludf.DUMMYFUNCTION("if(isblank(A194),,googlefinance(A194))"),69.36)</f>
        <v/>
      </c>
      <c r="O194" s="68">
        <f>IF(ISBLANK(J194),,IF(ISBLANK(L194),"Ongoing","Completed"))</f>
        <v/>
      </c>
      <c r="P194" s="68">
        <f>IF(ISBLANK(A194),,IF(AND(COUNTA(F194)=1,T194&gt;0),"Profit",IF(AND(COUNTA(G194)=1,T194&lt;0),"Profit","Loss")))</f>
        <v/>
      </c>
      <c r="Q194" s="53">
        <f>IF(ISBLANK(U194),,IF(P194="Profit",IF(T194&lt;0,U194*-T194,U194*T194),IF(T194&gt;0,U194*-T194,U194*T194)))</f>
        <v/>
      </c>
      <c r="R194" s="68" t="n"/>
      <c r="S194" s="69">
        <f>IF($Q194&gt;0, TRUE, FALSE)</f>
        <v/>
      </c>
      <c r="T194" s="68">
        <f>IF(ISBLANK(J194),,IF(ISBLANK(L194),N194-K194,M194-K194))</f>
        <v/>
      </c>
      <c r="U194" s="55">
        <f>IF(ISBLANK(J194),,ROUNDDOWN(U$1/K194,0))</f>
        <v/>
      </c>
    </row>
    <row r="195" hidden="1" ht="14" customHeight="1">
      <c r="A195" s="72" t="inlineStr">
        <is>
          <t>WMT</t>
        </is>
      </c>
      <c r="B195" s="70" t="n">
        <v>11</v>
      </c>
      <c r="C195" s="55" t="n">
        <v>33.94</v>
      </c>
      <c r="D195" s="55" t="n">
        <v>45.455</v>
      </c>
      <c r="E195" s="55" t="n">
        <v>1.243</v>
      </c>
      <c r="F195" s="62" t="n"/>
      <c r="G195" s="62" t="n">
        <v>45246</v>
      </c>
      <c r="H195" s="62" t="n"/>
      <c r="I195" s="62" t="n">
        <v>45273</v>
      </c>
      <c r="J195" s="63">
        <f>IF(ISBLANK(F195:G195),,IF(COUNTA(F195)=0,G195,F195))</f>
        <v/>
      </c>
      <c r="K195" s="64">
        <f>IFERROR(__xludf.DUMMYFUNCTION("if(isblank(J195),,index(googlefinance(A195,K$2,J195-1),2,2))"),169.78)</f>
        <v/>
      </c>
      <c r="L195" s="65">
        <f>IF(ISBLANK(H195:I195),,IF(COUNTA(H195)=0,I195,H195))</f>
        <v/>
      </c>
      <c r="M195" s="66">
        <f>IFERROR(__xludf.DUMMYFUNCTION("if(isblank(L195),, index(googlefinance(A195,M$2,L195-1),2,2))"),151.36)</f>
        <v/>
      </c>
      <c r="N195" s="67">
        <f>IFERROR(__xludf.DUMMYFUNCTION("if(isblank(A195),,googlefinance(A195))"),159.3)</f>
        <v/>
      </c>
      <c r="O195" s="68">
        <f>IF(ISBLANK(J195),,IF(ISBLANK(L195),"Ongoing","Completed"))</f>
        <v/>
      </c>
      <c r="P195" s="68">
        <f>IF(ISBLANK(A195),,IF(AND(COUNTA(F195)=1,T195&gt;0),"Profit",IF(AND(COUNTA(G195)=1,T195&lt;0),"Profit","Loss")))</f>
        <v/>
      </c>
      <c r="Q195" s="53">
        <f>IF(ISBLANK(U195),,IF(P195="Profit",IF(T195&lt;0,U195*-T195,U195*T195),IF(T195&gt;0,U195*-T195,U195*T195)))</f>
        <v/>
      </c>
      <c r="R195" s="68" t="n"/>
      <c r="S195" s="69">
        <f>IF($Q195&gt;0, TRUE, FALSE)</f>
        <v/>
      </c>
      <c r="T195" s="68">
        <f>IF(ISBLANK(J195),,IF(ISBLANK(L195),N195-K195,M195-K195))</f>
        <v/>
      </c>
      <c r="U195" s="55">
        <f>IF(ISBLANK(J195),,ROUNDDOWN(U$1/K195,0))</f>
        <v/>
      </c>
    </row>
    <row r="196" hidden="1" ht="14" customHeight="1">
      <c r="A196" s="72" t="inlineStr">
        <is>
          <t>MTCH</t>
        </is>
      </c>
      <c r="B196" s="70" t="n">
        <v>16</v>
      </c>
      <c r="C196" s="55" t="n">
        <v>123.335</v>
      </c>
      <c r="D196" s="55" t="n">
        <v>31.25</v>
      </c>
      <c r="E196" s="77" t="n">
        <v>1.201</v>
      </c>
      <c r="F196" s="69" t="n"/>
      <c r="G196" s="62" t="n">
        <v>45247</v>
      </c>
      <c r="H196" s="62" t="n"/>
      <c r="I196" s="62" t="n">
        <v>45268</v>
      </c>
      <c r="J196" s="63">
        <f>IF(ISBLANK(F196:G196),,IF(COUNTA(F196)=0,G196,F196))</f>
        <v/>
      </c>
      <c r="K196" s="64">
        <f>IFERROR(__xludf.DUMMYFUNCTION("if(isblank(J196),,index(googlefinance(A196,K$2,J196-1),2,2))"),31.58)</f>
        <v/>
      </c>
      <c r="L196" s="65">
        <f>IF(ISBLANK(H196:I196),,IF(COUNTA(H196)=0,I196,H196))</f>
        <v/>
      </c>
      <c r="M196" s="66">
        <f>IFERROR(__xludf.DUMMYFUNCTION("if(isblank(L196),, index(googlefinance(A196,M$2,L196-1),2,2))"),32.24)</f>
        <v/>
      </c>
      <c r="N196" s="67">
        <f>IFERROR(__xludf.DUMMYFUNCTION("if(isblank(A196),,googlefinance(A196))"),35.86)</f>
        <v/>
      </c>
      <c r="O196" s="68">
        <f>IF(ISBLANK(J196),,IF(ISBLANK(L196),"Ongoing","Completed"))</f>
        <v/>
      </c>
      <c r="P196" s="68">
        <f>IF(ISBLANK(A196),,IF(AND(COUNTA(F196)=1,T196&gt;0),"Profit",IF(AND(COUNTA(G196)=1,T196&lt;0),"Profit","Loss")))</f>
        <v/>
      </c>
      <c r="Q196" s="53">
        <f>IF(ISBLANK(U196),,IF(P196="Profit",IF(T196&lt;0,U196*-T196,U196*T196),IF(T196&gt;0,U196*-T196,U196*T196)))</f>
        <v/>
      </c>
      <c r="R196" s="68" t="n"/>
      <c r="S196" s="69">
        <f>IF($Q196&gt;0, TRUE, FALSE)</f>
        <v/>
      </c>
      <c r="T196" s="68">
        <f>IF(ISBLANK(J196),,IF(ISBLANK(L196),N196-K196,M196-K196))</f>
        <v/>
      </c>
      <c r="U196" s="55">
        <f>IF(ISBLANK(J196),,ROUNDDOWN(U$1/K196,0))</f>
        <v/>
      </c>
    </row>
    <row r="197" hidden="1" ht="14" customHeight="1">
      <c r="A197" s="72" t="inlineStr">
        <is>
          <t>AON</t>
        </is>
      </c>
      <c r="B197" s="70" t="n">
        <v>20</v>
      </c>
      <c r="C197" s="55" t="n">
        <v>287.44</v>
      </c>
      <c r="D197" s="55" t="n">
        <v>50</v>
      </c>
      <c r="E197" s="55" t="n">
        <v>2.171</v>
      </c>
      <c r="F197" s="62" t="n"/>
      <c r="G197" s="62" t="n">
        <v>45251</v>
      </c>
      <c r="H197" s="62" t="n"/>
      <c r="I197" s="62" t="n">
        <v>45252</v>
      </c>
      <c r="J197" s="63">
        <f>IF(ISBLANK(F197:G197),,IF(COUNTA(F197)=0,G197,F197))</f>
        <v/>
      </c>
      <c r="K197" s="64">
        <f>IFERROR(__xludf.DUMMYFUNCTION("if(isblank(J197),,index(googlefinance(A197,K$2,J197-1),2,2))"),331.2)</f>
        <v/>
      </c>
      <c r="L197" s="65">
        <f>IF(ISBLANK(H197:I197),,IF(COUNTA(H197)=0,I197,H197))</f>
        <v/>
      </c>
      <c r="M197" s="66">
        <f>IFERROR(__xludf.DUMMYFUNCTION("if(isblank(L197),, index(googlefinance(A197,M$2,L197-1),2,2))"),325.93)</f>
        <v/>
      </c>
      <c r="N197" s="67">
        <f>IFERROR(__xludf.DUMMYFUNCTION("if(isblank(A197),,googlefinance(A197))"),290.89)</f>
        <v/>
      </c>
      <c r="O197" s="68">
        <f>IF(ISBLANK(J197),,IF(ISBLANK(L197),"Ongoing","Completed"))</f>
        <v/>
      </c>
      <c r="P197" s="68">
        <f>IF(ISBLANK(A197),,IF(AND(COUNTA(F197)=1,T197&gt;0),"Profit",IF(AND(COUNTA(G197)=1,T197&lt;0),"Profit","Loss")))</f>
        <v/>
      </c>
      <c r="Q197" s="53">
        <f>IF(ISBLANK(U197),,IF(P197="Profit",IF(T197&lt;0,U197*-T197,U197*T197),IF(T197&gt;0,U197*-T197,U197*T197)))</f>
        <v/>
      </c>
      <c r="R197" s="68" t="n"/>
      <c r="S197" s="69">
        <f>IF($Q197&gt;0, TRUE, FALSE)</f>
        <v/>
      </c>
      <c r="T197" s="68">
        <f>IF(ISBLANK(J197),,IF(ISBLANK(L197),N197-K197,M197-K197))</f>
        <v/>
      </c>
      <c r="U197" s="55">
        <f>IF(ISBLANK(J197),,ROUNDDOWN(U$1/K197,0))</f>
        <v/>
      </c>
    </row>
    <row r="198" hidden="1" ht="14" customHeight="1">
      <c r="A198" s="72" t="inlineStr">
        <is>
          <t>ADSK</t>
        </is>
      </c>
      <c r="B198" s="70" t="n">
        <v>12</v>
      </c>
      <c r="C198" s="55" t="n">
        <v>37.58</v>
      </c>
      <c r="D198" s="55" t="n">
        <v>25</v>
      </c>
      <c r="E198" s="55" t="n">
        <v>1.139</v>
      </c>
      <c r="F198" s="62" t="n"/>
      <c r="G198" s="62" t="n">
        <v>45252</v>
      </c>
      <c r="H198" s="62" t="n"/>
      <c r="I198" s="62" t="n">
        <v>45259</v>
      </c>
      <c r="J198" s="63">
        <f>IF(ISBLANK(F198:G198),,IF(COUNTA(F198)=0,G198,F198))</f>
        <v/>
      </c>
      <c r="K198" s="64">
        <f>IFERROR(__xludf.DUMMYFUNCTION("if(isblank(J198),,index(googlefinance(A198,K$2,J198-1),2,2))"),217.67)</f>
        <v/>
      </c>
      <c r="L198" s="65">
        <f>IF(ISBLANK(H198:I198),,IF(COUNTA(H198)=0,I198,H198))</f>
        <v/>
      </c>
      <c r="M198" s="66">
        <f>IFERROR(__xludf.DUMMYFUNCTION("if(isblank(L198),, index(googlefinance(A198,M$2,L198-1),2,2))"),207.37)</f>
        <v/>
      </c>
      <c r="N198" s="67">
        <f>IFERROR(__xludf.DUMMYFUNCTION("if(isblank(A198),,googlefinance(A198))"),227.19)</f>
        <v/>
      </c>
      <c r="O198" s="68">
        <f>IF(ISBLANK(J198),,IF(ISBLANK(L198),"Ongoing","Completed"))</f>
        <v/>
      </c>
      <c r="P198" s="68">
        <f>IF(ISBLANK(A198),,IF(AND(COUNTA(F198)=1,T198&gt;0),"Profit",IF(AND(COUNTA(G198)=1,T198&lt;0),"Profit","Loss")))</f>
        <v/>
      </c>
      <c r="Q198" s="53">
        <f>IF(ISBLANK(U198),,IF(P198="Profit",IF(T198&lt;0,U198*-T198,U198*T198),IF(T198&gt;0,U198*-T198,U198*T198)))</f>
        <v/>
      </c>
      <c r="R198" s="68" t="n"/>
      <c r="S198" s="69">
        <f>IF($Q198&gt;0, TRUE, FALSE)</f>
        <v/>
      </c>
      <c r="T198" s="68">
        <f>IF(ISBLANK(J198),,IF(ISBLANK(L198),N198-K198,M198-K198))</f>
        <v/>
      </c>
      <c r="U198" s="55">
        <f>IF(ISBLANK(J198),,ROUNDDOWN(U$1/K198,0))</f>
        <v/>
      </c>
    </row>
    <row r="199" hidden="1" ht="14" customHeight="1">
      <c r="A199" s="81" t="inlineStr">
        <is>
          <t>HOLX</t>
        </is>
      </c>
      <c r="B199" s="82" t="n">
        <v>14</v>
      </c>
      <c r="C199" s="83" t="n">
        <v>150.26</v>
      </c>
      <c r="D199" s="84" t="n">
        <v>42.857</v>
      </c>
      <c r="E199" s="84" t="n">
        <v>1.987</v>
      </c>
      <c r="F199" s="62" t="n"/>
      <c r="G199" s="62" t="n">
        <v>45258</v>
      </c>
      <c r="H199" s="62" t="n"/>
      <c r="I199" s="62" t="n">
        <v>45260</v>
      </c>
      <c r="J199" s="63">
        <f>IF(ISBLANK(F199:G199),,IF(COUNTA(F199)=0,G199,F199))</f>
        <v/>
      </c>
      <c r="K199" s="64">
        <f>IFERROR(__xludf.DUMMYFUNCTION("if(isblank(J199),,index(googlefinance(A199,K$2,J199-1),2,2))"),71.53)</f>
        <v/>
      </c>
      <c r="L199" s="65">
        <f>IF(ISBLANK(H199:I199),,IF(COUNTA(H199)=0,I199,H199))</f>
        <v/>
      </c>
      <c r="M199" s="66">
        <f>IFERROR(__xludf.DUMMYFUNCTION("if(isblank(L199),, index(googlefinance(A199,M$2,L199-1),2,2))"),70.6)</f>
        <v/>
      </c>
      <c r="N199" s="67">
        <f>IFERROR(__xludf.DUMMYFUNCTION("if(isblank(A199),,googlefinance(A199))"),72.37)</f>
        <v/>
      </c>
      <c r="O199" s="68">
        <f>IF(ISBLANK(J199),,IF(ISBLANK(L199),"Ongoing","Completed"))</f>
        <v/>
      </c>
      <c r="P199" s="68">
        <f>IF(ISBLANK(A199),,IF(AND(COUNTA(F199)=1,T199&gt;0),"Profit",IF(AND(COUNTA(G199)=1,T199&lt;0),"Profit","Loss")))</f>
        <v/>
      </c>
      <c r="Q199" s="53">
        <f>IF(ISBLANK(U199),,IF(P199="Profit",IF(T199&lt;0,U199*-T199,U199*T199),IF(T199&gt;0,U199*-T199,U199*T199)))</f>
        <v/>
      </c>
      <c r="R199" s="68" t="n"/>
      <c r="S199" s="69">
        <f>IF($Q199&gt;0, TRUE, FALSE)</f>
        <v/>
      </c>
      <c r="T199" s="68">
        <f>IF(ISBLANK(J199),,IF(ISBLANK(L199),N199-K199,M199-K199))</f>
        <v/>
      </c>
      <c r="U199" s="55">
        <f>IF(ISBLANK(J199),,ROUNDDOWN(U$1/K199,0))</f>
        <v/>
      </c>
    </row>
    <row r="200" hidden="1" ht="14" customHeight="1">
      <c r="A200" s="85" t="inlineStr">
        <is>
          <t>AVGO</t>
        </is>
      </c>
      <c r="B200" s="82" t="n">
        <v>16</v>
      </c>
      <c r="C200" s="83" t="n">
        <v>122.3</v>
      </c>
      <c r="D200" s="84" t="n">
        <v>31.25</v>
      </c>
      <c r="E200" s="84" t="n">
        <v>1.533</v>
      </c>
      <c r="F200" s="84" t="n"/>
      <c r="G200" s="62" t="n">
        <v>45259</v>
      </c>
      <c r="H200" s="86" t="n"/>
      <c r="I200" s="62" t="n">
        <v>45268</v>
      </c>
      <c r="J200" s="63">
        <f>IF(ISBLANK(F200:G200),,IF(COUNTA(F200)=0,G200,F200))</f>
        <v/>
      </c>
      <c r="K200" s="64">
        <f>IFERROR(__xludf.DUMMYFUNCTION("if(isblank(J200),,index(googlefinance(A200,K$2,J200-1),2,2))"),946.35)</f>
        <v/>
      </c>
      <c r="L200" s="65">
        <f>IF(ISBLANK(H200:I200),,IF(COUNTA(H200)=0,I200,H200))</f>
        <v/>
      </c>
      <c r="M200" s="66">
        <f>IFERROR(__xludf.DUMMYFUNCTION("if(isblank(L200),, index(googlefinance(A200,M$2,L200-1),2,2))"),922.26)</f>
        <v/>
      </c>
      <c r="N200" s="67">
        <f>IFERROR(__xludf.DUMMYFUNCTION("if(isblank(A200),,googlefinance(A200))"),1058.58)</f>
        <v/>
      </c>
      <c r="O200" s="68">
        <f>IF(ISBLANK(J200),,IF(ISBLANK(L200),"Ongoing","Completed"))</f>
        <v/>
      </c>
      <c r="P200" s="68">
        <f>IF(ISBLANK(A200),,IF(AND(COUNTA(F200)=1,T200&gt;0),"Profit",IF(AND(COUNTA(G200)=1,T200&lt;0),"Profit","Loss")))</f>
        <v/>
      </c>
      <c r="Q200" s="53">
        <f>IF(ISBLANK(U200),,IF(P200="Profit",IF(T200&lt;0,U200*-T200,U200*T200),IF(T200&gt;0,U200*-T200,U200*T200)))</f>
        <v/>
      </c>
      <c r="R200" s="68" t="n"/>
      <c r="S200" s="69">
        <f>IF($Q200&gt;0, TRUE, FALSE)</f>
        <v/>
      </c>
      <c r="T200" s="68">
        <f>IF(ISBLANK(J200),,IF(ISBLANK(L200),N200-K200,M200-K200))</f>
        <v/>
      </c>
      <c r="U200" s="55">
        <f>IF(ISBLANK(J200),,ROUNDDOWN(U$1/K200,0))</f>
        <v/>
      </c>
    </row>
    <row r="201" hidden="1" ht="14" customHeight="1">
      <c r="A201" s="85" t="inlineStr">
        <is>
          <t>GILD</t>
        </is>
      </c>
      <c r="B201" s="82" t="n">
        <v>7</v>
      </c>
      <c r="C201" s="83" t="n">
        <v>129.99</v>
      </c>
      <c r="D201" s="84" t="n">
        <v>71.429</v>
      </c>
      <c r="E201" s="84" t="n">
        <v>5.49</v>
      </c>
      <c r="F201" s="62" t="n">
        <v>45260</v>
      </c>
      <c r="G201" s="87" t="n"/>
      <c r="H201" s="62" t="n">
        <v>45278</v>
      </c>
      <c r="I201" s="86" t="n"/>
      <c r="J201" s="63">
        <f>IF(ISBLANK(F201:G201),,IF(COUNTA(F201)=0,G201,F201))</f>
        <v/>
      </c>
      <c r="K201" s="64">
        <f>IFERROR(__xludf.DUMMYFUNCTION("if(isblank(J201),,index(googlefinance(A201,K$2,J201-1),2,2))"),75.23)</f>
        <v/>
      </c>
      <c r="L201" s="65">
        <f>IF(ISBLANK(H201:I201),,IF(COUNTA(H201)=0,I201,H201))</f>
        <v/>
      </c>
      <c r="M201" s="66">
        <f>IFERROR(__xludf.DUMMYFUNCTION("if(isblank(L201),, index(googlefinance(A201,M$2,L201-1),2,2))"),79.5)</f>
        <v/>
      </c>
      <c r="N201" s="67">
        <f>IFERROR(__xludf.DUMMYFUNCTION("if(isblank(A201),,googlefinance(A201))"),83.48)</f>
        <v/>
      </c>
      <c r="O201" s="68">
        <f>IF(ISBLANK(J201),,IF(ISBLANK(L201),"Ongoing","Completed"))</f>
        <v/>
      </c>
      <c r="P201" s="68">
        <f>IF(ISBLANK(A201),,IF(AND(COUNTA(F201)=1,T201&gt;0),"Profit",IF(AND(COUNTA(G201)=1,T201&lt;0),"Profit","Loss")))</f>
        <v/>
      </c>
      <c r="Q201" s="53">
        <f>IF(ISBLANK(U201),,IF(P201="Profit",IF(T201&lt;0,U201*-T201,U201*T201),IF(T201&gt;0,U201*-T201,U201*T201)))</f>
        <v/>
      </c>
      <c r="R201" s="68" t="n"/>
      <c r="S201" s="69">
        <f>IF($Q201&gt;0, TRUE, FALSE)</f>
        <v/>
      </c>
      <c r="T201" s="68">
        <f>IF(ISBLANK(J201),,IF(ISBLANK(L201),N201-K201,M201-K201))</f>
        <v/>
      </c>
      <c r="U201" s="55">
        <f>IF(ISBLANK(J201),,ROUNDDOWN(U$1/K201,0))</f>
        <v/>
      </c>
    </row>
    <row r="202" hidden="1" ht="14" customHeight="1">
      <c r="A202" s="85" t="inlineStr">
        <is>
          <t>HRL</t>
        </is>
      </c>
      <c r="B202" s="82" t="n">
        <v>13</v>
      </c>
      <c r="C202" s="84" t="n">
        <v>52.32</v>
      </c>
      <c r="D202" s="84" t="n">
        <v>53.846</v>
      </c>
      <c r="E202" s="84" t="n">
        <v>1.757</v>
      </c>
      <c r="F202" s="62" t="n">
        <v>45261</v>
      </c>
      <c r="G202" s="86" t="n"/>
      <c r="H202" s="62" t="n">
        <v>45268</v>
      </c>
      <c r="I202" s="86" t="n"/>
      <c r="J202" s="63">
        <f>IF(ISBLANK(F202:G202),,IF(COUNTA(F202)=0,G202,F202))</f>
        <v/>
      </c>
      <c r="K202" s="64">
        <f>IFERROR(__xludf.DUMMYFUNCTION("if(isblank(J202),,index(googlefinance(A202,K$2,J202-1),2,2))"),30.59)</f>
        <v/>
      </c>
      <c r="L202" s="65">
        <f>IF(ISBLANK(H202:I202),,IF(COUNTA(H202)=0,I202,H202))</f>
        <v/>
      </c>
      <c r="M202" s="66">
        <f>IFERROR(__xludf.DUMMYFUNCTION("if(isblank(L202),, index(googlefinance(A202,M$2,L202-1),2,2))"),31.85)</f>
        <v/>
      </c>
      <c r="N202" s="67">
        <f>IFERROR(__xludf.DUMMYFUNCTION("if(isblank(A202),,googlefinance(A202))"),32.6)</f>
        <v/>
      </c>
      <c r="O202" s="68">
        <f>IF(ISBLANK(J202),,IF(ISBLANK(L202),"Ongoing","Completed"))</f>
        <v/>
      </c>
      <c r="P202" s="68">
        <f>IF(ISBLANK(A202),,IF(AND(COUNTA(F202)=1,T202&gt;0),"Profit",IF(AND(COUNTA(G202)=1,T202&lt;0),"Profit","Loss")))</f>
        <v/>
      </c>
      <c r="Q202" s="53">
        <f>IF(ISBLANK(U202),,IF(P202="Profit",IF(T202&lt;0,U202*-T202,U202*T202),IF(T202&gt;0,U202*-T202,U202*T202)))</f>
        <v/>
      </c>
      <c r="R202" s="68" t="n"/>
      <c r="S202" s="69">
        <f>IF($Q202&gt;0, TRUE, FALSE)</f>
        <v/>
      </c>
      <c r="T202" s="68">
        <f>IF(ISBLANK(J202),,IF(ISBLANK(L202),N202-K202,M202-K202))</f>
        <v/>
      </c>
      <c r="U202" s="55">
        <f>IF(ISBLANK(J202),,ROUNDDOWN(U$1/K202,0))</f>
        <v/>
      </c>
    </row>
    <row r="203" hidden="1" ht="14" customHeight="1">
      <c r="A203" s="72" t="inlineStr">
        <is>
          <t>ALK</t>
        </is>
      </c>
      <c r="B203" s="70" t="n">
        <v>12</v>
      </c>
      <c r="C203" s="55" t="n">
        <v>282.81</v>
      </c>
      <c r="D203" s="55" t="n">
        <v>50</v>
      </c>
      <c r="E203" s="55" t="n">
        <v>2.731</v>
      </c>
      <c r="F203" s="86" t="n"/>
      <c r="G203" s="62" t="n">
        <v>45264</v>
      </c>
      <c r="H203" s="86" t="n"/>
      <c r="I203" s="62" t="n">
        <v>45272</v>
      </c>
      <c r="J203" s="63">
        <f>IF(ISBLANK(F203:G203),,IF(COUNTA(F203)=0,G203,F203))</f>
        <v/>
      </c>
      <c r="K203" s="64">
        <f>IFERROR(__xludf.DUMMYFUNCTION("if(isblank(J203),,index(googlefinance(A203,K$2,J203-1),2,2))"),34.08)</f>
        <v/>
      </c>
      <c r="L203" s="65">
        <f>IF(ISBLANK(H203:I203),,IF(COUNTA(H203)=0,I203,H203))</f>
        <v/>
      </c>
      <c r="M203" s="66">
        <f>IFERROR(__xludf.DUMMYFUNCTION("if(isblank(L203),, index(googlefinance(A203,M$2,L203-1),2,2))"),35.75)</f>
        <v/>
      </c>
      <c r="N203" s="67">
        <f>IFERROR(__xludf.DUMMYFUNCTION("if(isblank(A203),,googlefinance(A203))"),36.42)</f>
        <v/>
      </c>
      <c r="O203" s="68">
        <f>IF(ISBLANK(J203),,IF(ISBLANK(L203),"Ongoing","Completed"))</f>
        <v/>
      </c>
      <c r="P203" s="68">
        <f>IF(ISBLANK(A203),,IF(AND(COUNTA(F203)=1,T203&gt;0),"Profit",IF(AND(COUNTA(G203)=1,T203&lt;0),"Profit","Loss")))</f>
        <v/>
      </c>
      <c r="Q203" s="53">
        <f>IF(ISBLANK(U203),,IF(P203="Profit",IF(T203&lt;0,U203*-T203,U203*T203),IF(T203&gt;0,U203*-T203,U203*T203)))</f>
        <v/>
      </c>
      <c r="R203" s="68" t="n"/>
      <c r="S203" s="69">
        <f>IF($Q203&gt;0, TRUE, FALSE)</f>
        <v/>
      </c>
      <c r="T203" s="68">
        <f>IF(ISBLANK(J203),,IF(ISBLANK(L203),N203-K203,M203-K203))</f>
        <v/>
      </c>
      <c r="U203" s="55">
        <f>IF(ISBLANK(J203),,ROUNDDOWN(U$1/K203,0))</f>
        <v/>
      </c>
    </row>
    <row r="204" hidden="1" ht="14" customHeight="1">
      <c r="A204" s="72" t="inlineStr">
        <is>
          <t>PEG</t>
        </is>
      </c>
      <c r="B204" s="70" t="n">
        <v>11</v>
      </c>
      <c r="C204" s="55" t="n">
        <v>88.3</v>
      </c>
      <c r="D204" s="55" t="n">
        <v>36.364</v>
      </c>
      <c r="E204" s="68" t="n">
        <v>1.912</v>
      </c>
      <c r="F204" s="69" t="n"/>
      <c r="G204" s="62" t="n">
        <v>45264</v>
      </c>
      <c r="H204" s="86" t="n"/>
      <c r="I204" s="62" t="n">
        <v>45273</v>
      </c>
      <c r="J204" s="63">
        <f>IF(ISBLANK(F204:G204),,IF(COUNTA(F204)=0,G204,F204))</f>
        <v/>
      </c>
      <c r="K204" s="64">
        <f>IFERROR(__xludf.DUMMYFUNCTION("if(isblank(J204),,index(googlefinance(A204,K$2,J204-1),2,2))"),63.28)</f>
        <v/>
      </c>
      <c r="L204" s="65">
        <f>IF(ISBLANK(H204:I204),,IF(COUNTA(H204)=0,I204,H204))</f>
        <v/>
      </c>
      <c r="M204" s="66">
        <f>IFERROR(__xludf.DUMMYFUNCTION("if(isblank(L204),, index(googlefinance(A204,M$2,L204-1),2,2))"),62.49)</f>
        <v/>
      </c>
      <c r="N204" s="67">
        <f>IFERROR(__xludf.DUMMYFUNCTION("if(isblank(A204),,googlefinance(A204))"),61.81)</f>
        <v/>
      </c>
      <c r="O204" s="68">
        <f>IF(ISBLANK(J204),,IF(ISBLANK(L204),"Ongoing","Completed"))</f>
        <v/>
      </c>
      <c r="P204" s="68">
        <f>IF(ISBLANK(A204),,IF(AND(COUNTA(F204)=1,T204&gt;0),"Profit",IF(AND(COUNTA(G204)=1,T204&lt;0),"Profit","Loss")))</f>
        <v/>
      </c>
      <c r="Q204" s="53">
        <f>IF(ISBLANK(U204),,IF(P204="Profit",IF(T204&lt;0,U204*-T204,U204*T204),IF(T204&gt;0,U204*-T204,U204*T204)))</f>
        <v/>
      </c>
      <c r="R204" s="68" t="n"/>
      <c r="S204" s="69">
        <f>IF($Q204&gt;0, TRUE, FALSE)</f>
        <v/>
      </c>
      <c r="T204" s="68">
        <f>IF(ISBLANK(J204),,IF(ISBLANK(L204),N204-K204,M204-K204))</f>
        <v/>
      </c>
      <c r="U204" s="55">
        <f>IF(ISBLANK(J204),,ROUNDDOWN(U$1/K204,0))</f>
        <v/>
      </c>
    </row>
    <row r="205" hidden="1" ht="14" customHeight="1">
      <c r="A205" s="72" t="inlineStr">
        <is>
          <t>PM</t>
        </is>
      </c>
      <c r="B205" s="70" t="n">
        <v>13</v>
      </c>
      <c r="C205" s="55" t="n">
        <v>120.2</v>
      </c>
      <c r="D205" s="55" t="n">
        <v>30.769</v>
      </c>
      <c r="E205" s="55" t="n">
        <v>2</v>
      </c>
      <c r="F205" s="86" t="n"/>
      <c r="G205" s="62" t="n">
        <v>45264</v>
      </c>
      <c r="H205" s="86" t="n"/>
      <c r="I205" s="62" t="n">
        <v>45271</v>
      </c>
      <c r="J205" s="63">
        <f>IF(ISBLANK(F205:G205),,IF(COUNTA(F205)=0,G205,F205))</f>
        <v/>
      </c>
      <c r="K205" s="64">
        <f>IFERROR(__xludf.DUMMYFUNCTION("if(isblank(J205),,index(googlefinance(A205,K$2,J205-1),2,2))"),92.93)</f>
        <v/>
      </c>
      <c r="L205" s="65">
        <f>IF(ISBLANK(H205:I205),,IF(COUNTA(H205)=0,I205,H205))</f>
        <v/>
      </c>
      <c r="M205" s="66">
        <f>IFERROR(__xludf.DUMMYFUNCTION("if(isblank(L205),, index(googlefinance(A205,M$2,L205-1),2,2))"),92.99)</f>
        <v/>
      </c>
      <c r="N205" s="67">
        <f>IFERROR(__xludf.DUMMYFUNCTION("if(isblank(A205),,googlefinance(A205))"),95.42)</f>
        <v/>
      </c>
      <c r="O205" s="68">
        <f>IF(ISBLANK(J205),,IF(ISBLANK(L205),"Ongoing","Completed"))</f>
        <v/>
      </c>
      <c r="P205" s="68">
        <f>IF(ISBLANK(A205),,IF(AND(COUNTA(F205)=1,T205&gt;0),"Profit",IF(AND(COUNTA(G205)=1,T205&lt;0),"Profit","Loss")))</f>
        <v/>
      </c>
      <c r="Q205" s="53">
        <f>IF(ISBLANK(U205),,IF(P205="Profit",IF(T205&lt;0,U205*-T205,U205*T205),IF(T205&gt;0,U205*-T205,U205*T205)))</f>
        <v/>
      </c>
      <c r="R205" s="68" t="n"/>
      <c r="S205" s="69">
        <f>IF($Q205&gt;0, TRUE, FALSE)</f>
        <v/>
      </c>
      <c r="T205" s="68">
        <f>IF(ISBLANK(J205),,IF(ISBLANK(L205),N205-K205,M205-K205))</f>
        <v/>
      </c>
      <c r="U205" s="55">
        <f>IF(ISBLANK(J205),,ROUNDDOWN(U$1/K205,0))</f>
        <v/>
      </c>
    </row>
    <row r="206" hidden="1" ht="14" customHeight="1">
      <c r="A206" s="85" t="inlineStr">
        <is>
          <t>BG</t>
        </is>
      </c>
      <c r="B206" s="82" t="n">
        <v>6</v>
      </c>
      <c r="C206" s="84" t="n">
        <v>5.51</v>
      </c>
      <c r="D206" s="84" t="n">
        <v>16.667</v>
      </c>
      <c r="E206" s="84" t="n">
        <v>1.038</v>
      </c>
      <c r="F206" s="87" t="n"/>
      <c r="G206" s="62" t="n">
        <v>45265</v>
      </c>
      <c r="H206" s="86" t="n"/>
      <c r="I206" s="62" t="n">
        <v>45279</v>
      </c>
      <c r="J206" s="63">
        <f>IF(ISBLANK(F206:G206),,IF(COUNTA(F206)=0,G206,F206))</f>
        <v/>
      </c>
      <c r="K206" s="64">
        <f>IFERROR(__xludf.DUMMYFUNCTION("if(isblank(J206),,index(googlefinance(A206,K$2,J206-1),2,2))"),107.74)</f>
        <v/>
      </c>
      <c r="L206" s="65">
        <f>IF(ISBLANK(H206:I206),,IF(COUNTA(H206)=0,I206,H206))</f>
        <v/>
      </c>
      <c r="M206" s="66">
        <f>IFERROR(__xludf.DUMMYFUNCTION("if(isblank(L206),, index(googlefinance(A206,M$2,L206-1),2,2))"),103.73)</f>
        <v/>
      </c>
      <c r="N206" s="67">
        <f>IFERROR(__xludf.DUMMYFUNCTION("if(isblank(A206),,googlefinance(A206))"),100.27)</f>
        <v/>
      </c>
      <c r="O206" s="68">
        <f>IF(ISBLANK(J206),,IF(ISBLANK(L206),"Ongoing","Completed"))</f>
        <v/>
      </c>
      <c r="P206" s="68">
        <f>IF(ISBLANK(A206),,IF(AND(COUNTA(F206)=1,T206&gt;0),"Profit",IF(AND(COUNTA(G206)=1,T206&lt;0),"Profit","Loss")))</f>
        <v/>
      </c>
      <c r="Q206" s="53">
        <f>IF(ISBLANK(U206),,IF(P206="Profit",IF(T206&lt;0,U206*-T206,U206*T206),IF(T206&gt;0,U206*-T206,U206*T206)))</f>
        <v/>
      </c>
      <c r="R206" s="68" t="n"/>
      <c r="S206" s="69">
        <f>IF($Q206&gt;0, TRUE, FALSE)</f>
        <v/>
      </c>
      <c r="T206" s="68">
        <f>IF(ISBLANK(J206),,IF(ISBLANK(L206),N206-K206,M206-K206))</f>
        <v/>
      </c>
      <c r="U206" s="55">
        <f>IF(ISBLANK(J206),,ROUNDDOWN(U$1/K206,0))</f>
        <v/>
      </c>
    </row>
    <row r="207" hidden="1" ht="14" customHeight="1">
      <c r="A207" s="85" t="inlineStr">
        <is>
          <t>KMB</t>
        </is>
      </c>
      <c r="B207" s="82" t="n">
        <v>7</v>
      </c>
      <c r="C207" s="84" t="n">
        <v>67.76000000000001</v>
      </c>
      <c r="D207" s="84" t="n">
        <v>42.857</v>
      </c>
      <c r="E207" s="84" t="n">
        <v>2.524</v>
      </c>
      <c r="F207" s="87" t="n"/>
      <c r="G207" s="62" t="n">
        <v>45265</v>
      </c>
      <c r="H207" s="86" t="n"/>
      <c r="I207" s="62" t="n">
        <v>45272</v>
      </c>
      <c r="J207" s="63">
        <f>IF(ISBLANK(F207:G207),,IF(COUNTA(F207)=0,G207,F207))</f>
        <v/>
      </c>
      <c r="K207" s="64">
        <f>IFERROR(__xludf.DUMMYFUNCTION("if(isblank(J207),,index(googlefinance(A207,K$2,J207-1),2,2))"),124.17)</f>
        <v/>
      </c>
      <c r="L207" s="65">
        <f>IF(ISBLANK(H207:I207),,IF(COUNTA(H207)=0,I207,H207))</f>
        <v/>
      </c>
      <c r="M207" s="66">
        <f>IFERROR(__xludf.DUMMYFUNCTION("if(isblank(L207),, index(googlefinance(A207,M$2,L207-1),2,2))"),120.97)</f>
        <v/>
      </c>
      <c r="N207" s="67">
        <f>IFERROR(__xludf.DUMMYFUNCTION("if(isblank(A207),,googlefinance(A207))"),121.74)</f>
        <v/>
      </c>
      <c r="O207" s="68">
        <f>IF(ISBLANK(J207),,IF(ISBLANK(L207),"Ongoing","Completed"))</f>
        <v/>
      </c>
      <c r="P207" s="68">
        <f>IF(ISBLANK(A207),,IF(AND(COUNTA(F207)=1,T207&gt;0),"Profit",IF(AND(COUNTA(G207)=1,T207&lt;0),"Profit","Loss")))</f>
        <v/>
      </c>
      <c r="Q207" s="53">
        <f>IF(ISBLANK(U207),,IF(P207="Profit",IF(T207&lt;0,U207*-T207,U207*T207),IF(T207&gt;0,U207*-T207,U207*T207)))</f>
        <v/>
      </c>
      <c r="R207" s="68" t="n"/>
      <c r="S207" s="69">
        <f>IF($Q207&gt;0, TRUE, FALSE)</f>
        <v/>
      </c>
      <c r="T207" s="68">
        <f>IF(ISBLANK(J207),,IF(ISBLANK(L207),N207-K207,M207-K207))</f>
        <v/>
      </c>
      <c r="U207" s="55">
        <f>IF(ISBLANK(J207),,ROUNDDOWN(U$1/K207,0))</f>
        <v/>
      </c>
    </row>
    <row r="208" hidden="1" ht="14" customHeight="1">
      <c r="A208" s="85" t="inlineStr">
        <is>
          <t>NWSA</t>
        </is>
      </c>
      <c r="B208" s="82" t="n">
        <v>7</v>
      </c>
      <c r="C208" s="84" t="n">
        <v>226.58</v>
      </c>
      <c r="D208" s="84" t="n">
        <v>28.571</v>
      </c>
      <c r="E208" s="84" t="n">
        <v>3.959</v>
      </c>
      <c r="F208" s="87" t="n"/>
      <c r="G208" s="62" t="n">
        <v>45265</v>
      </c>
      <c r="H208" s="86" t="n"/>
      <c r="I208" s="62" t="n">
        <v>45271</v>
      </c>
      <c r="J208" s="63">
        <f>IF(ISBLANK(F208:G208),,IF(COUNTA(F208)=0,G208,F208))</f>
        <v/>
      </c>
      <c r="K208" s="64">
        <f>IFERROR(__xludf.DUMMYFUNCTION("if(isblank(J208),,index(googlefinance(A208,K$2,J208-1),2,2))"),22.06)</f>
        <v/>
      </c>
      <c r="L208" s="65">
        <f>IF(ISBLANK(H208:I208),,IF(COUNTA(H208)=0,I208,H208))</f>
        <v/>
      </c>
      <c r="M208" s="66">
        <f>IFERROR(__xludf.DUMMYFUNCTION("if(isblank(L208),, index(googlefinance(A208,M$2,L208-1),2,2))"),22.07)</f>
        <v/>
      </c>
      <c r="N208" s="67">
        <f>IFERROR(__xludf.DUMMYFUNCTION("if(isblank(A208),,googlefinance(A208))"),24.3)</f>
        <v/>
      </c>
      <c r="O208" s="68">
        <f>IF(ISBLANK(J208),,IF(ISBLANK(L208),"Ongoing","Completed"))</f>
        <v/>
      </c>
      <c r="P208" s="68">
        <f>IF(ISBLANK(A208),,IF(AND(COUNTA(F208)=1,T208&gt;0),"Profit",IF(AND(COUNTA(G208)=1,T208&lt;0),"Profit","Loss")))</f>
        <v/>
      </c>
      <c r="Q208" s="53">
        <f>IF(ISBLANK(U208),,IF(P208="Profit",IF(T208&lt;0,U208*-T208,U208*T208),IF(T208&gt;0,U208*-T208,U208*T208)))</f>
        <v/>
      </c>
      <c r="R208" s="68" t="n"/>
      <c r="S208" s="69">
        <f>IF($Q208&gt;0, TRUE, FALSE)</f>
        <v/>
      </c>
      <c r="T208" s="68">
        <f>IF(ISBLANK(J208),,IF(ISBLANK(L208),N208-K208,M208-K208))</f>
        <v/>
      </c>
      <c r="U208" s="55">
        <f>IF(ISBLANK(J208),,ROUNDDOWN(U$1/K208,0))</f>
        <v/>
      </c>
    </row>
    <row r="209" hidden="1" ht="14" customHeight="1">
      <c r="A209" s="85" t="inlineStr">
        <is>
          <t>CDNS</t>
        </is>
      </c>
      <c r="B209" s="82" t="n">
        <v>12</v>
      </c>
      <c r="C209" s="84" t="n">
        <v>96.95999999999999</v>
      </c>
      <c r="D209" s="84" t="n">
        <v>41.667</v>
      </c>
      <c r="E209" s="83" t="n">
        <v>1.582</v>
      </c>
      <c r="F209" s="69" t="n"/>
      <c r="G209" s="62" t="n">
        <v>45266</v>
      </c>
      <c r="H209" s="86" t="n"/>
      <c r="I209" s="62" t="n">
        <v>45271</v>
      </c>
      <c r="J209" s="63">
        <f>IF(ISBLANK(F209:G209),,IF(COUNTA(F209)=0,G209,F209))</f>
        <v/>
      </c>
      <c r="K209" s="64">
        <f>IFERROR(__xludf.DUMMYFUNCTION("if(isblank(J209),,index(googlefinance(A209,K$2,J209-1),2,2))"),262.18)</f>
        <v/>
      </c>
      <c r="L209" s="65">
        <f>IF(ISBLANK(H209:I209),,IF(COUNTA(H209)=0,I209,H209))</f>
        <v/>
      </c>
      <c r="M209" s="66">
        <f>IFERROR(__xludf.DUMMYFUNCTION("if(isblank(L209),, index(googlefinance(A209,M$2,L209-1),2,2))"),268.75)</f>
        <v/>
      </c>
      <c r="N209" s="67">
        <f>IFERROR(__xludf.DUMMYFUNCTION("if(isblank(A209),,googlefinance(A209))"),257.28)</f>
        <v/>
      </c>
      <c r="O209" s="68">
        <f>IF(ISBLANK(J209),,IF(ISBLANK(L209),"Ongoing","Completed"))</f>
        <v/>
      </c>
      <c r="P209" s="68">
        <f>IF(ISBLANK(A209),,IF(AND(COUNTA(F209)=1,T209&gt;0),"Profit",IF(AND(COUNTA(G209)=1,T209&lt;0),"Profit","Loss")))</f>
        <v/>
      </c>
      <c r="Q209" s="53">
        <f>IF(ISBLANK(U209),,IF(P209="Profit",IF(T209&lt;0,U209*-T209,U209*T209),IF(T209&gt;0,U209*-T209,U209*T209)))</f>
        <v/>
      </c>
      <c r="R209" s="68" t="n"/>
      <c r="S209" s="69">
        <f>IF($Q209&gt;0, TRUE, FALSE)</f>
        <v/>
      </c>
      <c r="T209" s="68">
        <f>IF(ISBLANK(J209),,IF(ISBLANK(L209),N209-K209,M209-K209))</f>
        <v/>
      </c>
      <c r="U209" s="55">
        <f>IF(ISBLANK(J209),,ROUNDDOWN(U$1/K209,0))</f>
        <v/>
      </c>
    </row>
    <row r="210" hidden="1" ht="14" customHeight="1">
      <c r="A210" s="85" t="inlineStr">
        <is>
          <t>NWS</t>
        </is>
      </c>
      <c r="B210" s="82" t="n">
        <v>10</v>
      </c>
      <c r="C210" s="84" t="n">
        <v>144.06</v>
      </c>
      <c r="D210" s="84" t="n">
        <v>10</v>
      </c>
      <c r="E210" s="84" t="n">
        <v>1.788</v>
      </c>
      <c r="F210" s="87" t="n"/>
      <c r="G210" s="62" t="n">
        <v>45266</v>
      </c>
      <c r="H210" s="86" t="n"/>
      <c r="I210" s="62" t="n">
        <v>45271</v>
      </c>
      <c r="J210" s="63">
        <f>IF(ISBLANK(F210:G210),,IF(COUNTA(F210)=0,G210,F210))</f>
        <v/>
      </c>
      <c r="K210" s="64">
        <f>IFERROR(__xludf.DUMMYFUNCTION("if(isblank(J210),,index(googlefinance(A210,K$2,J210-1),2,2))"),22.72)</f>
        <v/>
      </c>
      <c r="L210" s="65">
        <f>IF(ISBLANK(H210:I210),,IF(COUNTA(H210)=0,I210,H210))</f>
        <v/>
      </c>
      <c r="M210" s="66">
        <f>IFERROR(__xludf.DUMMYFUNCTION("if(isblank(L210),, index(googlefinance(A210,M$2,L210-1),2,2))"),23.1)</f>
        <v/>
      </c>
      <c r="N210" s="67">
        <f>IFERROR(__xludf.DUMMYFUNCTION("if(isblank(A210),,googlefinance(A210))"),25.48)</f>
        <v/>
      </c>
      <c r="O210" s="68">
        <f>IF(ISBLANK(J210),,IF(ISBLANK(L210),"Ongoing","Completed"))</f>
        <v/>
      </c>
      <c r="P210" s="68">
        <f>IF(ISBLANK(A210),,IF(AND(COUNTA(F210)=1,T210&gt;0),"Profit",IF(AND(COUNTA(G210)=1,T210&lt;0),"Profit","Loss")))</f>
        <v/>
      </c>
      <c r="Q210" s="53">
        <f>IF(ISBLANK(U210),,IF(P210="Profit",IF(T210&lt;0,U210*-T210,U210*T210),IF(T210&gt;0,U210*-T210,U210*T210)))</f>
        <v/>
      </c>
      <c r="R210" s="68" t="n"/>
      <c r="S210" s="69">
        <f>IF($Q210&gt;0, TRUE, FALSE)</f>
        <v/>
      </c>
      <c r="T210" s="68">
        <f>IF(ISBLANK(J210),,IF(ISBLANK(L210),N210-K210,M210-K210))</f>
        <v/>
      </c>
      <c r="U210" s="55">
        <f>IF(ISBLANK(J210),,ROUNDDOWN(U$1/K210,0))</f>
        <v/>
      </c>
    </row>
    <row r="211" hidden="1" ht="14" customHeight="1">
      <c r="A211" s="85" t="inlineStr">
        <is>
          <t>WMB</t>
        </is>
      </c>
      <c r="B211" s="82" t="n">
        <v>11</v>
      </c>
      <c r="C211" s="84" t="n">
        <v>429.66</v>
      </c>
      <c r="D211" s="84" t="n">
        <v>45.455</v>
      </c>
      <c r="E211" s="84" t="n">
        <v>3.425</v>
      </c>
      <c r="F211" s="87" t="n"/>
      <c r="G211" s="62" t="n">
        <v>45266</v>
      </c>
      <c r="H211" s="86" t="n"/>
      <c r="I211" s="62" t="n">
        <v>45282</v>
      </c>
      <c r="J211" s="63">
        <f>IF(ISBLANK(F211:G211),,IF(COUNTA(F211)=0,G211,F211))</f>
        <v/>
      </c>
      <c r="K211" s="64">
        <f>IFERROR(__xludf.DUMMYFUNCTION("if(isblank(J211),,index(googlefinance(A211,K$2,J211-1),2,2))"),36.26)</f>
        <v/>
      </c>
      <c r="L211" s="65">
        <f>IF(ISBLANK(H211:I211),,IF(COUNTA(H211)=0,I211,H211))</f>
        <v/>
      </c>
      <c r="M211" s="66">
        <f>IFERROR(__xludf.DUMMYFUNCTION("if(isblank(L211),, index(googlefinance(A211,M$2,L211-1),2,2))"),34.97)</f>
        <v/>
      </c>
      <c r="N211" s="67">
        <f>IFERROR(__xludf.DUMMYFUNCTION("if(isblank(A211),,googlefinance(A211))"),36.31)</f>
        <v/>
      </c>
      <c r="O211" s="68">
        <f>IF(ISBLANK(J211),,IF(ISBLANK(L211),"Ongoing","Completed"))</f>
        <v/>
      </c>
      <c r="P211" s="68">
        <f>IF(ISBLANK(A211),,IF(AND(COUNTA(F211)=1,T211&gt;0),"Profit",IF(AND(COUNTA(G211)=1,T211&lt;0),"Profit","Loss")))</f>
        <v/>
      </c>
      <c r="Q211" s="53">
        <f>IF(ISBLANK(U211),,IF(P211="Profit",IF(T211&lt;0,U211*-T211,U211*T211),IF(T211&gt;0,U211*-T211,U211*T211)))</f>
        <v/>
      </c>
      <c r="R211" s="68" t="n"/>
      <c r="S211" s="69">
        <f>IF($Q211&gt;0, TRUE, FALSE)</f>
        <v/>
      </c>
      <c r="T211" s="68">
        <f>IF(ISBLANK(J211),,IF(ISBLANK(L211),N211-K211,M211-K211))</f>
        <v/>
      </c>
      <c r="U211" s="55">
        <f>IF(ISBLANK(J211),,ROUNDDOWN(U$1/K211,0))</f>
        <v/>
      </c>
    </row>
    <row r="212" hidden="1" ht="14" customHeight="1">
      <c r="A212" s="85" t="inlineStr">
        <is>
          <t>PSX</t>
        </is>
      </c>
      <c r="B212" s="82" t="n">
        <v>16</v>
      </c>
      <c r="C212" s="84" t="n">
        <v>389.78</v>
      </c>
      <c r="D212" s="84" t="n">
        <v>43.75</v>
      </c>
      <c r="E212" s="84" t="n">
        <v>2.145</v>
      </c>
      <c r="F212" s="87" t="n"/>
      <c r="G212" s="62" t="n">
        <v>45268</v>
      </c>
      <c r="H212" s="86" t="n"/>
      <c r="I212" s="62" t="n">
        <v>45273</v>
      </c>
      <c r="J212" s="63">
        <f>IF(ISBLANK(F212:G212),,IF(COUNTA(F212)=0,G212,F212))</f>
        <v/>
      </c>
      <c r="K212" s="64">
        <f>IFERROR(__xludf.DUMMYFUNCTION("if(isblank(J212),,index(googlefinance(A212,K$2,J212-1),2,2))"),124.62)</f>
        <v/>
      </c>
      <c r="L212" s="65">
        <f>IF(ISBLANK(H212:I212),,IF(COUNTA(H212)=0,I212,H212))</f>
        <v/>
      </c>
      <c r="M212" s="66">
        <f>IFERROR(__xludf.DUMMYFUNCTION("if(isblank(L212),, index(googlefinance(A212,M$2,L212-1),2,2))"),125.22)</f>
        <v/>
      </c>
      <c r="N212" s="67">
        <f>IFERROR(__xludf.DUMMYFUNCTION("if(isblank(A212),,googlefinance(A212))"),135.75)</f>
        <v/>
      </c>
      <c r="O212" s="68">
        <f>IF(ISBLANK(J212),,IF(ISBLANK(L212),"Ongoing","Completed"))</f>
        <v/>
      </c>
      <c r="P212" s="68">
        <f>IF(ISBLANK(A212),,IF(AND(COUNTA(F212)=1,T212&gt;0),"Profit",IF(AND(COUNTA(G212)=1,T212&lt;0),"Profit","Loss")))</f>
        <v/>
      </c>
      <c r="Q212" s="53">
        <f>IF(ISBLANK(U212),,IF(P212="Profit",IF(T212&lt;0,U212*-T212,U212*T212),IF(T212&gt;0,U212*-T212,U212*T212)))</f>
        <v/>
      </c>
      <c r="R212" s="68" t="n"/>
      <c r="S212" s="69">
        <f>IF($Q212&gt;0, TRUE, FALSE)</f>
        <v/>
      </c>
      <c r="T212" s="68">
        <f>IF(ISBLANK(J212),,IF(ISBLANK(L212),N212-K212,M212-K212))</f>
        <v/>
      </c>
      <c r="U212" s="55">
        <f>IF(ISBLANK(J212),,ROUNDDOWN(U$1/K212,0))</f>
        <v/>
      </c>
    </row>
    <row r="213" hidden="1" ht="14" customHeight="1">
      <c r="A213" s="85" t="inlineStr">
        <is>
          <t>STLD</t>
        </is>
      </c>
      <c r="B213" s="82" t="n">
        <v>15</v>
      </c>
      <c r="C213" s="84" t="n">
        <v>193.84</v>
      </c>
      <c r="D213" s="84" t="n">
        <v>33.333</v>
      </c>
      <c r="E213" s="84" t="n">
        <v>1.539</v>
      </c>
      <c r="F213" s="87" t="n"/>
      <c r="G213" s="62" t="n">
        <v>45268</v>
      </c>
      <c r="H213" s="86" t="n"/>
      <c r="I213" s="62" t="n">
        <v>45274</v>
      </c>
      <c r="J213" s="63">
        <f>IF(ISBLANK(F213:G213),,IF(COUNTA(F213)=0,G213,F213))</f>
        <v/>
      </c>
      <c r="K213" s="64">
        <f>IFERROR(__xludf.DUMMYFUNCTION("if(isblank(J213),,index(googlefinance(A213,K$2,J213-1),2,2))"),114.41)</f>
        <v/>
      </c>
      <c r="L213" s="65">
        <f>IF(ISBLANK(H213:I213),,IF(COUNTA(H213)=0,I213,H213))</f>
        <v/>
      </c>
      <c r="M213" s="66">
        <f>IFERROR(__xludf.DUMMYFUNCTION("if(isblank(L213),, index(googlefinance(A213,M$2,L213-1),2,2))"),115.36)</f>
        <v/>
      </c>
      <c r="N213" s="67">
        <f>IFERROR(__xludf.DUMMYFUNCTION("if(isblank(A213),,googlefinance(A213))"),119.11)</f>
        <v/>
      </c>
      <c r="O213" s="68">
        <f>IF(ISBLANK(J213),,IF(ISBLANK(L213),"Ongoing","Completed"))</f>
        <v/>
      </c>
      <c r="P213" s="68">
        <f>IF(ISBLANK(A213),,IF(AND(COUNTA(F213)=1,T213&gt;0),"Profit",IF(AND(COUNTA(G213)=1,T213&lt;0),"Profit","Loss")))</f>
        <v/>
      </c>
      <c r="Q213" s="53">
        <f>IF(ISBLANK(U213),,IF(P213="Profit",IF(T213&lt;0,U213*-T213,U213*T213),IF(T213&gt;0,U213*-T213,U213*T213)))</f>
        <v/>
      </c>
      <c r="R213" s="68" t="n"/>
      <c r="S213" s="69">
        <f>IF($Q213&gt;0, TRUE, FALSE)</f>
        <v/>
      </c>
      <c r="T213" s="68">
        <f>IF(ISBLANK(J213),,IF(ISBLANK(L213),N213-K213,M213-K213))</f>
        <v/>
      </c>
      <c r="U213" s="55">
        <f>IF(ISBLANK(J213),,ROUNDDOWN(U$1/K213,0))</f>
        <v/>
      </c>
    </row>
    <row r="214" hidden="1" ht="14" customHeight="1">
      <c r="A214" s="72" t="inlineStr">
        <is>
          <t>NUE</t>
        </is>
      </c>
      <c r="B214" s="70" t="n">
        <v>11</v>
      </c>
      <c r="C214" s="55" t="n">
        <v>184.14</v>
      </c>
      <c r="D214" s="55" t="n">
        <v>36.364</v>
      </c>
      <c r="E214" s="68" t="n">
        <v>1.735</v>
      </c>
      <c r="F214" s="62" t="n"/>
      <c r="G214" s="62" t="n">
        <v>45268</v>
      </c>
      <c r="H214" s="86" t="n"/>
      <c r="I214" s="62" t="n">
        <v>45273</v>
      </c>
      <c r="J214" s="63">
        <f>IF(ISBLANK(F214:G214),,IF(COUNTA(F214)=0,G214,F214))</f>
        <v/>
      </c>
      <c r="K214" s="64">
        <f>IFERROR(__xludf.DUMMYFUNCTION("if(isblank(J214),,index(googlefinance(A214,K$2,J214-1),2,2))"),163.22)</f>
        <v/>
      </c>
      <c r="L214" s="65">
        <f>IF(ISBLANK(H214:I214),,IF(COUNTA(H214)=0,I214,H214))</f>
        <v/>
      </c>
      <c r="M214" s="66">
        <f>IFERROR(__xludf.DUMMYFUNCTION("if(isblank(L214),, index(googlefinance(A214,M$2,L214-1),2,2))"),163.76)</f>
        <v/>
      </c>
      <c r="N214" s="67">
        <f>IFERROR(__xludf.DUMMYFUNCTION("if(isblank(A214),,googlefinance(A214))"),176.57)</f>
        <v/>
      </c>
      <c r="O214" s="68">
        <f>IF(ISBLANK(J214),,IF(ISBLANK(L214),"Ongoing","Completed"))</f>
        <v/>
      </c>
      <c r="P214" s="68">
        <f>IF(ISBLANK(A214),,IF(AND(COUNTA(E214)=1,T214&gt;0),"Profit",IF(AND(COUNTA(G214)=1,T214&lt;0),"Profit","Loss")))</f>
        <v/>
      </c>
      <c r="Q214" s="53">
        <f>IF(ISBLANK(U214),,IF(P214="Profit",IF(T214&lt;0,U214*-T214,U214*T214),IF(T214&gt;0,U214*-T214,U214*T214)))</f>
        <v/>
      </c>
      <c r="R214" s="68" t="n"/>
      <c r="S214" s="69">
        <f>IF($Q214&gt;0, TRUE, FALSE)</f>
        <v/>
      </c>
      <c r="T214" s="68">
        <f>IF(ISBLANK(J214),,IF(ISBLANK(L214),N214-K214,M214-K214))</f>
        <v/>
      </c>
      <c r="U214" s="55">
        <f>IF(ISBLANK(J214),,ROUNDDOWN(U$1/K214,0))</f>
        <v/>
      </c>
    </row>
    <row r="215" hidden="1" ht="14" customHeight="1">
      <c r="A215" s="72" t="inlineStr">
        <is>
          <t>MKC</t>
        </is>
      </c>
      <c r="B215" s="70" t="n">
        <v>12</v>
      </c>
      <c r="C215" s="55" t="n">
        <v>257.865</v>
      </c>
      <c r="D215" s="55" t="n">
        <v>66.667</v>
      </c>
      <c r="E215" s="55" t="n">
        <v>2.292</v>
      </c>
      <c r="F215" s="62" t="n"/>
      <c r="G215" s="62" t="n">
        <v>45275</v>
      </c>
      <c r="H215" s="86" t="n"/>
      <c r="I215" s="62" t="n">
        <v>45287</v>
      </c>
      <c r="J215" s="63">
        <f>IF(ISBLANK(F215:G215),,IF(COUNTA(F215)=0,G215,F215))</f>
        <v/>
      </c>
      <c r="K215" s="64">
        <f>IFERROR(__xludf.DUMMYFUNCTION("if(isblank(J215),,index(googlefinance(A215,K$2,J215-1),2,2))"),68.28)</f>
        <v/>
      </c>
      <c r="L215" s="65">
        <f>IF(ISBLANK(H215:I215),,IF(COUNTA(H215)=0,I215,H215))</f>
        <v/>
      </c>
      <c r="M215" s="66">
        <f>IFERROR(__xludf.DUMMYFUNCTION("if(isblank(L215),, index(googlefinance(A215,M$2,L215-1),2,2))"),68.16)</f>
        <v/>
      </c>
      <c r="N215" s="67">
        <f>IFERROR(__xludf.DUMMYFUNCTION("if(isblank(A215),,googlefinance(A215))"),68.96)</f>
        <v/>
      </c>
      <c r="O215" s="68">
        <f>IF(ISBLANK(J215),,IF(ISBLANK(L215),"Ongoing","Completed"))</f>
        <v/>
      </c>
      <c r="P215" s="68">
        <f>IF(ISBLANK(A215),,IF(AND(COUNTA(F215)=1,T215&gt;0),"Profit",IF(AND(COUNTA(G215)=1,T215&lt;0),"Profit","Loss")))</f>
        <v/>
      </c>
      <c r="Q215" s="53">
        <f>IF(ISBLANK(U215),,IF(P215="Profit",IF(T215&lt;0,U215*-T215,U215*T215),IF(T215&gt;0,U215*-T215,U215*T215)))</f>
        <v/>
      </c>
      <c r="R215" s="68" t="n"/>
      <c r="S215" s="69">
        <f>IF($Q215&gt;0, TRUE, FALSE)</f>
        <v/>
      </c>
      <c r="T215" s="68">
        <f>IF(ISBLANK(J215),,IF(ISBLANK(L215),N215-K215,M215-K215))</f>
        <v/>
      </c>
      <c r="U215" s="55">
        <f>IF(ISBLANK(J215),,ROUNDDOWN(U$1/K215,0))</f>
        <v/>
      </c>
    </row>
    <row r="216" hidden="1" ht="14" customHeight="1">
      <c r="A216" s="72" t="inlineStr">
        <is>
          <t>NEE</t>
        </is>
      </c>
      <c r="B216" s="70" t="n">
        <v>13</v>
      </c>
      <c r="C216" s="55" t="n">
        <v>3.05</v>
      </c>
      <c r="D216" s="55" t="n">
        <v>30.769</v>
      </c>
      <c r="E216" s="55" t="n">
        <v>1.013</v>
      </c>
      <c r="F216" s="62" t="n"/>
      <c r="G216" s="62" t="n">
        <v>45275</v>
      </c>
      <c r="H216" s="86" t="n"/>
      <c r="I216" s="62" t="n">
        <v>45288</v>
      </c>
      <c r="J216" s="63">
        <f>IF(ISBLANK(F216:G216),,IF(COUNTA(F216)=0,G216,F216))</f>
        <v/>
      </c>
      <c r="K216" s="64">
        <f>IFERROR(__xludf.DUMMYFUNCTION("if(isblank(J216),,index(googlefinance(A216,K$2,J216-1),2,2))"),62.78)</f>
        <v/>
      </c>
      <c r="L216" s="65">
        <f>IF(ISBLANK(H216:I216),,IF(COUNTA(H216)=0,I216,H216))</f>
        <v/>
      </c>
      <c r="M216" s="66">
        <f>IFERROR(__xludf.DUMMYFUNCTION("if(isblank(L216),, index(googlefinance(A216,M$2,L216-1),2,2))"),60.58)</f>
        <v/>
      </c>
      <c r="N216" s="67">
        <f>IFERROR(__xludf.DUMMYFUNCTION("if(isblank(A216),,googlefinance(A216))"),61.99)</f>
        <v/>
      </c>
      <c r="O216" s="68">
        <f>IF(ISBLANK(J216),,IF(ISBLANK(L216),"Ongoing","Completed"))</f>
        <v/>
      </c>
      <c r="P216" s="68">
        <f>IF(ISBLANK(A216),,IF(AND(COUNTA(F216)=1,T216&gt;0),"Profit",IF(AND(COUNTA(G216)=1,T216&lt;0),"Profit","Loss")))</f>
        <v/>
      </c>
      <c r="Q216" s="53">
        <f>IF(ISBLANK(U216),,IF(P216="Profit",IF(T216&lt;0,U216*-T216,U216*T216),IF(T216&gt;0,U216*-T216,U216*T216)))</f>
        <v/>
      </c>
      <c r="R216" s="68" t="n"/>
      <c r="S216" s="69">
        <f>IF($Q216&gt;0, TRUE, FALSE)</f>
        <v/>
      </c>
      <c r="T216" s="68">
        <f>IF(ISBLANK(J216),,IF(ISBLANK(L216),N216-K216,M216-K216))</f>
        <v/>
      </c>
      <c r="U216" s="55">
        <f>IF(ISBLANK(J216),,ROUNDDOWN(U$1/K216,0))</f>
        <v/>
      </c>
    </row>
    <row r="217" hidden="1" ht="14" customHeight="1">
      <c r="A217" s="72" t="inlineStr">
        <is>
          <t>OXY</t>
        </is>
      </c>
      <c r="B217" s="70" t="n">
        <v>7</v>
      </c>
      <c r="C217" s="55" t="n">
        <v>624.45</v>
      </c>
      <c r="D217" s="55" t="n">
        <v>57.143</v>
      </c>
      <c r="E217" s="55" t="n">
        <v>5.575</v>
      </c>
      <c r="F217" s="62" t="n">
        <v>45275</v>
      </c>
      <c r="G217" s="62" t="n"/>
      <c r="H217" s="86" t="inlineStr">
        <is>
          <t>2024/01/04</t>
        </is>
      </c>
      <c r="I217" s="86" t="n"/>
      <c r="J217" s="63">
        <f>IF(ISBLANK(F217:G217),,IF(COUNTA(F217)=0,G217,F217))</f>
        <v/>
      </c>
      <c r="K217" s="64">
        <f>IFERROR(__xludf.DUMMYFUNCTION("if(isblank(J217),,index(googlefinance(A217,K$2,J217-1),2,2))"),58.76)</f>
        <v/>
      </c>
      <c r="L217" s="65">
        <f>IF(ISBLANK(H217:I217),,IF(COUNTA(H217)=0,I217,H217))</f>
        <v/>
      </c>
      <c r="M217" s="66">
        <f>IFERROR(__xludf.DUMMYFUNCTION("if(isblank(L217),, index(googlefinance(A217,M$2,L217-1),2,2))"),"")</f>
        <v/>
      </c>
      <c r="N217" s="67">
        <f>IFERROR(__xludf.DUMMYFUNCTION("if(isblank(A217),,googlefinance(A217))"),60.61)</f>
        <v/>
      </c>
      <c r="O217" s="68">
        <f>IF(ISBLANK(J217),,IF(ISBLANK(L217),"Ongoing","Completed"))</f>
        <v/>
      </c>
      <c r="P217" s="68">
        <f>IF(ISBLANK(A217),,IF(AND(COUNTA(F217)=1,T217&gt;0),"Profit",IF(AND(COUNTA(G217)=1,T217&lt;0),"Profit","Loss")))</f>
        <v/>
      </c>
      <c r="Q217" s="53">
        <f>IF(ISBLANK(U217),,IF(P217="Profit",IF(T217&lt;0,U217*-T217,U217*T217),IF(T217&gt;0,U217*-T217,U217*T217)))</f>
        <v/>
      </c>
      <c r="R217" s="68" t="n"/>
      <c r="S217" s="69">
        <f>IF($Q217&gt;0, TRUE, FALSE)</f>
        <v/>
      </c>
      <c r="T217" s="68">
        <f>IF(ISBLANK(J217),,IF(ISBLANK(L217),N217-K217,M217-K217))</f>
        <v/>
      </c>
      <c r="U217" s="55">
        <f>IF(ISBLANK(J217),,ROUNDDOWN(U$1/K217,0))</f>
        <v/>
      </c>
    </row>
    <row r="218" hidden="1" ht="14" customHeight="1">
      <c r="A218" s="72" t="inlineStr">
        <is>
          <t>SLB</t>
        </is>
      </c>
      <c r="B218" s="70" t="n">
        <v>12</v>
      </c>
      <c r="C218" s="55" t="n">
        <v>339.73</v>
      </c>
      <c r="D218" s="55" t="n">
        <v>41.667</v>
      </c>
      <c r="E218" s="55" t="n">
        <v>2.329</v>
      </c>
      <c r="F218" s="62" t="n">
        <v>45275</v>
      </c>
      <c r="G218" s="62" t="n"/>
      <c r="H218" s="86" t="inlineStr">
        <is>
          <t>2024/01/04</t>
        </is>
      </c>
      <c r="I218" s="86" t="n"/>
      <c r="J218" s="63">
        <f>IF(ISBLANK(F218:G218),,IF(COUNTA(F218)=0,G218,F218))</f>
        <v/>
      </c>
      <c r="K218" s="64">
        <f>IFERROR(__xludf.DUMMYFUNCTION("if(isblank(J218),,index(googlefinance(A218,K$2,J218-1),2,2))"),52.42)</f>
        <v/>
      </c>
      <c r="L218" s="65">
        <f>IF(ISBLANK(H218:I218),,IF(COUNTA(H218)=0,I218,H218))</f>
        <v/>
      </c>
      <c r="M218" s="66">
        <f>IFERROR(__xludf.DUMMYFUNCTION("if(isblank(L218),, index(googlefinance(A218,M$2,L218-1),2,2))"),"")</f>
        <v/>
      </c>
      <c r="N218" s="67">
        <f>IFERROR(__xludf.DUMMYFUNCTION("if(isblank(A218),,googlefinance(A218))"),52.65)</f>
        <v/>
      </c>
      <c r="O218" s="68">
        <f>IF(ISBLANK(J218),,IF(ISBLANK(L218),"Ongoing","Completed"))</f>
        <v/>
      </c>
      <c r="P218" s="68">
        <f>IF(ISBLANK(A218),,IF(AND(COUNTA(F218)=1,T218&gt;0),"Profit",IF(AND(COUNTA(G218)=1,T218&lt;0),"Profit","Loss")))</f>
        <v/>
      </c>
      <c r="Q218" s="53">
        <f>IF(ISBLANK(U218),,IF(P218="Profit",IF(T218&lt;0,U218*-T218,U218*T218),IF(T218&gt;0,U218*-T218,U218*T218)))</f>
        <v/>
      </c>
      <c r="R218" s="68" t="n"/>
      <c r="S218" s="69">
        <f>IF($Q218&gt;0, TRUE, FALSE)</f>
        <v/>
      </c>
      <c r="T218" s="68">
        <f>IF(ISBLANK(J218),,IF(ISBLANK(L218),N218-K218,M218-K218))</f>
        <v/>
      </c>
      <c r="U218" s="55">
        <f>IF(ISBLANK(J218),,ROUNDDOWN(U$1/K218,0))</f>
        <v/>
      </c>
    </row>
    <row r="219" hidden="1" ht="14" customHeight="1">
      <c r="A219" s="72" t="inlineStr">
        <is>
          <t>CPB</t>
        </is>
      </c>
      <c r="B219" s="70" t="n">
        <v>11</v>
      </c>
      <c r="C219" s="55" t="n">
        <v>81.88</v>
      </c>
      <c r="D219" s="55" t="n">
        <v>63.636</v>
      </c>
      <c r="E219" s="55" t="n">
        <v>2.456</v>
      </c>
      <c r="F219" s="62" t="n"/>
      <c r="G219" s="62" t="n">
        <v>45278</v>
      </c>
      <c r="H219" s="86" t="n"/>
      <c r="I219" s="62" t="n">
        <v>45293</v>
      </c>
      <c r="J219" s="63">
        <f>IF(ISBLANK(F219:G219),,IF(COUNTA(F219)=0,G219,F219))</f>
        <v/>
      </c>
      <c r="K219" s="64">
        <f>IFERROR(__xludf.DUMMYFUNCTION("if(isblank(J219),,index(googlefinance(A219,K$2,J219-1),2,2))"),43.76)</f>
        <v/>
      </c>
      <c r="L219" s="65">
        <f>IF(ISBLANK(H219:I219),,IF(COUNTA(H219)=0,I219,H219))</f>
        <v/>
      </c>
      <c r="M219" s="66">
        <f>IFERROR(__xludf.DUMMYFUNCTION("if(isblank(L219),, index(googlefinance(A219,M$2,L219-1),2,2))"),44.74)</f>
        <v/>
      </c>
      <c r="N219" s="67">
        <f>IFERROR(__xludf.DUMMYFUNCTION("if(isblank(A219),,googlefinance(A219))"),44.53)</f>
        <v/>
      </c>
      <c r="O219" s="68">
        <f>IF(ISBLANK(J219),,IF(ISBLANK(L219),"Ongoing","Completed"))</f>
        <v/>
      </c>
      <c r="P219" s="68">
        <f>IF(ISBLANK(A219),,IF(AND(COUNTA(F219)=1,T219&gt;0),"Profit",IF(AND(COUNTA(G219)=1,T219&lt;0),"Profit","Loss")))</f>
        <v/>
      </c>
      <c r="Q219" s="53">
        <f>IF(ISBLANK(U219),,IF(P219="Profit",IF(T219&lt;0,U219*-T219,U219*T219),IF(T219&gt;0,U219*-T219,U219*T219)))</f>
        <v/>
      </c>
      <c r="R219" s="68" t="n"/>
      <c r="S219" s="69">
        <f>IF($Q219&gt;0, TRUE, FALSE)</f>
        <v/>
      </c>
      <c r="T219" s="68">
        <f>IF(ISBLANK(J219),,IF(ISBLANK(L219),N219-K219,M219-K219))</f>
        <v/>
      </c>
      <c r="U219" s="55">
        <f>IF(ISBLANK(J219),,ROUNDDOWN(U$1/K219,0))</f>
        <v/>
      </c>
    </row>
    <row r="220" hidden="1" ht="14" customHeight="1">
      <c r="A220" s="72" t="inlineStr">
        <is>
          <t>EVRG</t>
        </is>
      </c>
      <c r="B220" s="70" t="n">
        <v>12</v>
      </c>
      <c r="C220" s="55" t="n">
        <v>296.31</v>
      </c>
      <c r="D220" s="55" t="n">
        <v>33.333</v>
      </c>
      <c r="E220" s="55" t="n">
        <v>3.573</v>
      </c>
      <c r="F220" s="62" t="n"/>
      <c r="G220" s="62" t="n">
        <v>45278</v>
      </c>
      <c r="H220" s="86" t="n"/>
      <c r="I220" s="62" t="n">
        <v>45288</v>
      </c>
      <c r="J220" s="63">
        <f>IF(ISBLANK(F220:G220),,IF(COUNTA(F220)=0,G220,F220))</f>
        <v/>
      </c>
      <c r="K220" s="64">
        <f>IFERROR(__xludf.DUMMYFUNCTION("if(isblank(J220),,index(googlefinance(A220,K$2,J220-1),2,2))"),51.46)</f>
        <v/>
      </c>
      <c r="L220" s="65">
        <f>IF(ISBLANK(H220:I220),,IF(COUNTA(H220)=0,I220,H220))</f>
        <v/>
      </c>
      <c r="M220" s="66">
        <f>IFERROR(__xludf.DUMMYFUNCTION("if(isblank(L220),, index(googlefinance(A220,M$2,L220-1),2,2))"),51.85)</f>
        <v/>
      </c>
      <c r="N220" s="67">
        <f>IFERROR(__xludf.DUMMYFUNCTION("if(isblank(A220),,googlefinance(A220))"),53.87)</f>
        <v/>
      </c>
      <c r="O220" s="68">
        <f>IF(ISBLANK(J220),,IF(ISBLANK(L220),"Ongoing","Completed"))</f>
        <v/>
      </c>
      <c r="P220" s="68">
        <f>IF(ISBLANK(A220),,IF(AND(COUNTA(F220)=1,T220&gt;0),"Profit",IF(AND(COUNTA(G220)=1,T220&lt;0),"Profit","Loss")))</f>
        <v/>
      </c>
      <c r="Q220" s="53">
        <f>IF(ISBLANK(U220),,IF(P220="Profit",IF(T220&lt;0,U220*-T220,U220*T220),IF(T220&gt;0,U220*-T220,U220*T220)))</f>
        <v/>
      </c>
      <c r="R220" s="68" t="n"/>
      <c r="S220" s="69">
        <f>IF($Q220&gt;0, TRUE, FALSE)</f>
        <v/>
      </c>
      <c r="T220" s="68">
        <f>IF(ISBLANK(J220),,IF(ISBLANK(L220),N220-K220,M220-K220))</f>
        <v/>
      </c>
      <c r="U220" s="55">
        <f>IF(ISBLANK(J220),,ROUNDDOWN(U$1/K220,0))</f>
        <v/>
      </c>
    </row>
    <row r="221" hidden="1" ht="14" customHeight="1">
      <c r="A221" s="72" t="inlineStr">
        <is>
          <t>INCY</t>
        </is>
      </c>
      <c r="B221" s="70" t="n">
        <v>9</v>
      </c>
      <c r="C221" s="55" t="n">
        <v>455.73</v>
      </c>
      <c r="D221" s="55" t="n">
        <v>44.444</v>
      </c>
      <c r="E221" s="55" t="n">
        <v>3.993</v>
      </c>
      <c r="F221" s="62" t="n"/>
      <c r="G221" s="62" t="n">
        <v>45278</v>
      </c>
      <c r="H221" s="86" t="n"/>
      <c r="I221" s="62" t="n">
        <v>45282</v>
      </c>
      <c r="J221" s="63">
        <f>IF(ISBLANK(F221:G221),,IF(COUNTA(F221)=0,G221,F221))</f>
        <v/>
      </c>
      <c r="K221" s="64">
        <f>IFERROR(__xludf.DUMMYFUNCTION("if(isblank(J221),,index(googlefinance(A221,K$2,J221-1),2,2))"),60.62)</f>
        <v/>
      </c>
      <c r="L221" s="65">
        <f>IF(ISBLANK(H221:I221),,IF(COUNTA(H221)=0,I221,H221))</f>
        <v/>
      </c>
      <c r="M221" s="66">
        <f>IFERROR(__xludf.DUMMYFUNCTION("if(isblank(L221),, index(googlefinance(A221,M$2,L221-1),2,2))"),61.69)</f>
        <v/>
      </c>
      <c r="N221" s="67">
        <f>IFERROR(__xludf.DUMMYFUNCTION("if(isblank(A221),,googlefinance(A221))"),65.51)</f>
        <v/>
      </c>
      <c r="O221" s="68">
        <f>IF(ISBLANK(J221),,IF(ISBLANK(L221),"Ongoing","Completed"))</f>
        <v/>
      </c>
      <c r="P221" s="68">
        <f>IF(ISBLANK(A221),,IF(AND(COUNTA(F221)=1,T221&gt;0),"Profit",IF(AND(COUNTA(G221)=1,T221&lt;0),"Profit","Loss")))</f>
        <v/>
      </c>
      <c r="Q221" s="53">
        <f>IF(ISBLANK(U221),,IF(P221="Profit",IF(T221&lt;0,U221*-T221,U221*T221),IF(T221&gt;0,U221*-T221,U221*T221)))</f>
        <v/>
      </c>
      <c r="R221" s="68" t="n"/>
      <c r="S221" s="69">
        <f>IF($Q221&gt;0, TRUE, FALSE)</f>
        <v/>
      </c>
      <c r="T221" s="68">
        <f>IF(ISBLANK(J221),,IF(ISBLANK(L221),N221-K221,M221-K221))</f>
        <v/>
      </c>
      <c r="U221" s="55">
        <f>IF(ISBLANK(J221),,ROUNDDOWN(U$1/K221,0))</f>
        <v/>
      </c>
    </row>
    <row r="222" hidden="1" ht="14" customHeight="1">
      <c r="A222" s="72" t="inlineStr">
        <is>
          <t>KDP</t>
        </is>
      </c>
      <c r="B222" s="70" t="n">
        <v>8</v>
      </c>
      <c r="C222" s="55" t="n">
        <v>74.67</v>
      </c>
      <c r="D222" s="55" t="n">
        <v>37.5</v>
      </c>
      <c r="E222" s="55" t="n">
        <v>2.228</v>
      </c>
      <c r="F222" s="62" t="n"/>
      <c r="G222" s="62" t="n">
        <v>45278</v>
      </c>
      <c r="H222" s="86" t="n"/>
      <c r="I222" s="62" t="n">
        <v>45282</v>
      </c>
      <c r="J222" s="63">
        <f>IF(ISBLANK(F222:G222),,IF(COUNTA(F222)=0,G222,F222))</f>
        <v/>
      </c>
      <c r="K222" s="64">
        <f>IFERROR(__xludf.DUMMYFUNCTION("if(isblank(J222),,index(googlefinance(A222,K$2,J222-1),2,2))"),32.4)</f>
        <v/>
      </c>
      <c r="L222" s="65">
        <f>IF(ISBLANK(H222:I222),,IF(COUNTA(H222)=0,I222,H222))</f>
        <v/>
      </c>
      <c r="M222" s="66">
        <f>IFERROR(__xludf.DUMMYFUNCTION("if(isblank(L222),, index(googlefinance(A222,M$2,L222-1),2,2))"),32.52)</f>
        <v/>
      </c>
      <c r="N222" s="67">
        <f>IFERROR(__xludf.DUMMYFUNCTION("if(isblank(A222),,googlefinance(A222))"),32.59)</f>
        <v/>
      </c>
      <c r="O222" s="68">
        <f>IF(ISBLANK(J222),,IF(ISBLANK(L222),"Ongoing","Completed"))</f>
        <v/>
      </c>
      <c r="P222" s="68">
        <f>IF(ISBLANK(A222),,IF(AND(COUNTA(F222)=1,T222&gt;0),"Profit",IF(AND(COUNTA(G222)=1,T222&lt;0),"Profit","Loss")))</f>
        <v/>
      </c>
      <c r="Q222" s="53">
        <f>IF(ISBLANK(U222),,IF(P222="Profit",IF(T222&lt;0,U222*-T222,U222*T222),IF(T222&gt;0,U222*-T222,U222*T222)))</f>
        <v/>
      </c>
      <c r="R222" s="68" t="n"/>
      <c r="S222" s="69">
        <f>IF($Q222&gt;0, TRUE, FALSE)</f>
        <v/>
      </c>
      <c r="T222" s="68">
        <f>IF(ISBLANK(J222),,IF(ISBLANK(L222),N222-K222,M222-K222))</f>
        <v/>
      </c>
      <c r="U222" s="55">
        <f>IF(ISBLANK(J222),,ROUNDDOWN(U$1/K222,0))</f>
        <v/>
      </c>
    </row>
    <row r="223" hidden="1" ht="14" customHeight="1">
      <c r="A223" s="72" t="inlineStr">
        <is>
          <t>XOM</t>
        </is>
      </c>
      <c r="B223" s="70" t="n">
        <v>7</v>
      </c>
      <c r="C223" s="55" t="n">
        <v>103.4</v>
      </c>
      <c r="D223" s="55" t="n">
        <v>42.857</v>
      </c>
      <c r="E223" s="55" t="n">
        <v>1.976</v>
      </c>
      <c r="F223" s="62" t="n">
        <v>45278</v>
      </c>
      <c r="G223" s="62" t="n"/>
      <c r="H223" s="62" t="n">
        <v>45288</v>
      </c>
      <c r="I223" s="86" t="n"/>
      <c r="J223" s="63">
        <f>IF(ISBLANK(F223:G223),,IF(COUNTA(F223)=0,G223,F223))</f>
        <v/>
      </c>
      <c r="K223" s="64">
        <f>IFERROR(__xludf.DUMMYFUNCTION("if(isblank(J223),,index(googlefinance(A223,K$2,J223-1),2,2))"),101.65)</f>
        <v/>
      </c>
      <c r="L223" s="65">
        <f>IF(ISBLANK(H223:I223),,IF(COUNTA(H223)=0,I223,H223))</f>
        <v/>
      </c>
      <c r="M223" s="66">
        <f>IFERROR(__xludf.DUMMYFUNCTION("if(isblank(L223),, index(googlefinance(A223,M$2,L223-1),2,2))"),101.66)</f>
        <v/>
      </c>
      <c r="N223" s="67">
        <f>IFERROR(__xludf.DUMMYFUNCTION("if(isblank(A223),,googlefinance(A223))"),103.22)</f>
        <v/>
      </c>
      <c r="O223" s="68">
        <f>IF(ISBLANK(J223),,IF(ISBLANK(L223),"Ongoing","Completed"))</f>
        <v/>
      </c>
      <c r="P223" s="68">
        <f>IF(ISBLANK(A223),,IF(AND(COUNTA(F223)=1,T223&gt;0),"Profit",IF(AND(COUNTA(G223)=1,T223&lt;0),"Profit","Loss")))</f>
        <v/>
      </c>
      <c r="Q223" s="53">
        <f>IF(ISBLANK(U223),,IF(P223="Profit",IF(T223&lt;0,U223*-T223,U223*T223),IF(T223&gt;0,U223*-T223,U223*T223)))</f>
        <v/>
      </c>
      <c r="R223" s="68" t="n"/>
      <c r="S223" s="69">
        <f>IF($Q223&gt;0, TRUE, FALSE)</f>
        <v/>
      </c>
      <c r="T223" s="68">
        <f>IF(ISBLANK(J223),,IF(ISBLANK(L223),N223-K223,M223-K223))</f>
        <v/>
      </c>
      <c r="U223" s="55">
        <f>IF(ISBLANK(J223),,ROUNDDOWN(U$1/K223,0))</f>
        <v/>
      </c>
    </row>
    <row r="224" hidden="1" ht="14" customHeight="1">
      <c r="A224" s="72" t="inlineStr">
        <is>
          <t>CAG</t>
        </is>
      </c>
      <c r="B224" s="70" t="n">
        <v>14</v>
      </c>
      <c r="C224" s="55" t="n">
        <v>102.58</v>
      </c>
      <c r="D224" s="55" t="n">
        <v>50</v>
      </c>
      <c r="E224" s="55" t="n">
        <v>1.611</v>
      </c>
      <c r="F224" s="62" t="n"/>
      <c r="G224" s="62" t="n">
        <v>45279</v>
      </c>
      <c r="H224" s="86" t="n"/>
      <c r="I224" s="62" t="n">
        <v>45293</v>
      </c>
      <c r="J224" s="63">
        <f>IF(ISBLANK(F224:G224),,IF(COUNTA(F224)=0,G224,F224))</f>
        <v/>
      </c>
      <c r="K224" s="64">
        <f>IFERROR(__xludf.DUMMYFUNCTION("if(isblank(J224),,index(googlefinance(A224,K$2,J224-1),2,2))"),29.49)</f>
        <v/>
      </c>
      <c r="L224" s="65">
        <f>IF(ISBLANK(H224:I224),,IF(COUNTA(H224)=0,I224,H224))</f>
        <v/>
      </c>
      <c r="M224" s="66">
        <f>IFERROR(__xludf.DUMMYFUNCTION("if(isblank(L224),, index(googlefinance(A224,M$2,L224-1),2,2))"),29.53)</f>
        <v/>
      </c>
      <c r="N224" s="67">
        <f>IFERROR(__xludf.DUMMYFUNCTION("if(isblank(A224),,googlefinance(A224))"),29.28)</f>
        <v/>
      </c>
      <c r="O224" s="68">
        <f>IF(ISBLANK(J224),,IF(ISBLANK(L224),"Ongoing","Completed"))</f>
        <v/>
      </c>
      <c r="P224" s="68">
        <f>IF(ISBLANK(A224),,IF(AND(COUNTA(F224)=1,T224&gt;0),"Profit",IF(AND(COUNTA(G224)=1,T224&lt;0),"Profit","Loss")))</f>
        <v/>
      </c>
      <c r="Q224" s="53">
        <f>IF(ISBLANK(U224),,IF(P224="Profit",IF(T224&lt;0,U224*-T224,U224*T224),IF(T224&gt;0,U224*-T224,U224*T224)))</f>
        <v/>
      </c>
      <c r="R224" s="68" t="n"/>
      <c r="S224" s="69">
        <f>IF($Q224&gt;0, TRUE, FALSE)</f>
        <v/>
      </c>
      <c r="T224" s="68">
        <f>IF(ISBLANK(J224),,IF(ISBLANK(L224),N224-K224,M224-K224))</f>
        <v/>
      </c>
      <c r="U224" s="55">
        <f>IF(ISBLANK(J224),,ROUNDDOWN(U$1/K224,0))</f>
        <v/>
      </c>
    </row>
    <row r="225" hidden="1" ht="14" customHeight="1">
      <c r="A225" s="72" t="inlineStr">
        <is>
          <t>MOH</t>
        </is>
      </c>
      <c r="B225" s="70" t="n">
        <v>11</v>
      </c>
      <c r="C225" s="55" t="n">
        <v>235.18</v>
      </c>
      <c r="D225" s="55" t="n">
        <v>45.455</v>
      </c>
      <c r="E225" s="55" t="n">
        <v>2.571</v>
      </c>
      <c r="F225" s="62" t="n"/>
      <c r="G225" s="62" t="n">
        <v>45279</v>
      </c>
      <c r="H225" s="86" t="n"/>
      <c r="I225" s="62" t="n">
        <v>45293</v>
      </c>
      <c r="J225" s="63">
        <f>IF(ISBLANK(F225:G225),,IF(COUNTA(F225)=0,G225,F225))</f>
        <v/>
      </c>
      <c r="K225" s="64">
        <f>IFERROR(__xludf.DUMMYFUNCTION("if(isblank(J225),,index(googlefinance(A225,K$2,J225-1),2,2))"),366.24)</f>
        <v/>
      </c>
      <c r="L225" s="65">
        <f>IF(ISBLANK(H225:I225),,IF(COUNTA(H225)=0,I225,H225))</f>
        <v/>
      </c>
      <c r="M225" s="66">
        <f>IFERROR(__xludf.DUMMYFUNCTION("if(isblank(L225),, index(googlefinance(A225,M$2,L225-1),2,2))"),371.53)</f>
        <v/>
      </c>
      <c r="N225" s="67">
        <f>IFERROR(__xludf.DUMMYFUNCTION("if(isblank(A225),,googlefinance(A225))"),376.67)</f>
        <v/>
      </c>
      <c r="O225" s="68">
        <f>IF(ISBLANK(J225),,IF(ISBLANK(L225),"Ongoing","Completed"))</f>
        <v/>
      </c>
      <c r="P225" s="68">
        <f>IF(ISBLANK(A225),,IF(AND(COUNTA(F225)=1,T225&gt;0),"Profit",IF(AND(COUNTA(G225)=1,T225&lt;0),"Profit","Loss")))</f>
        <v/>
      </c>
      <c r="Q225" s="53">
        <f>IF(ISBLANK(U225),,IF(P225="Profit",IF(T225&lt;0,U225*-T225,U225*T225),IF(T225&gt;0,U225*-T225,U225*T225)))</f>
        <v/>
      </c>
      <c r="R225" s="68" t="n"/>
      <c r="S225" s="69">
        <f>IF($Q225&gt;0, TRUE, FALSE)</f>
        <v/>
      </c>
      <c r="T225" s="68">
        <f>IF(ISBLANK(J225),,IF(ISBLANK(L225),N225-K225,M225-K225))</f>
        <v/>
      </c>
      <c r="U225" s="55">
        <f>IF(ISBLANK(J225),,ROUNDDOWN(U$1/K225,0))</f>
        <v/>
      </c>
    </row>
    <row r="226" ht="14" customHeight="1">
      <c r="A226" s="72" t="inlineStr">
        <is>
          <t>PFE</t>
        </is>
      </c>
      <c r="B226" s="70" t="n">
        <v>10</v>
      </c>
      <c r="C226" s="55" t="n">
        <v>91.688</v>
      </c>
      <c r="D226" s="55" t="n">
        <v>30</v>
      </c>
      <c r="E226" s="55" t="n">
        <v>1.356</v>
      </c>
      <c r="F226" s="62" t="n">
        <v>45279</v>
      </c>
      <c r="G226" s="62" t="n"/>
      <c r="H226" s="86" t="n"/>
      <c r="I226" s="86" t="n"/>
      <c r="J226" s="63">
        <f>IF(ISBLANK(F226:G226),,IF(COUNTA(F226)=0,G226,F226))</f>
        <v/>
      </c>
      <c r="K226" s="64">
        <f>IFERROR(__xludf.DUMMYFUNCTION("if(isblank(J226),,index(googlefinance(A226,K$2,J226-1),2,2))"),27.06)</f>
        <v/>
      </c>
      <c r="L226" s="65">
        <f>IF(ISBLANK(H226:I226),,IF(COUNTA(H226)=0,I226,H226))</f>
        <v/>
      </c>
      <c r="M226" s="66">
        <f>IFERROR(__xludf.DUMMYFUNCTION("if(isblank(L226),, index(googlefinance(A226,M$2,L226-1),2,2))"),"")</f>
        <v/>
      </c>
      <c r="N226" s="67">
        <f>IFERROR(__xludf.DUMMYFUNCTION("if(isblank(A226),,googlefinance(A226))"),29.73)</f>
        <v/>
      </c>
      <c r="O226" s="68">
        <f>IF(ISBLANK(J226),,IF(ISBLANK(L226),"Ongoing","Completed"))</f>
        <v/>
      </c>
      <c r="P226" s="68">
        <f>IF(ISBLANK(A226),,IF(AND(COUNTA(F226)=1,T226&gt;0),"Profit",IF(AND(COUNTA(G226)=1,T226&lt;0),"Profit","Loss")))</f>
        <v/>
      </c>
      <c r="Q226" s="53">
        <f>IF(ISBLANK(U226),,IF(P226="Profit",IF(T226&lt;0,U226*-T226,U226*T226),IF(T226&gt;0,U226*-T226,U226*T226)))</f>
        <v/>
      </c>
      <c r="R226" s="68" t="n"/>
      <c r="S226" s="69">
        <f>IF($Q226&gt;0, TRUE, FALSE)</f>
        <v/>
      </c>
      <c r="T226" s="68">
        <f>IF(ISBLANK(J226),,IF(ISBLANK(L226),N226-K226,M226-K226))</f>
        <v/>
      </c>
      <c r="U226" s="55">
        <f>IF(ISBLANK(J226),,ROUNDDOWN(U$1/K226,0))</f>
        <v/>
      </c>
    </row>
    <row r="227" hidden="1" ht="14" customHeight="1">
      <c r="A227" s="72" t="inlineStr">
        <is>
          <t>REGN</t>
        </is>
      </c>
      <c r="B227" s="70" t="n">
        <v>10</v>
      </c>
      <c r="C227" s="55" t="n">
        <v>0.39</v>
      </c>
      <c r="D227" s="55" t="n">
        <v>30</v>
      </c>
      <c r="E227" s="55" t="n">
        <v>1.002</v>
      </c>
      <c r="F227" s="62" t="n"/>
      <c r="G227" s="62" t="n">
        <v>45279</v>
      </c>
      <c r="H227" s="86" t="n"/>
      <c r="I227" s="62" t="n">
        <v>45287</v>
      </c>
      <c r="J227" s="63">
        <f>IF(ISBLANK(F227:G227),,IF(COUNTA(F227)=0,G227,F227))</f>
        <v/>
      </c>
      <c r="K227" s="64">
        <f>IFERROR(__xludf.DUMMYFUNCTION("if(isblank(J227),,index(googlefinance(A227,K$2,J227-1),2,2))"),850.87)</f>
        <v/>
      </c>
      <c r="L227" s="65">
        <f>IF(ISBLANK(H227:I227),,IF(COUNTA(H227)=0,I227,H227))</f>
        <v/>
      </c>
      <c r="M227" s="66">
        <f>IFERROR(__xludf.DUMMYFUNCTION("if(isblank(L227),, index(googlefinance(A227,M$2,L227-1),2,2))"),849.53)</f>
        <v/>
      </c>
      <c r="N227" s="67">
        <f>IFERROR(__xludf.DUMMYFUNCTION("if(isblank(A227),,googlefinance(A227))"),917.56)</f>
        <v/>
      </c>
      <c r="O227" s="68">
        <f>IF(ISBLANK(J227),,IF(ISBLANK(L227),"Ongoing","Completed"))</f>
        <v/>
      </c>
      <c r="P227" s="68">
        <f>IF(ISBLANK(A227),,IF(AND(COUNTA(F227)=1,T227&gt;0),"Profit",IF(AND(COUNTA(G227)=1,T227&lt;0),"Profit","Loss")))</f>
        <v/>
      </c>
      <c r="Q227" s="53">
        <f>IF(ISBLANK(U227),,IF(P227="Profit",IF(T227&lt;0,U227*-T227,U227*T227),IF(T227&gt;0,U227*-T227,U227*T227)))</f>
        <v/>
      </c>
      <c r="R227" s="68" t="n"/>
      <c r="S227" s="69">
        <f>IF($Q227&gt;0, TRUE, FALSE)</f>
        <v/>
      </c>
      <c r="T227" s="68">
        <f>IF(ISBLANK(J227),,IF(ISBLANK(L227),N227-K227,M227-K227))</f>
        <v/>
      </c>
      <c r="U227" s="55">
        <f>IF(ISBLANK(J227),,ROUNDDOWN(U$1/K227,0))</f>
        <v/>
      </c>
    </row>
    <row r="228" ht="14" customHeight="1">
      <c r="A228" s="72" t="inlineStr">
        <is>
          <t>FDX</t>
        </is>
      </c>
      <c r="B228" s="70" t="n">
        <v>11</v>
      </c>
      <c r="C228" s="55" t="n">
        <v>16.73</v>
      </c>
      <c r="D228" s="55" t="n">
        <v>9.090999999999999</v>
      </c>
      <c r="E228" s="55" t="n">
        <v>1.065</v>
      </c>
      <c r="F228" s="86" t="n"/>
      <c r="G228" s="62" t="n">
        <v>45280</v>
      </c>
      <c r="H228" s="86" t="n"/>
      <c r="I228" s="86" t="n"/>
      <c r="J228" s="63">
        <f>IF(ISBLANK(F228:G228),,IF(COUNTA(F228)=0,G228,F228))</f>
        <v/>
      </c>
      <c r="K228" s="64">
        <f>IFERROR(__xludf.DUMMYFUNCTION("if(isblank(J228),,index(googlefinance(A228,K$2,J228-1),2,2))"),280)</f>
        <v/>
      </c>
      <c r="L228" s="65">
        <f>IF(ISBLANK(H228:I228),,IF(COUNTA(H228)=0,I228,H228))</f>
        <v/>
      </c>
      <c r="M228" s="66">
        <f>IFERROR(__xludf.DUMMYFUNCTION("if(isblank(L228),, index(googlefinance(A228,M$2,L228-1),2,2))"),"")</f>
        <v/>
      </c>
      <c r="N228" s="67">
        <f>IFERROR(__xludf.DUMMYFUNCTION("if(isblank(A228),,googlefinance(A228))"),247.64)</f>
        <v/>
      </c>
      <c r="O228" s="68">
        <f>IF(ISBLANK(J228),,IF(ISBLANK(L228),"Ongoing","Completed"))</f>
        <v/>
      </c>
      <c r="P228" s="68">
        <f>IF(ISBLANK(A228),,IF(AND(COUNTA(F228)=1,T228&gt;0),"Profit",IF(AND(COUNTA(G228)=1,T228&lt;0),"Profit","Loss")))</f>
        <v/>
      </c>
      <c r="Q228" s="53">
        <f>IF(ISBLANK(U228),,IF(P228="Profit",IF(T228&lt;0,U228*-T228,U228*T228),IF(T228&gt;0,U228*-T228,U228*T228)))</f>
        <v/>
      </c>
      <c r="R228" s="68" t="n"/>
      <c r="S228" s="69">
        <f>IF($Q228&gt;0, TRUE, FALSE)</f>
        <v/>
      </c>
      <c r="T228" s="68">
        <f>IF(ISBLANK(J228),,IF(ISBLANK(L228),N228-K228,M228-K228))</f>
        <v/>
      </c>
      <c r="U228" s="55">
        <f>IF(ISBLANK(J228),,ROUNDDOWN(U$1/K228,0))</f>
        <v/>
      </c>
    </row>
    <row r="229" hidden="1" ht="14" customHeight="1">
      <c r="A229" s="72" t="inlineStr">
        <is>
          <t>MTB</t>
        </is>
      </c>
      <c r="B229" s="70" t="n">
        <v>11</v>
      </c>
      <c r="C229" s="55" t="n">
        <v>131.34</v>
      </c>
      <c r="D229" s="55" t="n">
        <v>36.364</v>
      </c>
      <c r="E229" s="55" t="n">
        <v>1.63</v>
      </c>
      <c r="F229" s="86" t="n"/>
      <c r="G229" s="62" t="n">
        <v>45280</v>
      </c>
      <c r="H229" s="86" t="n"/>
      <c r="I229" s="62" t="n">
        <v>45293</v>
      </c>
      <c r="J229" s="63">
        <f>IF(ISBLANK(F229:G229),,IF(COUNTA(F229)=0,G229,F229))</f>
        <v/>
      </c>
      <c r="K229" s="64">
        <f>IFERROR(__xludf.DUMMYFUNCTION("if(isblank(J229),,index(googlefinance(A229,K$2,J229-1),2,2))"),139.36)</f>
        <v/>
      </c>
      <c r="L229" s="65">
        <f>IF(ISBLANK(H229:I229),,IF(COUNTA(H229)=0,I229,H229))</f>
        <v/>
      </c>
      <c r="M229" s="66">
        <f>IFERROR(__xludf.DUMMYFUNCTION("if(isblank(L229),, index(googlefinance(A229,M$2,L229-1),2,2))"),139.03)</f>
        <v/>
      </c>
      <c r="N229" s="67">
        <f>IFERROR(__xludf.DUMMYFUNCTION("if(isblank(A229),,googlefinance(A229))"),134.59)</f>
        <v/>
      </c>
      <c r="O229" s="68">
        <f>IF(ISBLANK(J229),,IF(ISBLANK(L229),"Ongoing","Completed"))</f>
        <v/>
      </c>
      <c r="P229" s="68">
        <f>IF(ISBLANK(A229),,IF(AND(COUNTA(F229)=1,T229&gt;0),"Profit",IF(AND(COUNTA(G229)=1,T229&lt;0),"Profit","Loss")))</f>
        <v/>
      </c>
      <c r="Q229" s="53">
        <f>IF(ISBLANK(U229),,IF(P229="Profit",IF(T229&lt;0,U229*-T229,U229*T229),IF(T229&gt;0,U229*-T229,U229*T229)))</f>
        <v/>
      </c>
      <c r="R229" s="68" t="n"/>
      <c r="S229" s="69">
        <f>IF($Q229&gt;0, TRUE, FALSE)</f>
        <v/>
      </c>
      <c r="T229" s="68">
        <f>IF(ISBLANK(J229),,IF(ISBLANK(L229),N229-K229,M229-K229))</f>
        <v/>
      </c>
      <c r="U229" s="55">
        <f>IF(ISBLANK(J229),,ROUNDDOWN(U$1/K229,0))</f>
        <v/>
      </c>
    </row>
    <row r="230" hidden="1" ht="14" customHeight="1">
      <c r="A230" s="72" t="inlineStr">
        <is>
          <t>NVDA</t>
        </is>
      </c>
      <c r="B230" s="70" t="n">
        <v>8</v>
      </c>
      <c r="C230" s="55" t="n">
        <v>18.927</v>
      </c>
      <c r="D230" s="55" t="n">
        <v>25</v>
      </c>
      <c r="E230" s="55" t="n">
        <v>1.067</v>
      </c>
      <c r="F230" s="86" t="n"/>
      <c r="G230" s="62" t="n">
        <v>45280</v>
      </c>
      <c r="H230" s="86" t="n"/>
      <c r="I230" s="62" t="n">
        <v>45286</v>
      </c>
      <c r="J230" s="63">
        <f>IF(ISBLANK(F230:G230),,IF(COUNTA(F230)=0,G230,F230))</f>
        <v/>
      </c>
      <c r="K230" s="64">
        <f>IFERROR(__xludf.DUMMYFUNCTION("if(isblank(J230),,index(googlefinance(A230,K$2,J230-1),2,2))"),496.04)</f>
        <v/>
      </c>
      <c r="L230" s="65">
        <f>IF(ISBLANK(H230:I230),,IF(COUNTA(H230)=0,I230,H230))</f>
        <v/>
      </c>
      <c r="M230" s="66">
        <f>IFERROR(__xludf.DUMMYFUNCTION("if(isblank(L230),, index(googlefinance(A230,M$2,L230-1),2,2))"),492.79)</f>
        <v/>
      </c>
      <c r="N230" s="67">
        <f>IFERROR(__xludf.DUMMYFUNCTION("if(isblank(A230),,googlefinance(A230))"),475.69)</f>
        <v/>
      </c>
      <c r="O230" s="68">
        <f>IF(ISBLANK(J230),,IF(ISBLANK(L230),"Ongoing","Completed"))</f>
        <v/>
      </c>
      <c r="P230" s="68">
        <f>IF(ISBLANK(A230),,IF(AND(COUNTA(F230)=1,T230&gt;0),"Profit",IF(AND(COUNTA(G230)=1,T230&lt;0),"Profit","Loss")))</f>
        <v/>
      </c>
      <c r="Q230" s="53">
        <f>IF(ISBLANK(U230),,IF(P230="Profit",IF(T230&lt;0,U230*-T230,U230*T230),IF(T230&gt;0,U230*-T230,U230*T230)))</f>
        <v/>
      </c>
      <c r="R230" s="68" t="n"/>
      <c r="S230" s="69">
        <f>IF($Q230&gt;0, TRUE, FALSE)</f>
        <v/>
      </c>
      <c r="T230" s="68">
        <f>IF(ISBLANK(J230),,IF(ISBLANK(L230),N230-K230,M230-K230))</f>
        <v/>
      </c>
      <c r="U230" s="55">
        <f>IF(ISBLANK(J230),,ROUNDDOWN(U$1/K230,0))</f>
        <v/>
      </c>
    </row>
    <row r="231" ht="14" customHeight="1">
      <c r="A231" s="72" t="inlineStr">
        <is>
          <t>KMX</t>
        </is>
      </c>
      <c r="B231" s="70" t="n">
        <v>8</v>
      </c>
      <c r="C231" s="55" t="n">
        <v>297.94</v>
      </c>
      <c r="D231" s="55" t="n">
        <v>37.5</v>
      </c>
      <c r="E231" s="55" t="n">
        <v>1.868</v>
      </c>
      <c r="F231" s="86" t="n"/>
      <c r="G231" s="62" t="n">
        <v>45282</v>
      </c>
      <c r="H231" s="86" t="n"/>
      <c r="I231" s="86" t="n"/>
      <c r="J231" s="63">
        <f>IF(ISBLANK(F231:G231),,IF(COUNTA(F231)=0,G231,F231))</f>
        <v/>
      </c>
      <c r="K231" s="64">
        <f>IFERROR(__xludf.DUMMYFUNCTION("if(isblank(J231),,index(googlefinance(A231,K$2,J231-1),2,2))"),78.55)</f>
        <v/>
      </c>
      <c r="L231" s="65">
        <f>IF(ISBLANK(H231:I231),,IF(COUNTA(H231)=0,I231,H231))</f>
        <v/>
      </c>
      <c r="M231" s="66">
        <f>IFERROR(__xludf.DUMMYFUNCTION("if(isblank(L231),, index(googlefinance(A231,M$2,L231-1),2,2))"),"")</f>
        <v/>
      </c>
      <c r="N231" s="67">
        <f>IFERROR(__xludf.DUMMYFUNCTION("if(isblank(A231),,googlefinance(A231))"),72.53)</f>
        <v/>
      </c>
      <c r="O231" s="68">
        <f>IF(ISBLANK(J231),,IF(ISBLANK(L231),"Ongoing","Completed"))</f>
        <v/>
      </c>
      <c r="P231" s="68">
        <f>IF(ISBLANK(A231),,IF(AND(COUNTA(F231)=1,T231&gt;0),"Profit",IF(AND(COUNTA(G231)=1,T231&lt;0),"Profit","Loss")))</f>
        <v/>
      </c>
      <c r="Q231" s="53">
        <f>IF(ISBLANK(U231),,IF(P231="Profit",IF(T231&lt;0,U231*-T231,U231*T231),IF(T231&gt;0,U231*-T231,U231*T231)))</f>
        <v/>
      </c>
      <c r="R231" s="68" t="n"/>
      <c r="S231" s="69">
        <f>IF($Q231&gt;0, TRUE, FALSE)</f>
        <v/>
      </c>
      <c r="T231" s="68">
        <f>IF(ISBLANK(J231),,IF(ISBLANK(L231),N231-K231,M231-K231))</f>
        <v/>
      </c>
      <c r="U231" s="55">
        <f>IF(ISBLANK(J231),,ROUNDDOWN(U$1/K231,0))</f>
        <v/>
      </c>
    </row>
    <row r="232" ht="14" customHeight="1">
      <c r="A232" s="72" t="inlineStr">
        <is>
          <t>NKE</t>
        </is>
      </c>
      <c r="B232" s="70" t="n">
        <v>11</v>
      </c>
      <c r="C232" s="55" t="n">
        <v>5.15</v>
      </c>
      <c r="D232" s="55" t="n">
        <v>36.364</v>
      </c>
      <c r="E232" s="55" t="n">
        <v>1.031</v>
      </c>
      <c r="F232" s="86" t="n"/>
      <c r="G232" s="62" t="n">
        <v>45282</v>
      </c>
      <c r="H232" s="86" t="n"/>
      <c r="I232" s="86" t="n"/>
      <c r="J232" s="63">
        <f>IF(ISBLANK(F232:G232),,IF(COUNTA(F232)=0,G232,F232))</f>
        <v/>
      </c>
      <c r="K232" s="64">
        <f>IFERROR(__xludf.DUMMYFUNCTION("if(isblank(J232),,index(googlefinance(A232,K$2,J232-1),2,2))"),122.53)</f>
        <v/>
      </c>
      <c r="L232" s="65">
        <f>IF(ISBLANK(H232:I232),,IF(COUNTA(H232)=0,I232,H232))</f>
        <v/>
      </c>
      <c r="M232" s="66">
        <f>IFERROR(__xludf.DUMMYFUNCTION("if(isblank(L232),, index(googlefinance(A232,M$2,L232-1),2,2))"),"")</f>
        <v/>
      </c>
      <c r="N232" s="67">
        <f>IFERROR(__xludf.DUMMYFUNCTION("if(isblank(A232),,googlefinance(A232))"),104.04)</f>
        <v/>
      </c>
      <c r="O232" s="68">
        <f>IF(ISBLANK(J232),,IF(ISBLANK(L232),"Ongoing","Completed"))</f>
        <v/>
      </c>
      <c r="P232" s="68">
        <f>IF(ISBLANK(A232),,IF(AND(COUNTA(F232)=1,T232&gt;0),"Profit",IF(AND(COUNTA(G232)=1,T232&lt;0),"Profit","Loss")))</f>
        <v/>
      </c>
      <c r="Q232" s="53">
        <f>IF(ISBLANK(U232),,IF(P232="Profit",IF(T232&lt;0,U232*-T232,U232*T232),IF(T232&gt;0,U232*-T232,U232*T232)))</f>
        <v/>
      </c>
      <c r="R232" s="68" t="n"/>
      <c r="S232" s="69">
        <f>IF($Q232&gt;0, TRUE, FALSE)</f>
        <v/>
      </c>
      <c r="T232" s="68">
        <f>IF(ISBLANK(J232),,IF(ISBLANK(L232),N232-K232,M232-K232))</f>
        <v/>
      </c>
      <c r="U232" s="55">
        <f>IF(ISBLANK(J232),,ROUNDDOWN(U$1/K232,0))</f>
        <v/>
      </c>
    </row>
    <row r="233" ht="14" customHeight="1">
      <c r="A233" s="72" t="inlineStr">
        <is>
          <t>PAYX</t>
        </is>
      </c>
      <c r="B233" s="70" t="n">
        <v>14</v>
      </c>
      <c r="C233" s="55" t="n">
        <v>34.47</v>
      </c>
      <c r="D233" s="55" t="n">
        <v>42.857</v>
      </c>
      <c r="E233" s="55" t="n">
        <v>1.18</v>
      </c>
      <c r="F233" s="62" t="n"/>
      <c r="G233" s="62" t="n">
        <v>45282</v>
      </c>
      <c r="H233" s="86" t="n"/>
      <c r="I233" s="86" t="n"/>
      <c r="J233" s="63">
        <f>IF(ISBLANK(F233:G233),,IF(COUNTA(F233)=0,G233,F233))</f>
        <v/>
      </c>
      <c r="K233" s="64">
        <f>IFERROR(__xludf.DUMMYFUNCTION("if(isblank(J233),,index(googlefinance(A233,K$2,J233-1),2,2))"),118.9)</f>
        <v/>
      </c>
      <c r="L233" s="65">
        <f>IF(ISBLANK(H233:I233),,IF(COUNTA(H233)=0,I233,H233))</f>
        <v/>
      </c>
      <c r="M233" s="66">
        <f>IFERROR(__xludf.DUMMYFUNCTION("if(isblank(L233),, index(googlefinance(A233,M$2,L233-1),2,2))"),"")</f>
        <v/>
      </c>
      <c r="N233" s="67">
        <f>IFERROR(__xludf.DUMMYFUNCTION("if(isblank(A233),,googlefinance(A233))"),116.84)</f>
        <v/>
      </c>
      <c r="O233" s="68">
        <f>IF(ISBLANK(J233),,IF(ISBLANK(L233),"Ongoing","Completed"))</f>
        <v/>
      </c>
      <c r="P233" s="68">
        <f>IF(ISBLANK(A233),,IF(AND(COUNTA(F233)=1,T233&gt;0),"Profit",IF(AND(COUNTA(G233)=1,T233&lt;0),"Profit","Loss")))</f>
        <v/>
      </c>
      <c r="Q233" s="53">
        <f>IF(ISBLANK(U233),,IF(P233="Profit",IF(T233&lt;0,U233*-T233,U233*T233),IF(T233&gt;0,U233*-T233,U233*T233)))</f>
        <v/>
      </c>
      <c r="R233" s="68" t="n"/>
      <c r="S233" s="69">
        <f>IF($Q233&gt;0, TRUE, FALSE)</f>
        <v/>
      </c>
      <c r="T233" s="68">
        <f>IF(ISBLANK(J233),,IF(ISBLANK(L233),N233-K233,M233-K233))</f>
        <v/>
      </c>
      <c r="U233" s="55">
        <f>IF(ISBLANK(J233),,ROUNDDOWN(U$1/K233,0))</f>
        <v/>
      </c>
    </row>
    <row r="234" ht="14" customHeight="1">
      <c r="A234" s="72" t="inlineStr">
        <is>
          <t>EXC</t>
        </is>
      </c>
      <c r="B234" s="70" t="n">
        <v>13</v>
      </c>
      <c r="C234" s="55" t="n">
        <v>63.964</v>
      </c>
      <c r="D234" s="55" t="n">
        <v>38.462</v>
      </c>
      <c r="E234" s="55" t="n">
        <v>1.358</v>
      </c>
      <c r="F234" s="62" t="n">
        <v>45288</v>
      </c>
      <c r="G234" s="86" t="n"/>
      <c r="H234" s="86" t="n"/>
      <c r="I234" s="86" t="n"/>
      <c r="J234" s="63">
        <f>IF(ISBLANK(F234:G234),,IF(COUNTA(F234)=0,G234,F234))</f>
        <v/>
      </c>
      <c r="K234" s="64">
        <f>IFERROR(__xludf.DUMMYFUNCTION("if(isblank(J234),,index(googlefinance(A234,K$2,J234-1),2,2))"),35.41)</f>
        <v/>
      </c>
      <c r="L234" s="65">
        <f>IF(ISBLANK(H234:I234),,IF(COUNTA(H234)=0,I234,H234))</f>
        <v/>
      </c>
      <c r="M234" s="66">
        <f>IFERROR(__xludf.DUMMYFUNCTION("if(isblank(L234),, index(googlefinance(A234,M$2,L234-1),2,2))"),"")</f>
        <v/>
      </c>
      <c r="N234" s="67">
        <f>IFERROR(__xludf.DUMMYFUNCTION("if(isblank(A234),,googlefinance(A234))"),36.18)</f>
        <v/>
      </c>
      <c r="O234" s="68">
        <f>IF(ISBLANK(J234),,IF(ISBLANK(L234),"Ongoing","Completed"))</f>
        <v/>
      </c>
      <c r="P234" s="68">
        <f>IF(ISBLANK(A234),,IF(AND(COUNTA(F234)=1,T234&gt;0),"Profit",IF(AND(COUNTA(G234)=1,T234&lt;0),"Profit","Loss")))</f>
        <v/>
      </c>
      <c r="Q234" s="53">
        <f>IF(ISBLANK(U234),,IF(P234="Profit",IF(T234&lt;0,U234*-T234,U234*T234),IF(T234&gt;0,U234*-T234,U234*T234)))</f>
        <v/>
      </c>
      <c r="R234" s="68" t="n"/>
      <c r="S234" s="69">
        <f>IF($Q234&gt;0, TRUE, FALSE)</f>
        <v/>
      </c>
      <c r="T234" s="68">
        <f>IF(ISBLANK(J234),,IF(ISBLANK(L234),N234-K234,M234-K234))</f>
        <v/>
      </c>
      <c r="U234" s="55">
        <f>IF(ISBLANK(J234),,ROUNDDOWN(U$1/K234,0))</f>
        <v/>
      </c>
    </row>
    <row r="235" ht="14" customHeight="1">
      <c r="A235" s="72" t="inlineStr">
        <is>
          <t>CDNS</t>
        </is>
      </c>
      <c r="B235" s="70" t="n">
        <v>12</v>
      </c>
      <c r="C235" s="55" t="n">
        <v>52.68</v>
      </c>
      <c r="D235" s="55" t="n">
        <v>41.667</v>
      </c>
      <c r="E235" s="55" t="n">
        <v>1.25</v>
      </c>
      <c r="F235" s="86" t="n"/>
      <c r="G235" s="62" t="n">
        <v>45289</v>
      </c>
      <c r="H235" s="86" t="n"/>
      <c r="I235" s="86" t="n"/>
      <c r="J235" s="63">
        <f>IF(ISBLANK(F235:G235),,IF(COUNTA(F235)=0,G235,F235))</f>
        <v/>
      </c>
      <c r="K235" s="64">
        <f>IFERROR(__xludf.DUMMYFUNCTION("if(isblank(J235),,index(googlefinance(A235,K$2,J235-1),2,2))"),273.24)</f>
        <v/>
      </c>
      <c r="L235" s="65">
        <f>IF(ISBLANK(H235:I235),,IF(COUNTA(H235)=0,I235,H235))</f>
        <v/>
      </c>
      <c r="M235" s="66">
        <f>IFERROR(__xludf.DUMMYFUNCTION("if(isblank(L235),, index(googlefinance(A235,M$2,L235-1),2,2))"),"")</f>
        <v/>
      </c>
      <c r="N235" s="67">
        <f>IFERROR(__xludf.DUMMYFUNCTION("if(isblank(A235),,googlefinance(A235))"),257.28)</f>
        <v/>
      </c>
      <c r="O235" s="68">
        <f>IF(ISBLANK(J235),,IF(ISBLANK(L235),"Ongoing","Completed"))</f>
        <v/>
      </c>
      <c r="P235" s="68">
        <f>IF(ISBLANK(A235),,IF(AND(COUNTA(F235)=1,T235&gt;0),"Profit",IF(AND(COUNTA(G235)=1,T235&lt;0),"Profit","Loss")))</f>
        <v/>
      </c>
      <c r="Q235" s="53">
        <f>IF(ISBLANK(U235),,IF(P235="Profit",IF(T235&lt;0,U235*-T235,U235*T235),IF(T235&gt;0,U235*-T235,U235*T235)))</f>
        <v/>
      </c>
      <c r="R235" s="68" t="n"/>
      <c r="S235" s="69">
        <f>IF($Q235&gt;0, TRUE, FALSE)</f>
        <v/>
      </c>
      <c r="T235" s="68">
        <f>IF(ISBLANK(J235),,IF(ISBLANK(L235),N235-K235,M235-K235))</f>
        <v/>
      </c>
      <c r="U235" s="55">
        <f>IF(ISBLANK(J235),,ROUNDDOWN(U$1/K235,0))</f>
        <v/>
      </c>
    </row>
    <row r="236" ht="14" customHeight="1">
      <c r="A236" s="72" t="inlineStr">
        <is>
          <t>GOOG</t>
        </is>
      </c>
      <c r="B236" s="70" t="n">
        <v>9</v>
      </c>
      <c r="C236" s="55" t="n">
        <v>99.813</v>
      </c>
      <c r="D236" s="55" t="n">
        <v>44.444</v>
      </c>
      <c r="E236" s="55" t="n">
        <v>1.968</v>
      </c>
      <c r="F236" s="86" t="n"/>
      <c r="G236" s="62" t="n">
        <v>45293</v>
      </c>
      <c r="H236" s="86" t="n"/>
      <c r="I236" s="86" t="n"/>
      <c r="J236" s="63">
        <f>IF(ISBLANK(F236:G236),,IF(COUNTA(F236)=0,G236,F236))</f>
        <v/>
      </c>
      <c r="K236" s="64">
        <f>IFERROR(__xludf.DUMMYFUNCTION("if(isblank(J236),,index(googlefinance(A236,K$2,J236-1),2,2))"),139.56)</f>
        <v/>
      </c>
      <c r="L236" s="65">
        <f>IF(ISBLANK(H236:I236),,IF(COUNTA(H236)=0,I236,H236))</f>
        <v/>
      </c>
      <c r="M236" s="66">
        <f>IFERROR(__xludf.DUMMYFUNCTION("if(isblank(L236),, index(googlefinance(A236,M$2,L236-1),2,2))"),"")</f>
        <v/>
      </c>
      <c r="N236" s="67">
        <f>IFERROR(__xludf.DUMMYFUNCTION("if(isblank(A236),,googlefinance(A236))"),140.36)</f>
        <v/>
      </c>
      <c r="O236" s="68">
        <f>IF(ISBLANK(J236),,IF(ISBLANK(L236),"Ongoing","Completed"))</f>
        <v/>
      </c>
      <c r="P236" s="68">
        <f>IF(ISBLANK(A236),,IF(AND(COUNTA(F236)=1,T236&gt;0),"Profit",IF(AND(COUNTA(G236)=1,T236&lt;0),"Profit","Loss")))</f>
        <v/>
      </c>
      <c r="Q236" s="53">
        <f>IF(ISBLANK(U236),,IF(P236="Profit",IF(T236&lt;0,U236*-T236,U236*T236),IF(T236&gt;0,U236*-T236,U236*T236)))</f>
        <v/>
      </c>
      <c r="R236" s="68" t="n"/>
      <c r="S236" s="69">
        <f>IF($Q236&gt;0, TRUE, FALSE)</f>
        <v/>
      </c>
      <c r="T236" s="68">
        <f>IF(ISBLANK(J236),,IF(ISBLANK(L236),N236-K236,M236-K236))</f>
        <v/>
      </c>
      <c r="U236" s="55">
        <f>IF(ISBLANK(J236),,ROUNDDOWN(U$1/K236,0))</f>
        <v/>
      </c>
    </row>
    <row r="237" ht="14" customHeight="1">
      <c r="A237" s="72" t="inlineStr">
        <is>
          <t>GOOGL</t>
        </is>
      </c>
      <c r="B237" s="70" t="n">
        <v>8</v>
      </c>
      <c r="C237" s="55" t="n">
        <v>263.024</v>
      </c>
      <c r="D237" s="55" t="n">
        <v>75</v>
      </c>
      <c r="E237" s="55" t="n">
        <v>6.32</v>
      </c>
      <c r="F237" s="86" t="n"/>
      <c r="G237" s="62" t="n">
        <v>45293</v>
      </c>
      <c r="H237" s="86" t="n"/>
      <c r="I237" s="86" t="n"/>
      <c r="J237" s="63">
        <f>IF(ISBLANK(F237:G237),,IF(COUNTA(F237)=0,G237,F237))</f>
        <v/>
      </c>
      <c r="K237" s="64">
        <f>IFERROR(__xludf.DUMMYFUNCTION("if(isblank(J237),,index(googlefinance(A237,K$2,J237-1),2,2))"),138.17)</f>
        <v/>
      </c>
      <c r="L237" s="65">
        <f>IF(ISBLANK(H237:I237),,IF(COUNTA(H237)=0,I237,H237))</f>
        <v/>
      </c>
      <c r="M237" s="66">
        <f>IFERROR(__xludf.DUMMYFUNCTION("if(isblank(L237),, index(googlefinance(A237,M$2,L237-1),2,2))"),"")</f>
        <v/>
      </c>
      <c r="N237" s="67">
        <f>IFERROR(__xludf.DUMMYFUNCTION("if(isblank(A237),,googlefinance(A237))"),138.92)</f>
        <v/>
      </c>
      <c r="O237" s="68">
        <f>IF(ISBLANK(J237),,IF(ISBLANK(L237),"Ongoing","Completed"))</f>
        <v/>
      </c>
      <c r="P237" s="68">
        <f>IF(ISBLANK(A237),,IF(AND(COUNTA(F237)=1,T237&gt;0),"Profit",IF(AND(COUNTA(G237)=1,T237&lt;0),"Profit","Loss")))</f>
        <v/>
      </c>
      <c r="Q237" s="53">
        <f>IF(ISBLANK(U237),,IF(P237="Profit",IF(T237&lt;0,U237*-T237,U237*T237),IF(T237&gt;0,U237*-T237,U237*T237)))</f>
        <v/>
      </c>
      <c r="R237" s="68" t="n"/>
      <c r="S237" s="69">
        <f>IF($Q237&gt;0, TRUE, FALSE)</f>
        <v/>
      </c>
      <c r="T237" s="68">
        <f>IF(ISBLANK(J237),,IF(ISBLANK(L237),N237-K237,M237-K237))</f>
        <v/>
      </c>
      <c r="U237" s="55">
        <f>IF(ISBLANK(J237),,ROUNDDOWN(U$1/K237,0))</f>
        <v/>
      </c>
    </row>
    <row r="238" ht="14" customHeight="1">
      <c r="A238" s="72" t="inlineStr">
        <is>
          <t>ADI</t>
        </is>
      </c>
      <c r="B238" s="70" t="n">
        <v>12</v>
      </c>
      <c r="C238" s="55" t="n">
        <v>65.52</v>
      </c>
      <c r="D238" s="55" t="n">
        <v>50</v>
      </c>
      <c r="E238" s="55" t="n">
        <v>1.317</v>
      </c>
      <c r="F238" s="86" t="n"/>
      <c r="G238" s="62" t="n">
        <v>45294</v>
      </c>
      <c r="H238" s="86" t="n"/>
      <c r="I238" s="86" t="n"/>
      <c r="J238" s="63">
        <f>IF(ISBLANK(F238:G238),,IF(COUNTA(F238)=0,G238,F238))</f>
        <v/>
      </c>
      <c r="K238" s="64">
        <f>IFERROR(__xludf.DUMMYFUNCTION("if(isblank(J238),,index(googlefinance(A238,K$2,J238-1),2,2))"),193.58)</f>
        <v/>
      </c>
      <c r="L238" s="65">
        <f>IF(ISBLANK(H238:I238),,IF(COUNTA(H238)=0,I238,H238))</f>
        <v/>
      </c>
      <c r="M238" s="66">
        <f>IFERROR(__xludf.DUMMYFUNCTION("if(isblank(L238),, index(googlefinance(A238,M$2,L238-1),2,2))"),"")</f>
        <v/>
      </c>
      <c r="N238" s="67">
        <f>IFERROR(__xludf.DUMMYFUNCTION("if(isblank(A238),,googlefinance(A238))"),188.96)</f>
        <v/>
      </c>
      <c r="O238" s="68">
        <f>IF(ISBLANK(J238),,IF(ISBLANK(L238),"Ongoing","Completed"))</f>
        <v/>
      </c>
      <c r="P238" s="68">
        <f>IF(ISBLANK(A238),,IF(AND(COUNTA(F238)=1,T238&gt;0),"Profit",IF(AND(COUNTA(G238)=1,T238&lt;0),"Profit","Loss")))</f>
        <v/>
      </c>
      <c r="Q238" s="53">
        <f>IF(ISBLANK(U238),,IF(P238="Profit",IF(T238&lt;0,U238*-T238,U238*T238),IF(T238&gt;0,U238*-T238,U238*T238)))</f>
        <v/>
      </c>
      <c r="R238" s="68" t="n"/>
      <c r="S238" s="69">
        <f>IF($Q238&gt;0, TRUE, FALSE)</f>
        <v/>
      </c>
      <c r="T238" s="68">
        <f>IF(ISBLANK(J238),,IF(ISBLANK(L238),N238-K238,M238-K238))</f>
        <v/>
      </c>
      <c r="U238" s="55">
        <f>IF(ISBLANK(J238),,ROUNDDOWN(U$1/K238,0))</f>
        <v/>
      </c>
    </row>
    <row r="239" ht="14" customHeight="1">
      <c r="A239" s="72" t="inlineStr">
        <is>
          <t>ASML</t>
        </is>
      </c>
      <c r="B239" s="70" t="n">
        <v>7</v>
      </c>
      <c r="C239" s="55" t="n">
        <v>16.83</v>
      </c>
      <c r="D239" s="55" t="n">
        <v>57.143</v>
      </c>
      <c r="E239" s="55" t="n">
        <v>1.153</v>
      </c>
      <c r="F239" s="86" t="n"/>
      <c r="G239" s="62" t="n">
        <v>45294</v>
      </c>
      <c r="H239" s="86" t="n"/>
      <c r="I239" s="86" t="n"/>
      <c r="J239" s="63">
        <f>IF(ISBLANK(F239:G239),,IF(COUNTA(F239)=0,G239,F239))</f>
        <v/>
      </c>
      <c r="K239" s="64">
        <f>IFERROR(__xludf.DUMMYFUNCTION("if(isblank(J239),,index(googlefinance(A239,K$2,J239-1),2,2))"),716.92)</f>
        <v/>
      </c>
      <c r="L239" s="65">
        <f>IF(ISBLANK(H239:I239),,IF(COUNTA(H239)=0,I239,H239))</f>
        <v/>
      </c>
      <c r="M239" s="66">
        <f>IFERROR(__xludf.DUMMYFUNCTION("if(isblank(L239),, index(googlefinance(A239,M$2,L239-1),2,2))"),"")</f>
        <v/>
      </c>
      <c r="N239" s="67">
        <f>IFERROR(__xludf.DUMMYFUNCTION("if(isblank(A239),,googlefinance(A239))"),703.37)</f>
        <v/>
      </c>
      <c r="O239" s="68">
        <f>IF(ISBLANK(J239),,IF(ISBLANK(L239),"Ongoing","Completed"))</f>
        <v/>
      </c>
      <c r="P239" s="68">
        <f>IF(ISBLANK(A239),,IF(AND(COUNTA(F239)=1,T239&gt;0),"Profit",IF(AND(COUNTA(G239)=1,T239&lt;0),"Profit","Loss")))</f>
        <v/>
      </c>
      <c r="Q239" s="53">
        <f>IF(ISBLANK(U239),,IF(P239="Profit",IF(T239&lt;0,U239*-T239,U239*T239),IF(T239&gt;0,U239*-T239,U239*T239)))</f>
        <v/>
      </c>
      <c r="R239" s="68" t="n"/>
      <c r="S239" s="69">
        <f>IF($Q239&gt;0, TRUE, FALSE)</f>
        <v/>
      </c>
      <c r="T239" s="68">
        <f>IF(ISBLANK(J239),,IF(ISBLANK(L239),N239-K239,M239-K239))</f>
        <v/>
      </c>
      <c r="U239" s="55">
        <f>IF(ISBLANK(J239),,ROUNDDOWN(U$1/K239,0))</f>
        <v/>
      </c>
    </row>
    <row r="240" ht="14" customHeight="1">
      <c r="A240" s="72" t="inlineStr">
        <is>
          <t>FDS</t>
        </is>
      </c>
      <c r="B240" s="70" t="n">
        <v>14</v>
      </c>
      <c r="C240" s="55" t="n">
        <v>96.70999999999999</v>
      </c>
      <c r="D240" s="55" t="n">
        <v>42.857</v>
      </c>
      <c r="E240" s="55" t="n">
        <v>1.496</v>
      </c>
      <c r="F240" s="86" t="n"/>
      <c r="G240" s="62" t="n">
        <v>45294</v>
      </c>
      <c r="H240" s="86" t="n"/>
      <c r="I240" s="86" t="n"/>
      <c r="J240" s="63">
        <f>IF(ISBLANK(F240:G240),,IF(COUNTA(F240)=0,G240,F240))</f>
        <v/>
      </c>
      <c r="K240" s="64">
        <f>IFERROR(__xludf.DUMMYFUNCTION("if(isblank(J240),,index(googlefinance(A240,K$2,J240-1),2,2))"),462.74)</f>
        <v/>
      </c>
      <c r="L240" s="65">
        <f>IF(ISBLANK(H240:I240),,IF(COUNTA(H240)=0,I240,H240))</f>
        <v/>
      </c>
      <c r="M240" s="66">
        <f>IFERROR(__xludf.DUMMYFUNCTION("if(isblank(L240),, index(googlefinance(A240,M$2,L240-1),2,2))"),"")</f>
        <v/>
      </c>
      <c r="N240" s="67">
        <f>IFERROR(__xludf.DUMMYFUNCTION("if(isblank(A240),,googlefinance(A240))"),454.72)</f>
        <v/>
      </c>
      <c r="O240" s="68">
        <f>IF(ISBLANK(J240),,IF(ISBLANK(L240),"Ongoing","Completed"))</f>
        <v/>
      </c>
      <c r="P240" s="68">
        <f>IF(ISBLANK(A240),,IF(AND(COUNTA(F240)=1,T240&gt;0),"Profit",IF(AND(COUNTA(G240)=1,T240&lt;0),"Profit","Loss")))</f>
        <v/>
      </c>
      <c r="Q240" s="53">
        <f>IF(ISBLANK(U240),,IF(P240="Profit",IF(T240&lt;0,U240*-T240,U240*T240),IF(T240&gt;0,U240*-T240,U240*T240)))</f>
        <v/>
      </c>
      <c r="R240" s="68" t="n"/>
      <c r="S240" s="69">
        <f>IF($Q240&gt;0, TRUE, FALSE)</f>
        <v/>
      </c>
      <c r="T240" s="68">
        <f>IF(ISBLANK(J240),,IF(ISBLANK(L240),N240-K240,M240-K240))</f>
        <v/>
      </c>
      <c r="U240" s="55">
        <f>IF(ISBLANK(J240),,ROUNDDOWN(U$1/K240,0))</f>
        <v/>
      </c>
    </row>
    <row r="241" ht="14" customHeight="1">
      <c r="A241" s="72" t="inlineStr">
        <is>
          <t>LRCX</t>
        </is>
      </c>
      <c r="B241" s="70" t="n">
        <v>13</v>
      </c>
      <c r="C241" s="55" t="n">
        <v>76.48</v>
      </c>
      <c r="D241" s="55" t="n">
        <v>23.077</v>
      </c>
      <c r="E241" s="55" t="n">
        <v>1.133</v>
      </c>
      <c r="F241" s="86" t="n"/>
      <c r="G241" s="62" t="n">
        <v>45294</v>
      </c>
      <c r="H241" s="86" t="n"/>
      <c r="I241" s="86" t="n"/>
      <c r="J241" s="63">
        <f>IF(ISBLANK(F241:G241),,IF(COUNTA(F241)=0,G241,F241))</f>
        <v/>
      </c>
      <c r="K241" s="64">
        <f>IFERROR(__xludf.DUMMYFUNCTION("if(isblank(J241),,index(googlefinance(A241,K$2,J241-1),2,2))"),749.3)</f>
        <v/>
      </c>
      <c r="L241" s="65">
        <f>IF(ISBLANK(H241:I241),,IF(COUNTA(H241)=0,I241,H241))</f>
        <v/>
      </c>
      <c r="M241" s="66">
        <f>IFERROR(__xludf.DUMMYFUNCTION("if(isblank(L241),, index(googlefinance(A241,M$2,L241-1),2,2))"),"")</f>
        <v/>
      </c>
      <c r="N241" s="67">
        <f>IFERROR(__xludf.DUMMYFUNCTION("if(isblank(A241),,googlefinance(A241))"),736.93)</f>
        <v/>
      </c>
      <c r="O241" s="68">
        <f>IF(ISBLANK(J241),,IF(ISBLANK(L241),"Ongoing","Completed"))</f>
        <v/>
      </c>
      <c r="P241" s="68">
        <f>IF(ISBLANK(A241),,IF(AND(COUNTA(F241)=1,T241&gt;0),"Profit",IF(AND(COUNTA(G241)=1,T241&lt;0),"Profit","Loss")))</f>
        <v/>
      </c>
      <c r="Q241" s="53">
        <f>IF(ISBLANK(U241),,IF(P241="Profit",IF(T241&lt;0,U241*-T241,U241*T241),IF(T241&gt;0,U241*-T241,U241*T241)))</f>
        <v/>
      </c>
      <c r="R241" s="68" t="n"/>
      <c r="S241" s="69">
        <f>IF($Q241&gt;0, TRUE, FALSE)</f>
        <v/>
      </c>
      <c r="T241" s="68">
        <f>IF(ISBLANK(J241),,IF(ISBLANK(L241),N241-K241,M241-K241))</f>
        <v/>
      </c>
      <c r="U241" s="55">
        <f>IF(ISBLANK(J241),,ROUNDDOWN(U$1/K241,0))</f>
        <v/>
      </c>
    </row>
    <row r="242" ht="14" customHeight="1">
      <c r="A242" s="72" t="inlineStr">
        <is>
          <t>MPWR</t>
        </is>
      </c>
      <c r="B242" s="70" t="n">
        <v>12</v>
      </c>
      <c r="C242" s="55" t="n">
        <v>48.5</v>
      </c>
      <c r="D242" s="55" t="n">
        <v>41.667</v>
      </c>
      <c r="E242" s="55" t="n">
        <v>1.147</v>
      </c>
      <c r="F242" s="86" t="n"/>
      <c r="G242" s="62" t="n">
        <v>45294</v>
      </c>
      <c r="H242" s="86" t="n"/>
      <c r="I242" s="86" t="n"/>
      <c r="J242" s="63">
        <f>IF(ISBLANK(F242:G242),,IF(COUNTA(F242)=0,G242,F242))</f>
        <v/>
      </c>
      <c r="K242" s="64">
        <f>IFERROR(__xludf.DUMMYFUNCTION("if(isblank(J242),,index(googlefinance(A242,K$2,J242-1),2,2))"),604)</f>
        <v/>
      </c>
      <c r="L242" s="65">
        <f>IF(ISBLANK(H242:I242),,IF(COUNTA(H242)=0,I242,H242))</f>
        <v/>
      </c>
      <c r="M242" s="66">
        <f>IFERROR(__xludf.DUMMYFUNCTION("if(isblank(L242),, index(googlefinance(A242,M$2,L242-1),2,2))"),"")</f>
        <v/>
      </c>
      <c r="N242" s="67">
        <f>IFERROR(__xludf.DUMMYFUNCTION("if(isblank(A242),,googlefinance(A242))"),578.3)</f>
        <v/>
      </c>
      <c r="O242" s="68">
        <f>IF(ISBLANK(J242),,IF(ISBLANK(L242),"Ongoing","Completed"))</f>
        <v/>
      </c>
      <c r="P242" s="68">
        <f>IF(ISBLANK(A242),,IF(AND(COUNTA(F242)=1,T242&gt;0),"Profit",IF(AND(COUNTA(G242)=1,T242&lt;0),"Profit","Loss")))</f>
        <v/>
      </c>
      <c r="Q242" s="53">
        <f>IF(ISBLANK(U242),,IF(P242="Profit",IF(T242&lt;0,U242*-T242,U242*T242),IF(T242&gt;0,U242*-T242,U242*T242)))</f>
        <v/>
      </c>
      <c r="R242" s="68" t="n"/>
      <c r="S242" s="69">
        <f>IF($Q242&gt;0, TRUE, FALSE)</f>
        <v/>
      </c>
      <c r="T242" s="68">
        <f>IF(ISBLANK(J242),,IF(ISBLANK(L242),N242-K242,M242-K242))</f>
        <v/>
      </c>
      <c r="U242" s="55">
        <f>IF(ISBLANK(J242),,ROUNDDOWN(U$1/K242,0))</f>
        <v/>
      </c>
    </row>
    <row r="243" ht="14" customHeight="1">
      <c r="A243" s="46" t="inlineStr">
        <is>
          <t>ACN</t>
        </is>
      </c>
      <c r="B243" s="69" t="n">
        <v>10</v>
      </c>
      <c r="C243" s="69" t="n">
        <v>122.22</v>
      </c>
      <c r="D243" s="69" t="n">
        <v>40</v>
      </c>
      <c r="E243" s="69" t="n">
        <v>1.491</v>
      </c>
      <c r="F243" s="69" t="inlineStr">
        <is>
          <t xml:space="preserve"> </t>
        </is>
      </c>
      <c r="G243" s="62" t="inlineStr">
        <is>
          <t>2024/01/04</t>
        </is>
      </c>
      <c r="H243" s="69" t="n"/>
      <c r="I243" s="69" t="n"/>
      <c r="J243" s="69" t="n"/>
      <c r="K243" s="69" t="n"/>
      <c r="L243" s="69" t="n"/>
      <c r="M243" s="69" t="n"/>
      <c r="N243" s="69" t="n"/>
      <c r="O243" s="69" t="n"/>
      <c r="P243" s="69" t="n"/>
      <c r="Q243" s="69" t="n"/>
      <c r="R243" s="69" t="n"/>
      <c r="S243" s="69" t="n"/>
      <c r="T243" s="69" t="n"/>
      <c r="U243" s="46" t="n"/>
    </row>
    <row r="244" ht="14" customHeight="1">
      <c r="A244" s="46" t="inlineStr">
        <is>
          <t>AVGO</t>
        </is>
      </c>
      <c r="B244" s="69" t="n">
        <v>17</v>
      </c>
      <c r="C244" s="69" t="n">
        <v>118.83</v>
      </c>
      <c r="D244" s="69" t="n">
        <v>29.412</v>
      </c>
      <c r="E244" s="69" t="n">
        <v>1.51</v>
      </c>
      <c r="F244" s="69" t="inlineStr">
        <is>
          <t xml:space="preserve"> </t>
        </is>
      </c>
      <c r="G244" s="62" t="inlineStr">
        <is>
          <t>2024/01/04</t>
        </is>
      </c>
      <c r="H244" s="69" t="n"/>
      <c r="I244" s="69" t="n"/>
      <c r="J244" s="69" t="n"/>
      <c r="K244" s="69" t="n"/>
      <c r="L244" s="69" t="n"/>
      <c r="M244" s="69" t="n"/>
      <c r="N244" s="69" t="n"/>
      <c r="O244" s="69" t="n"/>
      <c r="P244" s="69" t="n"/>
      <c r="Q244" s="69" t="n"/>
      <c r="R244" s="69" t="n"/>
      <c r="S244" s="69" t="n"/>
      <c r="T244" s="69" t="n"/>
      <c r="U244" s="46" t="n"/>
    </row>
    <row r="245" ht="14" customHeight="1">
      <c r="A245" s="46" t="inlineStr">
        <is>
          <t>CTAS</t>
        </is>
      </c>
      <c r="B245" s="69" t="n">
        <v>9</v>
      </c>
      <c r="C245" s="69" t="n">
        <v>1.29</v>
      </c>
      <c r="D245" s="69" t="n">
        <v>44.444</v>
      </c>
      <c r="E245" s="69" t="n">
        <v>1.013</v>
      </c>
      <c r="F245" s="69" t="inlineStr">
        <is>
          <t xml:space="preserve"> </t>
        </is>
      </c>
      <c r="G245" s="62" t="inlineStr">
        <is>
          <t>2024/01/04</t>
        </is>
      </c>
      <c r="H245" s="69" t="n"/>
      <c r="I245" s="69" t="n"/>
      <c r="J245" s="69" t="n"/>
      <c r="K245" s="69" t="n"/>
      <c r="L245" s="69" t="n"/>
      <c r="M245" s="69" t="n"/>
      <c r="N245" s="69" t="n"/>
      <c r="O245" s="69" t="n"/>
      <c r="P245" s="69" t="n"/>
      <c r="Q245" s="69" t="n"/>
      <c r="R245" s="69" t="n"/>
      <c r="S245" s="69" t="n"/>
      <c r="T245" s="69" t="n"/>
      <c r="U245" s="46" t="n"/>
    </row>
    <row r="246" ht="14" customHeight="1">
      <c r="A246" s="46" t="inlineStr">
        <is>
          <t>IQV</t>
        </is>
      </c>
      <c r="B246" s="69" t="n">
        <v>11</v>
      </c>
      <c r="C246" s="69" t="n">
        <v>34.6</v>
      </c>
      <c r="D246" s="69" t="n">
        <v>27.273</v>
      </c>
      <c r="E246" s="69" t="n">
        <v>1.154</v>
      </c>
      <c r="F246" s="69" t="inlineStr">
        <is>
          <t xml:space="preserve"> </t>
        </is>
      </c>
      <c r="G246" s="62" t="inlineStr">
        <is>
          <t>2024/01/04</t>
        </is>
      </c>
      <c r="H246" s="69" t="n"/>
      <c r="I246" s="69" t="n"/>
      <c r="J246" s="69" t="n"/>
      <c r="K246" s="69" t="n"/>
      <c r="L246" s="69" t="n"/>
      <c r="M246" s="69" t="n"/>
      <c r="N246" s="69" t="n"/>
      <c r="O246" s="69" t="n"/>
      <c r="P246" s="69" t="n"/>
      <c r="Q246" s="69" t="n"/>
      <c r="R246" s="69" t="n"/>
      <c r="S246" s="69" t="n"/>
      <c r="T246" s="69" t="n"/>
      <c r="U246" s="46" t="n"/>
    </row>
    <row r="247" ht="14" customHeight="1">
      <c r="A247" s="88" t="inlineStr">
        <is>
          <t>LOW</t>
        </is>
      </c>
      <c r="B247" s="69" t="n">
        <v>10</v>
      </c>
      <c r="C247" s="69" t="n">
        <v>37.73</v>
      </c>
      <c r="D247" s="69" t="n">
        <v>60</v>
      </c>
      <c r="E247" s="69" t="n">
        <v>1.231</v>
      </c>
      <c r="F247" s="69" t="inlineStr">
        <is>
          <t xml:space="preserve"> </t>
        </is>
      </c>
      <c r="G247" s="62" t="inlineStr">
        <is>
          <t>2024/01/04</t>
        </is>
      </c>
      <c r="H247" s="69" t="n"/>
      <c r="I247" s="69" t="n"/>
      <c r="J247" s="69" t="n"/>
      <c r="K247" s="69" t="n"/>
      <c r="L247" s="69" t="n"/>
      <c r="M247" s="69" t="n"/>
      <c r="N247" s="69" t="n"/>
      <c r="O247" s="69" t="n"/>
      <c r="P247" s="69" t="n"/>
      <c r="Q247" s="69" t="n"/>
      <c r="R247" s="69" t="n"/>
      <c r="S247" s="69" t="n"/>
      <c r="T247" s="69" t="n"/>
      <c r="U247" s="46" t="n"/>
    </row>
    <row r="248" ht="14" customHeight="1">
      <c r="A248" s="88" t="inlineStr">
        <is>
          <t>PAYC</t>
        </is>
      </c>
      <c r="B248" s="69" t="n">
        <v>12</v>
      </c>
      <c r="C248" s="69" t="n">
        <v>131.94</v>
      </c>
      <c r="D248" s="69" t="n">
        <v>33.333</v>
      </c>
      <c r="E248" s="69" t="n">
        <v>1.553</v>
      </c>
      <c r="F248" s="69" t="inlineStr">
        <is>
          <t xml:space="preserve"> </t>
        </is>
      </c>
      <c r="G248" s="62" t="inlineStr">
        <is>
          <t>2024/01/04</t>
        </is>
      </c>
      <c r="H248" s="69" t="n"/>
      <c r="I248" s="69" t="n"/>
      <c r="J248" s="69" t="n"/>
      <c r="K248" s="69" t="n"/>
      <c r="L248" s="69" t="n"/>
      <c r="M248" s="69" t="n"/>
      <c r="N248" s="69" t="n"/>
      <c r="O248" s="69" t="n"/>
      <c r="P248" s="69" t="n"/>
      <c r="Q248" s="69" t="n"/>
      <c r="R248" s="69" t="n"/>
      <c r="S248" s="69" t="n"/>
      <c r="T248" s="69" t="n"/>
      <c r="U248" s="46" t="n"/>
    </row>
    <row r="249" ht="14" customHeight="1">
      <c r="A249" s="88" t="inlineStr">
        <is>
          <t>PODD</t>
        </is>
      </c>
      <c r="B249" s="69" t="n">
        <v>12</v>
      </c>
      <c r="C249" s="69" t="n">
        <v>150.57</v>
      </c>
      <c r="D249" s="69" t="n">
        <v>33.333</v>
      </c>
      <c r="E249" s="69" t="n">
        <v>1.562</v>
      </c>
      <c r="F249" s="69" t="inlineStr">
        <is>
          <t xml:space="preserve"> </t>
        </is>
      </c>
      <c r="G249" s="62" t="inlineStr">
        <is>
          <t>2024/01/04</t>
        </is>
      </c>
      <c r="H249" s="69" t="n"/>
      <c r="I249" s="69" t="n"/>
      <c r="J249" s="69" t="n"/>
      <c r="K249" s="69" t="n"/>
      <c r="L249" s="69" t="n"/>
      <c r="M249" s="69" t="n"/>
      <c r="N249" s="69" t="n"/>
      <c r="O249" s="69" t="n"/>
      <c r="P249" s="69" t="n"/>
      <c r="Q249" s="69" t="n"/>
      <c r="R249" s="69" t="n"/>
      <c r="S249" s="69" t="n"/>
      <c r="T249" s="69" t="n"/>
      <c r="U249" s="46" t="n"/>
    </row>
    <row r="250" ht="14" customHeight="1">
      <c r="A250" s="88" t="inlineStr">
        <is>
          <t>RCL</t>
        </is>
      </c>
      <c r="B250" s="69" t="n">
        <v>8</v>
      </c>
      <c r="C250" s="69" t="n">
        <v>246.85</v>
      </c>
      <c r="D250" s="69" t="n">
        <v>25</v>
      </c>
      <c r="E250" s="69" t="n">
        <v>2.629</v>
      </c>
      <c r="F250" s="69" t="inlineStr">
        <is>
          <t xml:space="preserve"> </t>
        </is>
      </c>
      <c r="G250" s="62" t="inlineStr">
        <is>
          <t>2024/01/04</t>
        </is>
      </c>
      <c r="H250" s="69" t="n"/>
      <c r="I250" s="69" t="n"/>
      <c r="J250" s="69" t="n"/>
      <c r="K250" s="69" t="n"/>
      <c r="L250" s="69" t="n"/>
      <c r="M250" s="69" t="n"/>
      <c r="N250" s="69" t="n"/>
      <c r="O250" s="69" t="n"/>
      <c r="P250" s="69" t="n"/>
      <c r="Q250" s="69" t="n"/>
      <c r="R250" s="69" t="n"/>
      <c r="S250" s="69" t="n"/>
      <c r="T250" s="69" t="n"/>
      <c r="U250" s="46" t="n"/>
    </row>
    <row r="251" ht="14" customHeight="1">
      <c r="A251" s="88" t="inlineStr">
        <is>
          <t>WDC</t>
        </is>
      </c>
      <c r="B251" s="69" t="n">
        <v>11</v>
      </c>
      <c r="C251" s="69" t="n">
        <v>234.82</v>
      </c>
      <c r="D251" s="69" t="n">
        <v>54.545</v>
      </c>
      <c r="E251" s="69" t="n">
        <v>1.736</v>
      </c>
      <c r="F251" s="69" t="inlineStr">
        <is>
          <t xml:space="preserve"> </t>
        </is>
      </c>
      <c r="G251" s="62" t="inlineStr">
        <is>
          <t>2024/01/04</t>
        </is>
      </c>
      <c r="H251" s="69" t="n"/>
      <c r="I251" s="69" t="n"/>
      <c r="J251" s="69" t="n"/>
      <c r="K251" s="69" t="n"/>
      <c r="L251" s="69" t="n"/>
      <c r="M251" s="69" t="n"/>
      <c r="N251" s="69" t="n"/>
      <c r="O251" s="69" t="n"/>
      <c r="P251" s="69" t="n"/>
      <c r="Q251" s="69" t="n"/>
      <c r="R251" s="69" t="n"/>
      <c r="S251" s="69" t="n"/>
      <c r="T251" s="69" t="n"/>
      <c r="U251" s="46" t="n"/>
    </row>
    <row r="252" ht="14" customHeight="1">
      <c r="A252" s="46" t="inlineStr">
        <is>
          <t>ZS</t>
        </is>
      </c>
      <c r="B252" s="69" t="n">
        <v>12</v>
      </c>
      <c r="C252" s="69" t="n">
        <v>441.51</v>
      </c>
      <c r="D252" s="69" t="n">
        <v>41.667</v>
      </c>
      <c r="E252" s="69" t="n">
        <v>2.222</v>
      </c>
      <c r="F252" s="69" t="inlineStr">
        <is>
          <t xml:space="preserve"> </t>
        </is>
      </c>
      <c r="G252" s="62" t="inlineStr">
        <is>
          <t>2024/01/04</t>
        </is>
      </c>
      <c r="H252" s="69" t="n"/>
      <c r="I252" s="69" t="n"/>
      <c r="J252" s="69" t="n"/>
      <c r="K252" s="69" t="n"/>
      <c r="L252" s="69" t="n"/>
      <c r="M252" s="69" t="n"/>
      <c r="N252" s="69" t="n"/>
      <c r="O252" s="69" t="n"/>
      <c r="P252" s="69" t="n"/>
      <c r="Q252" s="69" t="n"/>
      <c r="R252" s="69" t="n"/>
      <c r="S252" s="69" t="n"/>
      <c r="T252" s="69" t="n"/>
      <c r="U252" s="46" t="n"/>
    </row>
    <row r="253">
      <c r="A253" s="46" t="inlineStr">
        <is>
          <t>BR</t>
        </is>
      </c>
      <c r="B253" s="69" t="n">
        <v>14</v>
      </c>
      <c r="C253" s="69" t="n">
        <v>220.57</v>
      </c>
      <c r="D253" s="69" t="n">
        <v>57.143</v>
      </c>
      <c r="E253" s="69" t="n">
        <v>1.795</v>
      </c>
      <c r="F253" s="69" t="inlineStr">
        <is>
          <t xml:space="preserve"> </t>
        </is>
      </c>
      <c r="G253" s="69" t="inlineStr">
        <is>
          <t>2024/01/05</t>
        </is>
      </c>
      <c r="H253" s="69" t="n"/>
      <c r="I253" s="69" t="n"/>
      <c r="J253" s="69" t="n"/>
      <c r="K253" s="69" t="n"/>
      <c r="L253" s="69" t="n"/>
      <c r="M253" s="69" t="n"/>
      <c r="N253" s="69" t="n"/>
      <c r="O253" s="69" t="n"/>
      <c r="P253" s="69" t="n"/>
      <c r="Q253" s="69" t="n"/>
      <c r="R253" s="69" t="n"/>
      <c r="S253" s="69" t="n"/>
      <c r="T253" s="69" t="n"/>
      <c r="U253" s="46" t="n"/>
    </row>
    <row r="254">
      <c r="A254" s="46" t="inlineStr">
        <is>
          <t>BX</t>
        </is>
      </c>
      <c r="B254" s="69" t="n">
        <v>10</v>
      </c>
      <c r="C254" s="69" t="n">
        <v>111.89</v>
      </c>
      <c r="D254" s="69" t="n">
        <v>40</v>
      </c>
      <c r="E254" s="69" t="n">
        <v>1.652</v>
      </c>
      <c r="F254" s="69" t="inlineStr">
        <is>
          <t xml:space="preserve"> </t>
        </is>
      </c>
      <c r="G254" s="69" t="inlineStr">
        <is>
          <t>2024/01/05</t>
        </is>
      </c>
      <c r="H254" s="69" t="n"/>
      <c r="I254" s="69" t="n"/>
      <c r="J254" s="69" t="n"/>
      <c r="K254" s="69" t="n"/>
      <c r="L254" s="69" t="n"/>
      <c r="M254" s="69" t="n"/>
      <c r="N254" s="69" t="n"/>
      <c r="O254" s="69" t="n"/>
      <c r="P254" s="69" t="n"/>
      <c r="Q254" s="69" t="n"/>
      <c r="R254" s="69" t="n"/>
      <c r="S254" s="69" t="n"/>
      <c r="T254" s="69" t="n"/>
      <c r="U254" s="46" t="n"/>
    </row>
    <row r="255">
      <c r="A255" s="46" t="inlineStr">
        <is>
          <t>CBRE</t>
        </is>
      </c>
      <c r="B255" s="69" t="n">
        <v>14</v>
      </c>
      <c r="C255" s="69" t="n">
        <v>53.59</v>
      </c>
      <c r="D255" s="69" t="n">
        <v>42.857</v>
      </c>
      <c r="E255" s="69" t="n">
        <v>1.215</v>
      </c>
      <c r="F255" s="69" t="inlineStr">
        <is>
          <t xml:space="preserve"> </t>
        </is>
      </c>
      <c r="G255" s="69" t="inlineStr">
        <is>
          <t>2024/01/05</t>
        </is>
      </c>
      <c r="H255" s="69" t="n"/>
      <c r="I255" s="69" t="n"/>
      <c r="J255" s="69" t="n"/>
      <c r="K255" s="69" t="n"/>
      <c r="L255" s="69" t="n"/>
      <c r="M255" s="69" t="n"/>
      <c r="N255" s="69" t="n"/>
      <c r="O255" s="69" t="n"/>
      <c r="P255" s="69" t="n"/>
      <c r="Q255" s="69" t="n"/>
      <c r="R255" s="69" t="n"/>
      <c r="S255" s="69" t="n"/>
      <c r="T255" s="69" t="n"/>
      <c r="U255" s="46" t="n"/>
    </row>
    <row r="256">
      <c r="A256" s="46" t="inlineStr">
        <is>
          <t>ENPH</t>
        </is>
      </c>
      <c r="B256" s="69" t="n">
        <v>10</v>
      </c>
      <c r="C256" s="69" t="n">
        <v>339.09</v>
      </c>
      <c r="D256" s="69" t="n">
        <v>30</v>
      </c>
      <c r="E256" s="69" t="n">
        <v>2.032</v>
      </c>
      <c r="F256" s="69" t="inlineStr">
        <is>
          <t xml:space="preserve"> </t>
        </is>
      </c>
      <c r="G256" s="69" t="inlineStr">
        <is>
          <t>2024/01/05</t>
        </is>
      </c>
      <c r="H256" s="69" t="n"/>
      <c r="I256" s="69" t="n"/>
      <c r="J256" s="69" t="n"/>
      <c r="K256" s="69" t="n"/>
      <c r="L256" s="69" t="n"/>
      <c r="M256" s="69" t="n"/>
      <c r="N256" s="69" t="n"/>
      <c r="O256" s="69" t="n"/>
      <c r="P256" s="69" t="n"/>
      <c r="Q256" s="69" t="n"/>
      <c r="R256" s="69" t="n"/>
      <c r="S256" s="69" t="n"/>
      <c r="T256" s="69" t="n"/>
      <c r="U256" s="46" t="n"/>
    </row>
    <row r="257">
      <c r="A257" s="46" t="inlineStr">
        <is>
          <t>GD</t>
        </is>
      </c>
      <c r="B257" s="69" t="n">
        <v>10</v>
      </c>
      <c r="C257" s="69" t="n">
        <v>1.28</v>
      </c>
      <c r="D257" s="69" t="n">
        <v>50</v>
      </c>
      <c r="E257" s="69" t="n">
        <v>1.015</v>
      </c>
      <c r="F257" s="69" t="inlineStr">
        <is>
          <t xml:space="preserve"> </t>
        </is>
      </c>
      <c r="G257" s="69" t="inlineStr">
        <is>
          <t>2024/01/05</t>
        </is>
      </c>
      <c r="H257" s="69" t="n"/>
      <c r="I257" s="69" t="n"/>
      <c r="J257" s="69" t="n"/>
      <c r="K257" s="69" t="n"/>
      <c r="L257" s="69" t="n"/>
      <c r="M257" s="69" t="n"/>
      <c r="N257" s="69" t="n"/>
      <c r="O257" s="69" t="n"/>
      <c r="P257" s="69" t="n"/>
      <c r="Q257" s="69" t="n"/>
      <c r="R257" s="69" t="n"/>
      <c r="S257" s="69" t="n"/>
      <c r="T257" s="69" t="n"/>
      <c r="U257" s="46" t="n"/>
    </row>
    <row r="258">
      <c r="A258" s="46" t="inlineStr">
        <is>
          <t>IR</t>
        </is>
      </c>
      <c r="B258" s="69" t="n">
        <v>17</v>
      </c>
      <c r="C258" s="69" t="n">
        <v>297.68</v>
      </c>
      <c r="D258" s="69" t="n">
        <v>35.294</v>
      </c>
      <c r="E258" s="69" t="n">
        <v>1.928</v>
      </c>
      <c r="F258" s="69" t="inlineStr">
        <is>
          <t xml:space="preserve"> </t>
        </is>
      </c>
      <c r="G258" s="69" t="inlineStr">
        <is>
          <t>2024/01/05</t>
        </is>
      </c>
      <c r="H258" s="69" t="n"/>
      <c r="I258" s="69" t="n"/>
      <c r="J258" s="69" t="n"/>
      <c r="K258" s="69" t="n"/>
      <c r="L258" s="69" t="n"/>
      <c r="M258" s="69" t="n"/>
      <c r="N258" s="69" t="n"/>
      <c r="O258" s="69" t="n"/>
      <c r="P258" s="69" t="n"/>
      <c r="Q258" s="69" t="n"/>
      <c r="R258" s="69" t="n"/>
      <c r="S258" s="69" t="n"/>
      <c r="T258" s="69" t="n"/>
      <c r="U258" s="46" t="n"/>
    </row>
    <row r="259">
      <c r="A259" s="46" t="inlineStr">
        <is>
          <t>IRM</t>
        </is>
      </c>
      <c r="B259" s="69" t="n">
        <v>11</v>
      </c>
      <c r="C259" s="69" t="n">
        <v>215.37</v>
      </c>
      <c r="D259" s="69" t="n">
        <v>54.545</v>
      </c>
      <c r="E259" s="69" t="n">
        <v>2.427</v>
      </c>
      <c r="F259" s="69" t="inlineStr">
        <is>
          <t xml:space="preserve"> </t>
        </is>
      </c>
      <c r="G259" s="69" t="inlineStr">
        <is>
          <t>2024/01/05</t>
        </is>
      </c>
      <c r="H259" s="69" t="n"/>
      <c r="I259" s="69" t="n"/>
      <c r="J259" s="69" t="n"/>
      <c r="K259" s="69" t="n"/>
      <c r="L259" s="69" t="n"/>
      <c r="M259" s="69" t="n"/>
      <c r="N259" s="69" t="n"/>
      <c r="O259" s="69" t="n"/>
      <c r="P259" s="69" t="n"/>
      <c r="Q259" s="69" t="n"/>
      <c r="R259" s="69" t="n"/>
      <c r="S259" s="69" t="n"/>
      <c r="T259" s="69" t="n"/>
      <c r="U259" s="46" t="n"/>
    </row>
    <row r="260">
      <c r="A260" s="46" t="inlineStr">
        <is>
          <t>NDSN</t>
        </is>
      </c>
      <c r="B260" s="69" t="n">
        <v>14</v>
      </c>
      <c r="C260" s="69" t="n">
        <v>10.23</v>
      </c>
      <c r="D260" s="69" t="n">
        <v>21.429</v>
      </c>
      <c r="E260" s="69" t="n">
        <v>1.042</v>
      </c>
      <c r="F260" s="69" t="inlineStr">
        <is>
          <t xml:space="preserve"> </t>
        </is>
      </c>
      <c r="G260" s="69" t="inlineStr">
        <is>
          <t>2024/01/05</t>
        </is>
      </c>
      <c r="H260" s="69" t="n"/>
      <c r="I260" s="69" t="n"/>
      <c r="J260" s="69" t="n"/>
      <c r="K260" s="69" t="n"/>
      <c r="L260" s="69" t="n"/>
      <c r="M260" s="69" t="n"/>
      <c r="N260" s="69" t="n"/>
      <c r="O260" s="69" t="n"/>
      <c r="P260" s="69" t="n"/>
      <c r="Q260" s="69" t="n"/>
      <c r="R260" s="69" t="n"/>
      <c r="S260" s="69" t="n"/>
      <c r="T260" s="69" t="n"/>
      <c r="U260" s="46" t="n"/>
    </row>
    <row r="261">
      <c r="A261" s="46" t="inlineStr">
        <is>
          <t>WAT</t>
        </is>
      </c>
      <c r="B261" s="69" t="n">
        <v>12</v>
      </c>
      <c r="C261" s="69" t="n">
        <v>348.77</v>
      </c>
      <c r="D261" s="69" t="n">
        <v>50</v>
      </c>
      <c r="E261" s="69" t="n">
        <v>2.704</v>
      </c>
      <c r="F261" s="69" t="inlineStr">
        <is>
          <t xml:space="preserve"> </t>
        </is>
      </c>
      <c r="G261" s="69" t="inlineStr">
        <is>
          <t>2024/01/05</t>
        </is>
      </c>
      <c r="H261" s="69" t="n"/>
      <c r="I261" s="69" t="n"/>
      <c r="J261" s="69" t="n"/>
      <c r="K261" s="69" t="n"/>
      <c r="L261" s="69" t="n"/>
      <c r="M261" s="69" t="n"/>
      <c r="N261" s="69" t="n"/>
      <c r="O261" s="69" t="n"/>
      <c r="P261" s="69" t="n"/>
      <c r="Q261" s="69" t="n"/>
      <c r="R261" s="69" t="n"/>
      <c r="S261" s="69" t="n"/>
      <c r="T261" s="69" t="n"/>
      <c r="U261" s="46" t="n"/>
    </row>
  </sheetData>
  <autoFilter ref="A2:U242">
    <sortState ref="A2:U242">
      <sortCondition ref="J2:J242"/>
      <sortCondition ref="A2:A242"/>
    </sortState>
  </autoFilter>
  <conditionalFormatting sqref="J3:J242">
    <cfRule type="expression" priority="3" dxfId="2">
      <formula>IF(COUNTA(F3)=1,TRUE,FALSE)</formula>
    </cfRule>
    <cfRule type="expression" priority="4" dxfId="3">
      <formula>IF(COUNTA(G3)=1,TRUE,FALSE)</formula>
    </cfRule>
  </conditionalFormatting>
  <conditionalFormatting sqref="L3:L242">
    <cfRule type="expression" priority="5" dxfId="3">
      <formula>IF(COUNTA(H3)=1,TRUE,FALSE)</formula>
    </cfRule>
    <cfRule type="expression" priority="6" dxfId="2">
      <formula>IF(COUNTA(I3)=1,TRUE,FALSE)</formula>
    </cfRule>
  </conditionalFormatting>
  <conditionalFormatting sqref="O2:O242">
    <cfRule type="cellIs" priority="9" operator="equal" dxfId="4">
      <formula>"Ongoing"</formula>
    </cfRule>
  </conditionalFormatting>
  <conditionalFormatting sqref="P1:P242">
    <cfRule type="cellIs" priority="2" operator="equal" dxfId="3">
      <formula>"Loss"</formula>
    </cfRule>
    <cfRule type="cellIs" priority="1" operator="equal" dxfId="2">
      <formula>"Profit"</formula>
    </cfRule>
  </conditionalFormatting>
  <conditionalFormatting sqref="Q3:Q242">
    <cfRule type="cellIs" priority="7" operator="greaterThan" dxfId="1">
      <formula>0</formula>
    </cfRule>
    <cfRule type="cellIs" priority="8" operator="lessThan" dxfId="0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2024-01-04T23:32:49Z</dcterms:created>
  <dcterms:modified xmlns:dcterms="http://purl.org/dc/terms/" xmlns:xsi="http://www.w3.org/2001/XMLSchema-instance" xsi:type="dcterms:W3CDTF">2024-01-06T07:14:00Z</dcterms:modified>
  <cp:lastModifiedBy>Microsoft Office User</cp:lastModifiedBy>
</cp:coreProperties>
</file>