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2024" sheetId="1" state="visible" r:id="rId1"/>
    <sheet xmlns:r="http://schemas.openxmlformats.org/officeDocument/2006/relationships" name="Analysis" sheetId="2" state="visible" r:id="rId2"/>
  </sheets>
  <definedNames>
    <definedName name="_xlnm._FilterDatabase" localSheetId="0" hidden="1">'2024'!$A$2:$U$242</definedName>
  </definedNames>
  <calcPr calcId="124519" fullCalcOnLoad="1"/>
</workbook>
</file>

<file path=xl/styles.xml><?xml version="1.0" encoding="utf-8"?>
<styleSheet xmlns="http://schemas.openxmlformats.org/spreadsheetml/2006/main">
  <numFmts count="7">
    <numFmt numFmtId="164" formatCode="#,##0.00;\(#,##0.00\)"/>
    <numFmt numFmtId="165" formatCode="yyyy/m/d"/>
    <numFmt numFmtId="166" formatCode="dd&quot;/&quot;mm"/>
    <numFmt numFmtId="167" formatCode="0.0000"/>
    <numFmt numFmtId="168" formatCode="0.000"/>
    <numFmt numFmtId="169" formatCode="yyyy/m/d\ AM/PM\ h:mm:ss"/>
    <numFmt numFmtId="170" formatCode="yyyy/mm/dd"/>
  </numFmts>
  <fonts count="7">
    <font>
      <name val="Arial"/>
      <color rgb="FF000000"/>
      <sz val="10"/>
      <scheme val="minor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000000"/>
      <sz val="10"/>
    </font>
    <font>
      <name val="Consolas"/>
      <color theme="1"/>
      <sz val="10"/>
    </font>
    <font>
      <name val="Arial"/>
      <b val="1"/>
      <color rgb="FFC53929"/>
      <sz val="10"/>
    </font>
    <font>
      <name val="Arial"/>
      <b val="1"/>
      <color rgb="FF0B8043"/>
      <sz val="10"/>
    </font>
  </fonts>
  <fills count="10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8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" fontId="2" fillId="2" borderId="1" applyAlignment="1" pivotButton="0" quotePrefix="0" xfId="0">
      <alignment horizontal="center"/>
    </xf>
    <xf numFmtId="4" fontId="2" fillId="2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0" fontId="3" fillId="0" borderId="0" pivotButton="0" quotePrefix="0" xfId="0"/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4" fontId="2" fillId="0" borderId="0" applyAlignment="1" pivotButton="0" quotePrefix="0" xfId="0">
      <alignment horizontal="center"/>
    </xf>
    <xf numFmtId="0" fontId="1" fillId="2" borderId="1" pivotButton="0" quotePrefix="0" xfId="0"/>
    <xf numFmtId="1" fontId="1" fillId="2" borderId="1" applyAlignment="1" pivotButton="0" quotePrefix="0" xfId="0">
      <alignment horizontal="center"/>
    </xf>
    <xf numFmtId="4" fontId="1" fillId="2" borderId="1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center"/>
    </xf>
    <xf numFmtId="166" fontId="5" fillId="3" borderId="1" applyAlignment="1" pivotButton="0" quotePrefix="0" xfId="0">
      <alignment horizontal="center"/>
    </xf>
    <xf numFmtId="166" fontId="6" fillId="4" borderId="1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64" fontId="2" fillId="6" borderId="1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66" fontId="6" fillId="3" borderId="1" applyAlignment="1" pivotButton="0" quotePrefix="0" xfId="0">
      <alignment horizontal="center"/>
    </xf>
    <xf numFmtId="166" fontId="5" fillId="4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64" fontId="2" fillId="7" borderId="1" applyAlignment="1" pivotButton="0" quotePrefix="0" xfId="0">
      <alignment horizontal="center"/>
    </xf>
    <xf numFmtId="167" fontId="1" fillId="0" borderId="0" pivotButton="0" quotePrefix="0" xfId="0"/>
    <xf numFmtId="168" fontId="1" fillId="0" borderId="0" pivotButton="0" quotePrefix="0" xfId="0"/>
    <xf numFmtId="0" fontId="1" fillId="2" borderId="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1" fillId="0" borderId="0" applyAlignment="1" pivotButton="0" quotePrefix="0" xfId="0">
      <alignment horizontal="center"/>
    </xf>
    <xf numFmtId="166" fontId="1" fillId="4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169" fontId="1" fillId="0" borderId="0" pivotButton="0" quotePrefix="0" xfId="0"/>
    <xf numFmtId="170" fontId="4" fillId="0" borderId="0" applyAlignment="1" pivotButton="0" quotePrefix="0" xfId="0">
      <alignment horizontal="center"/>
    </xf>
    <xf numFmtId="170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/>
    </xf>
    <xf numFmtId="170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0" fontId="3" fillId="0" borderId="0" applyAlignment="1" pivotButton="0" quotePrefix="0" xfId="0">
      <alignment horizontal="left"/>
    </xf>
    <xf numFmtId="165" fontId="3" fillId="0" borderId="0" applyAlignment="1" pivotButton="0" quotePrefix="1" xfId="0">
      <alignment horizontal="center"/>
    </xf>
    <xf numFmtId="0" fontId="1" fillId="0" borderId="0" applyAlignment="1" pivotButton="0" quotePrefix="0" xfId="0">
      <alignment horizontal="right"/>
    </xf>
    <xf numFmtId="164" fontId="1" fillId="0" borderId="0" pivotButton="0" quotePrefix="0" xfId="0"/>
    <xf numFmtId="168" fontId="1" fillId="0" borderId="0" applyAlignment="1" pivotButton="0" quotePrefix="0" xfId="0">
      <alignment horizontal="right"/>
    </xf>
    <xf numFmtId="0" fontId="1" fillId="9" borderId="1" pivotButton="0" quotePrefix="0" xfId="0"/>
    <xf numFmtId="164" fontId="1" fillId="9" borderId="1" applyAlignment="1" pivotButton="0" quotePrefix="0" xfId="0">
      <alignment horizontal="right"/>
    </xf>
    <xf numFmtId="10" fontId="1" fillId="0" borderId="0" pivotButton="0" quotePrefix="0" xfId="0"/>
    <xf numFmtId="10" fontId="1" fillId="9" borderId="1" applyAlignment="1" pivotButton="0" quotePrefix="0" xfId="0">
      <alignment horizontal="right"/>
    </xf>
    <xf numFmtId="1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0" borderId="1" pivotButton="0" quotePrefix="0" xfId="0"/>
    <xf numFmtId="0" fontId="2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1" fillId="0" borderId="1" pivotButton="0" quotePrefix="0" xfId="0"/>
    <xf numFmtId="0" fontId="3" fillId="0" borderId="1" pivotButton="0" quotePrefix="0" xfId="0"/>
    <xf numFmtId="164" fontId="2" fillId="0" borderId="1" applyAlignment="1" pivotButton="0" quotePrefix="0" xfId="0">
      <alignment horizontal="center"/>
    </xf>
    <xf numFmtId="4" fontId="2" fillId="0" borderId="1" applyAlignment="1" pivotButton="0" quotePrefix="0" xfId="0">
      <alignment horizontal="center"/>
    </xf>
    <xf numFmtId="165" fontId="1" fillId="0" borderId="1" applyAlignment="1" pivotButton="0" quotePrefix="0" xfId="0">
      <alignment horizontal="center"/>
    </xf>
    <xf numFmtId="165" fontId="4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1" fontId="1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167" fontId="1" fillId="0" borderId="1" pivotButton="0" quotePrefix="0" xfId="0"/>
    <xf numFmtId="168" fontId="1" fillId="0" borderId="1" pivotButton="0" quotePrefix="0" xfId="0"/>
    <xf numFmtId="0" fontId="4" fillId="0" borderId="1" applyAlignment="1" pivotButton="0" quotePrefix="0" xfId="0">
      <alignment horizontal="center"/>
    </xf>
    <xf numFmtId="166" fontId="1" fillId="0" borderId="1" applyAlignment="1" pivotButton="0" quotePrefix="0" xfId="0">
      <alignment horizontal="center"/>
    </xf>
    <xf numFmtId="169" fontId="1" fillId="0" borderId="1" pivotButton="0" quotePrefix="0" xfId="0"/>
    <xf numFmtId="170" fontId="4" fillId="0" borderId="1" applyAlignment="1" pivotButton="0" quotePrefix="0" xfId="0">
      <alignment horizontal="center"/>
    </xf>
    <xf numFmtId="17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17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/>
    </xf>
    <xf numFmtId="0" fontId="3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165" fontId="3" fillId="0" borderId="1" applyAlignment="1" pivotButton="0" quotePrefix="1" xfId="0">
      <alignment horizontal="center"/>
    </xf>
  </cellXfs>
  <cellStyles count="1">
    <cellStyle name="Normal" xfId="0" builtinId="0"/>
  </cellStyles>
  <dxfs count="5">
    <dxf>
      <font>
        <b val="1"/>
        <color rgb="FF0B8043"/>
      </font>
      <fill>
        <patternFill/>
      </fill>
      <border/>
    </dxf>
    <dxf>
      <font>
        <b val="1"/>
        <color rgb="FFC53929"/>
      </font>
      <fill>
        <patternFill/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b val="1"/>
      </font>
      <fill>
        <patternFill patternType="solid">
          <fgColor rgb="FFB7E1CD"/>
          <bgColor rgb="FFB7E1CD"/>
        </patternFill>
      </fill>
      <border/>
    </dxf>
    <dxf>
      <font>
        <b val="1"/>
      </font>
      <fill>
        <patternFill patternType="solid">
          <fgColor rgb="FFF4C7C3"/>
          <bgColor rgb="FFF4C7C3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5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ColWidth="12.63" defaultRowHeight="15" customHeight="1"/>
  <cols>
    <col width="12.63" customWidth="1" style="56" min="1" max="1"/>
    <col outlineLevel="1" width="12.63" customWidth="1" style="56" min="2" max="9"/>
    <col width="14.63" customWidth="1" style="56" min="23" max="23"/>
    <col width="15.13" customWidth="1" style="56" min="25" max="25"/>
    <col width="15.63" customWidth="1" style="56" min="26" max="26"/>
  </cols>
  <sheetData>
    <row r="1" hidden="1" ht="12.75" customHeight="1" s="56">
      <c r="A1" s="57" t="inlineStr">
        <is>
          <t>Unnamed: 0</t>
        </is>
      </c>
      <c r="B1" s="2" t="inlineStr">
        <is>
          <t>Unnamed: 1</t>
        </is>
      </c>
      <c r="C1" s="3" t="inlineStr">
        <is>
          <t>Unnamed: 2</t>
        </is>
      </c>
      <c r="D1" s="3" t="inlineStr">
        <is>
          <t>Unnamed: 3</t>
        </is>
      </c>
      <c r="E1" s="3" t="inlineStr">
        <is>
          <t>Unnamed: 4</t>
        </is>
      </c>
      <c r="F1" s="58" t="inlineStr">
        <is>
          <t>Unnamed: 5</t>
        </is>
      </c>
      <c r="G1" s="58" t="inlineStr">
        <is>
          <t>Unnamed: 6</t>
        </is>
      </c>
      <c r="H1" s="58" t="inlineStr">
        <is>
          <t>Unnamed: 7</t>
        </is>
      </c>
      <c r="I1" s="59" t="n"/>
      <c r="J1" s="6" t="n"/>
      <c r="K1" s="6" t="n"/>
      <c r="L1" s="7" t="n"/>
      <c r="M1" s="7" t="n"/>
      <c r="N1" s="8" t="n"/>
      <c r="O1" s="59" t="n"/>
      <c r="P1" s="59" t="n"/>
      <c r="Q1" s="60" t="n"/>
      <c r="R1" s="59" t="n"/>
      <c r="S1" s="59" t="n"/>
      <c r="T1" s="61" t="n">
        <v>1000</v>
      </c>
      <c r="U1" s="62" t="n"/>
      <c r="V1" s="57" t="n"/>
      <c r="W1" s="57" t="n"/>
      <c r="X1" s="57" t="n"/>
      <c r="Y1" s="57" t="n"/>
      <c r="Z1" s="57" t="n"/>
      <c r="AA1" s="63" t="n"/>
    </row>
    <row r="2" ht="12.75" customHeight="1" s="56">
      <c r="A2" s="57" t="n"/>
      <c r="B2" s="2" t="inlineStr">
        <is>
          <t>No. of Trades in 4 years</t>
        </is>
      </c>
      <c r="C2" s="3" t="inlineStr">
        <is>
          <t>Profit</t>
        </is>
      </c>
      <c r="D2" s="3" t="inlineStr">
        <is>
          <t>Profit %</t>
        </is>
      </c>
      <c r="E2" s="3" t="inlineStr">
        <is>
          <t>Profit Factor</t>
        </is>
      </c>
      <c r="F2" s="58" t="inlineStr">
        <is>
          <t>BUY</t>
        </is>
      </c>
      <c r="G2" s="58" t="inlineStr">
        <is>
          <t>SELL</t>
        </is>
      </c>
      <c r="H2" s="58" t="inlineStr">
        <is>
          <t>CLOSE BUY</t>
        </is>
      </c>
      <c r="I2" s="58" t="inlineStr">
        <is>
          <t>CLOSE SELL</t>
        </is>
      </c>
      <c r="J2" s="13" t="inlineStr">
        <is>
          <t>Open</t>
        </is>
      </c>
      <c r="K2" s="13" t="inlineStr">
        <is>
          <t>Price</t>
        </is>
      </c>
      <c r="L2" s="14" t="inlineStr">
        <is>
          <t>Close</t>
        </is>
      </c>
      <c r="M2" s="14" t="inlineStr">
        <is>
          <t>Price</t>
        </is>
      </c>
      <c r="N2" s="15" t="inlineStr">
        <is>
          <t>Current</t>
        </is>
      </c>
      <c r="O2" s="58" t="inlineStr">
        <is>
          <t>Status</t>
        </is>
      </c>
      <c r="P2" s="58" t="inlineStr">
        <is>
          <t>Result</t>
        </is>
      </c>
      <c r="Q2" s="64" t="inlineStr">
        <is>
          <t>Profit</t>
        </is>
      </c>
      <c r="R2" s="58" t="inlineStr">
        <is>
          <t>Profit Trades</t>
        </is>
      </c>
      <c r="S2" s="58" t="inlineStr">
        <is>
          <t>Change</t>
        </is>
      </c>
      <c r="T2" s="65" t="inlineStr">
        <is>
          <t>Shares</t>
        </is>
      </c>
      <c r="U2" s="62" t="n"/>
      <c r="V2" s="57" t="n"/>
      <c r="W2" s="57" t="n"/>
      <c r="X2" s="57" t="n"/>
      <c r="Y2" s="57" t="n"/>
      <c r="Z2" s="57" t="n"/>
      <c r="AA2" s="63" t="n"/>
    </row>
    <row r="3" hidden="1" ht="13.5" customHeight="1" s="56">
      <c r="A3" s="18" t="inlineStr">
        <is>
          <t>DXCM</t>
        </is>
      </c>
      <c r="B3" s="19" t="n">
        <v>16</v>
      </c>
      <c r="C3" s="20" t="n">
        <v>105.058</v>
      </c>
      <c r="D3" s="20" t="n">
        <v>25</v>
      </c>
      <c r="E3" s="20" t="n">
        <v>1.312</v>
      </c>
      <c r="F3" s="66" t="n"/>
      <c r="G3" s="67" t="n">
        <v>45129</v>
      </c>
      <c r="H3" s="66" t="n"/>
      <c r="I3" s="67" t="n">
        <v>45148</v>
      </c>
      <c r="J3" s="23">
        <f>IF(ISBLANK(F3:G3),,IF(COUNTA(F3)=0,G3,F3))</f>
        <v/>
      </c>
      <c r="K3" s="6">
        <f>IFERROR(__xludf.DUMMYFUNCTION("if(isblank(J3),,index(googlefinance(A3,K$2,J3-1),2,2))"),130.6)</f>
        <v/>
      </c>
      <c r="L3" s="24">
        <f>IF(ISBLANK(H3:I3),,IF(COUNTA(H3)=0,I3,H3))</f>
        <v/>
      </c>
      <c r="M3" s="7">
        <f>IFERROR(__xludf.DUMMYFUNCTION("if(isblank(L3),, index(googlefinance(A3,M$2,L3-1),2,2))"),110.96)</f>
        <v/>
      </c>
      <c r="N3" s="8">
        <f>IFERROR(__xludf.DUMMYFUNCTION("if(isblank(A3),,googlefinance(A3))"),130.46)</f>
        <v/>
      </c>
      <c r="O3" s="59">
        <f>IF(ISBLANK(J3),,IF(ISBLANK(L3),"Ongoing","Completed"))</f>
        <v/>
      </c>
      <c r="P3" s="68">
        <f>IF(ISBLANK(A3),,IF(AND(COUNTA(F3)=1,S3&gt;0),"Profit",IF(AND(COUNTA(G3)=1,S3&lt;0),"Profit","Loss")))</f>
        <v/>
      </c>
      <c r="Q3" s="26">
        <f>IF(ISBLANK(T3),,IF(P3="Profit",IF(S3&lt;0,T3*-S3,T3*S3),IF(S3&gt;0,T3*-S3,T3*S3)))</f>
        <v/>
      </c>
      <c r="R3" s="59">
        <f>IF($Q3&gt;0, TRUE, FALSE)</f>
        <v/>
      </c>
      <c r="S3" s="59">
        <f>IF(ISBLANK(J3),,IF(ISBLANK(L3),N3-K3,M3-K3))</f>
        <v/>
      </c>
      <c r="T3" s="61">
        <f>IF(ISBLANK(J3),,ROUNDDOWN(T$1/K3,0))</f>
        <v/>
      </c>
      <c r="U3" s="62" t="n"/>
      <c r="V3" s="57" t="n"/>
      <c r="W3" s="57" t="n"/>
      <c r="X3" s="57" t="n"/>
      <c r="Y3" s="57" t="n"/>
      <c r="Z3" s="57" t="n"/>
      <c r="AA3" s="63" t="n"/>
    </row>
    <row r="4" hidden="1" ht="13.5" customHeight="1" s="56">
      <c r="A4" s="18" t="inlineStr">
        <is>
          <t>CAG</t>
        </is>
      </c>
      <c r="B4" s="69" t="n">
        <v>13</v>
      </c>
      <c r="C4" s="61" t="n">
        <v>132.82</v>
      </c>
      <c r="D4" s="61" t="n">
        <v>53.846</v>
      </c>
      <c r="E4" s="61" t="n">
        <v>1.966</v>
      </c>
      <c r="F4" s="67" t="n">
        <v>45131</v>
      </c>
      <c r="G4" s="66" t="n"/>
      <c r="H4" s="67" t="n">
        <v>45138</v>
      </c>
      <c r="I4" s="66" t="n"/>
      <c r="J4" s="28">
        <f>IF(ISBLANK(F4:G4),,IF(COUNTA(F4)=0,G4,F4))</f>
        <v/>
      </c>
      <c r="K4" s="6">
        <f>IFERROR(__xludf.DUMMYFUNCTION("if(isblank(J4),,index(googlefinance(A4,K$2,J4-1),2,2))"),33.26)</f>
        <v/>
      </c>
      <c r="L4" s="29">
        <f>IF(ISBLANK(H4:I4),,IF(COUNTA(H4)=0,I4,H4))</f>
        <v/>
      </c>
      <c r="M4" s="7">
        <f>IFERROR(__xludf.DUMMYFUNCTION("if(isblank(L4),, index(googlefinance(A4,M$2,L4-1),2,2))"),32.81)</f>
        <v/>
      </c>
      <c r="N4" s="8">
        <f>IFERROR(__xludf.DUMMYFUNCTION("if(isblank(A4),,googlefinance(A4))"),28.07)</f>
        <v/>
      </c>
      <c r="O4" s="59">
        <f>IF(ISBLANK(J4),,IF(ISBLANK(L4),"Ongoing","Completed"))</f>
        <v/>
      </c>
      <c r="P4" s="70">
        <f>IF(ISBLANK(A4),,IF(AND(COUNTA(F4)=1,S4&gt;0),"Profit",IF(AND(COUNTA(G4)=1,S4&lt;0),"Profit","Loss")))</f>
        <v/>
      </c>
      <c r="Q4" s="31">
        <f>IF(ISBLANK(T4),,IF(P4="Profit",IF(S4&lt;0,T4*-S4,T4*S4),IF(S4&gt;0,T4*-S4,T4*S4)))</f>
        <v/>
      </c>
      <c r="R4" s="59">
        <f>IF($Q4&gt;0, TRUE, FALSE)</f>
        <v/>
      </c>
      <c r="S4" s="59">
        <f>IF(ISBLANK(J4),,IF(ISBLANK(L4),N4-K4,M4-K4))</f>
        <v/>
      </c>
      <c r="T4" s="61">
        <f>IF(ISBLANK(J4),,ROUNDDOWN(T$1/K4,0))</f>
        <v/>
      </c>
      <c r="U4" s="62" t="n"/>
      <c r="V4" s="57" t="n"/>
      <c r="W4" s="57" t="n"/>
      <c r="X4" s="57" t="n"/>
      <c r="Y4" s="57" t="n"/>
      <c r="Z4" s="57" t="n"/>
      <c r="AA4" s="63" t="n"/>
    </row>
    <row r="5" hidden="1" ht="13.5" customHeight="1" s="56">
      <c r="A5" s="18" t="inlineStr">
        <is>
          <t>CDNS</t>
        </is>
      </c>
      <c r="B5" s="19" t="n">
        <v>10</v>
      </c>
      <c r="C5" s="20" t="n">
        <v>29.92</v>
      </c>
      <c r="D5" s="20" t="n">
        <v>40</v>
      </c>
      <c r="E5" s="20" t="n">
        <v>1.18</v>
      </c>
      <c r="F5" s="66" t="n"/>
      <c r="G5" s="67" t="n">
        <v>45131</v>
      </c>
      <c r="H5" s="66" t="n"/>
      <c r="I5" s="67" t="n">
        <v>45159</v>
      </c>
      <c r="J5" s="23">
        <f>IF(ISBLANK(F5:G5),,IF(COUNTA(F5)=0,G5,F5))</f>
        <v/>
      </c>
      <c r="K5" s="6">
        <f>IFERROR(__xludf.DUMMYFUNCTION("if(isblank(J5),,index(googlefinance(A5,K$2,J5-1),2,2))"),241.27)</f>
        <v/>
      </c>
      <c r="L5" s="24">
        <f>IF(ISBLANK(H5:I5),,IF(COUNTA(H5)=0,I5,H5))</f>
        <v/>
      </c>
      <c r="M5" s="7">
        <f>IFERROR(__xludf.DUMMYFUNCTION("if(isblank(L5),, index(googlefinance(A5,M$2,L5-1),2,2))"),225.0)</f>
        <v/>
      </c>
      <c r="N5" s="8">
        <f>IFERROR(__xludf.DUMMYFUNCTION("if(isblank(A5),,googlefinance(A5))"),298.44)</f>
        <v/>
      </c>
      <c r="O5" s="59">
        <f>IF(ISBLANK(J5),,IF(ISBLANK(L5),"Ongoing","Completed"))</f>
        <v/>
      </c>
      <c r="P5" s="68">
        <f>IF(ISBLANK(A5),,IF(AND(COUNTA(F5)=1,S5&gt;0),"Profit",IF(AND(COUNTA(G5)=1,S5&lt;0),"Profit","Loss")))</f>
        <v/>
      </c>
      <c r="Q5" s="26">
        <f>IF(ISBLANK(T5),,IF(P5="Profit",IF(S5&lt;0,T5*-S5,T5*S5),IF(S5&gt;0,T5*-S5,T5*S5)))</f>
        <v/>
      </c>
      <c r="R5" s="59">
        <f>IF($Q5&gt;0, TRUE, FALSE)</f>
        <v/>
      </c>
      <c r="S5" s="59">
        <f>IF(ISBLANK(J5),,IF(ISBLANK(L5),N5-K5,M5-K5))</f>
        <v/>
      </c>
      <c r="T5" s="61">
        <f>IF(ISBLANK(J5),,ROUNDDOWN(T$1/K5,0))</f>
        <v/>
      </c>
      <c r="U5" s="62" t="n"/>
      <c r="V5" s="57" t="n"/>
      <c r="W5" s="57" t="n"/>
      <c r="X5" s="57" t="n"/>
      <c r="Y5" s="57" t="n"/>
      <c r="Z5" s="57" t="n"/>
      <c r="AA5" s="63" t="n"/>
    </row>
    <row r="6" hidden="1" ht="13.5" customHeight="1" s="56">
      <c r="A6" s="18" t="inlineStr">
        <is>
          <t>WRB</t>
        </is>
      </c>
      <c r="B6" s="19" t="n">
        <v>11</v>
      </c>
      <c r="C6" s="20" t="n">
        <v>100.773</v>
      </c>
      <c r="D6" s="20" t="n">
        <v>27.273</v>
      </c>
      <c r="E6" s="20" t="n">
        <v>1.665</v>
      </c>
      <c r="F6" s="66" t="n"/>
      <c r="G6" s="67" t="n">
        <v>45131</v>
      </c>
      <c r="H6" s="66" t="n"/>
      <c r="I6" s="67" t="n">
        <v>45134</v>
      </c>
      <c r="J6" s="23">
        <f>IF(ISBLANK(F6:G6),,IF(COUNTA(F6)=0,G6,F6))</f>
        <v/>
      </c>
      <c r="K6" s="6">
        <f>IFERROR(__xludf.DUMMYFUNCTION("if(isblank(J6),,index(googlefinance(A6,K$2,J6-1),2,2))"),61.32)</f>
        <v/>
      </c>
      <c r="L6" s="24">
        <f>IF(ISBLANK(H6:I6),,IF(COUNTA(H6)=0,I6,H6))</f>
        <v/>
      </c>
      <c r="M6" s="7">
        <f>IFERROR(__xludf.DUMMYFUNCTION("if(isblank(L6),, index(googlefinance(A6,M$2,L6-1),2,2))"),61.77)</f>
        <v/>
      </c>
      <c r="N6" s="8">
        <f>IFERROR(__xludf.DUMMYFUNCTION("if(isblank(A6),,googlefinance(A6))"),85.51)</f>
        <v/>
      </c>
      <c r="O6" s="59">
        <f>IF(ISBLANK(J6),,IF(ISBLANK(L6),"Ongoing","Completed"))</f>
        <v/>
      </c>
      <c r="P6" s="70">
        <f>IF(ISBLANK(A6),,IF(AND(COUNTA(F6)=1,S6&gt;0),"Profit",IF(AND(COUNTA(G6)=1,S6&lt;0),"Profit","Loss")))</f>
        <v/>
      </c>
      <c r="Q6" s="31">
        <f>IF(ISBLANK(T6),,IF(P6="Profit",IF(S6&lt;0,T6*-S6,T6*S6),IF(S6&gt;0,T6*-S6,T6*S6)))</f>
        <v/>
      </c>
      <c r="R6" s="59">
        <f>IF($Q6&gt;0, TRUE, FALSE)</f>
        <v/>
      </c>
      <c r="S6" s="59">
        <f>IF(ISBLANK(J6),,IF(ISBLANK(L6),N6-K6,M6-K6))</f>
        <v/>
      </c>
      <c r="T6" s="61">
        <f>IF(ISBLANK(J6),,ROUNDDOWN(T$1/K6,0))</f>
        <v/>
      </c>
      <c r="U6" s="62" t="n"/>
      <c r="V6" s="57" t="n"/>
      <c r="W6" s="57" t="n"/>
      <c r="X6" s="71" t="n"/>
      <c r="Y6" s="72" t="n"/>
      <c r="Z6" s="72" t="n"/>
      <c r="AA6" s="72" t="n"/>
    </row>
    <row r="7" hidden="1" ht="13.5" customHeight="1" s="56">
      <c r="A7" s="18" t="inlineStr">
        <is>
          <t>DVA</t>
        </is>
      </c>
      <c r="B7" s="19" t="n">
        <v>5</v>
      </c>
      <c r="C7" s="20" t="n">
        <v>74.93000000000001</v>
      </c>
      <c r="D7" s="20" t="n">
        <v>40</v>
      </c>
      <c r="E7" s="20" t="n">
        <v>2.047</v>
      </c>
      <c r="F7" s="66" t="n"/>
      <c r="G7" s="67" t="n">
        <v>45132</v>
      </c>
      <c r="H7" s="66" t="n"/>
      <c r="I7" s="67" t="n">
        <v>45139</v>
      </c>
      <c r="J7" s="23">
        <f>IF(ISBLANK(F7:G7),,IF(COUNTA(F7)=0,G7,F7))</f>
        <v/>
      </c>
      <c r="K7" s="6">
        <f>IFERROR(__xludf.DUMMYFUNCTION("if(isblank(J7),,index(googlefinance(A7,K$2,J7-1),2,2))"),102.1)</f>
        <v/>
      </c>
      <c r="L7" s="24">
        <f>IF(ISBLANK(H7:I7),,IF(COUNTA(H7)=0,I7,H7))</f>
        <v/>
      </c>
      <c r="M7" s="7">
        <f>IFERROR(__xludf.DUMMYFUNCTION("if(isblank(L7),, index(googlefinance(A7,M$2,L7-1),2,2))"),101.99)</f>
        <v/>
      </c>
      <c r="N7" s="8">
        <f>IFERROR(__xludf.DUMMYFUNCTION("if(isblank(A7),,googlefinance(A7))"),136.65)</f>
        <v/>
      </c>
      <c r="O7" s="59">
        <f>IF(ISBLANK(J7),,IF(ISBLANK(L7),"Ongoing","Completed"))</f>
        <v/>
      </c>
      <c r="P7" s="68">
        <f>IF(ISBLANK(A7),,IF(AND(COUNTA(F7)=1,S7&gt;0),"Profit",IF(AND(COUNTA(G7)=1,S7&lt;0),"Profit","Loss")))</f>
        <v/>
      </c>
      <c r="Q7" s="26">
        <f>IF(ISBLANK(T7),,IF(P7="Profit",IF(S7&lt;0,T7*-S7,T7*S7),IF(S7&gt;0,T7*-S7,T7*S7)))</f>
        <v/>
      </c>
      <c r="R7" s="59">
        <f>IF($Q7&gt;0, TRUE, FALSE)</f>
        <v/>
      </c>
      <c r="S7" s="59">
        <f>IF(ISBLANK(J7),,IF(ISBLANK(L7),N7-K7,M7-K7))</f>
        <v/>
      </c>
      <c r="T7" s="61">
        <f>IF(ISBLANK(J7),,ROUNDDOWN(T$1/K7,0))</f>
        <v/>
      </c>
      <c r="U7" s="62" t="n"/>
      <c r="V7" s="57" t="n"/>
      <c r="W7" s="57" t="n"/>
      <c r="X7" s="57" t="n"/>
      <c r="Y7" s="57" t="n"/>
      <c r="Z7" s="57" t="n"/>
      <c r="AA7" s="63" t="n"/>
    </row>
    <row r="8" hidden="1" ht="13.5" customHeight="1" s="56">
      <c r="A8" s="18" t="inlineStr">
        <is>
          <t>MTCH</t>
        </is>
      </c>
      <c r="B8" s="19" t="n">
        <v>15</v>
      </c>
      <c r="C8" s="20" t="n">
        <v>177.385</v>
      </c>
      <c r="D8" s="20" t="n">
        <v>33.333</v>
      </c>
      <c r="E8" s="20" t="n">
        <v>1.386</v>
      </c>
      <c r="F8" s="66" t="n"/>
      <c r="G8" s="67" t="n">
        <v>45132</v>
      </c>
      <c r="H8" s="66" t="n"/>
      <c r="I8" s="67" t="n">
        <v>45138</v>
      </c>
      <c r="J8" s="23">
        <f>IF(ISBLANK(F8:G8),,IF(COUNTA(F8)=0,G8,F8))</f>
        <v/>
      </c>
      <c r="K8" s="6">
        <f>IFERROR(__xludf.DUMMYFUNCTION("if(isblank(J8),,index(googlefinance(A8,K$2,J8-1),2,2))"),45.6)</f>
        <v/>
      </c>
      <c r="L8" s="24">
        <f>IF(ISBLANK(H8:I8),,IF(COUNTA(H8)=0,I8,H8))</f>
        <v/>
      </c>
      <c r="M8" s="7">
        <f>IFERROR(__xludf.DUMMYFUNCTION("if(isblank(L8),, index(googlefinance(A8,M$2,L8-1),2,2))"),46.51)</f>
        <v/>
      </c>
      <c r="N8" s="8">
        <f>IFERROR(__xludf.DUMMYFUNCTION("if(isblank(A8),,googlefinance(A8))"),33.55)</f>
        <v/>
      </c>
      <c r="O8" s="59">
        <f>IF(ISBLANK(J8),,IF(ISBLANK(L8),"Ongoing","Completed"))</f>
        <v/>
      </c>
      <c r="P8" s="70">
        <f>IF(ISBLANK(A8),,IF(AND(COUNTA(F8)=1,S8&gt;0),"Profit",IF(AND(COUNTA(G8)=1,S8&lt;0),"Profit","Loss")))</f>
        <v/>
      </c>
      <c r="Q8" s="31">
        <f>IF(ISBLANK(T8),,IF(P8="Profit",IF(S8&lt;0,T8*-S8,T8*S8),IF(S8&gt;0,T8*-S8,T8*S8)))</f>
        <v/>
      </c>
      <c r="R8" s="59">
        <f>IF($Q8&gt;0, TRUE, FALSE)</f>
        <v/>
      </c>
      <c r="S8" s="59">
        <f>IF(ISBLANK(J8),,IF(ISBLANK(L8),N8-K8,M8-K8))</f>
        <v/>
      </c>
      <c r="T8" s="61">
        <f>IF(ISBLANK(J8),,ROUNDDOWN(T$1/K8,0))</f>
        <v/>
      </c>
      <c r="U8" s="62" t="n"/>
      <c r="V8" s="57" t="n"/>
      <c r="W8" s="57" t="n"/>
      <c r="X8" s="57" t="n"/>
      <c r="Y8" s="57" t="n"/>
      <c r="Z8" s="57" t="n"/>
      <c r="AA8" s="63" t="n"/>
    </row>
    <row r="9" hidden="1" ht="13.5" customHeight="1" s="56">
      <c r="A9" s="18" t="inlineStr">
        <is>
          <t>DGX</t>
        </is>
      </c>
      <c r="B9" s="19" t="n">
        <v>15</v>
      </c>
      <c r="C9" s="20" t="n">
        <v>443.86</v>
      </c>
      <c r="D9" s="20" t="n">
        <v>60</v>
      </c>
      <c r="E9" s="20" t="n">
        <v>3.937</v>
      </c>
      <c r="F9" s="66" t="n"/>
      <c r="G9" s="67" t="n">
        <v>45133</v>
      </c>
      <c r="H9" s="66" t="n"/>
      <c r="I9" s="67" t="n">
        <v>45156</v>
      </c>
      <c r="J9" s="23">
        <f>IF(ISBLANK(F9:G9),,IF(COUNTA(F9)=0,G9,F9))</f>
        <v/>
      </c>
      <c r="K9" s="6">
        <f>IFERROR(__xludf.DUMMYFUNCTION("if(isblank(J9),,index(googlefinance(A9,K$2,J9-1),2,2))"),144.92)</f>
        <v/>
      </c>
      <c r="L9" s="24">
        <f>IF(ISBLANK(H9:I9),,IF(COUNTA(H9)=0,I9,H9))</f>
        <v/>
      </c>
      <c r="M9" s="7">
        <f>IFERROR(__xludf.DUMMYFUNCTION("if(isblank(L9),, index(googlefinance(A9,M$2,L9-1),2,2))"),132.24)</f>
        <v/>
      </c>
      <c r="N9" s="8">
        <f>IFERROR(__xludf.DUMMYFUNCTION("if(isblank(A9),,googlefinance(A9))"),128.28)</f>
        <v/>
      </c>
      <c r="O9" s="59">
        <f>IF(ISBLANK(J9),,IF(ISBLANK(L9),"Ongoing","Completed"))</f>
        <v/>
      </c>
      <c r="P9" s="68">
        <f>IF(ISBLANK(A9),,IF(AND(COUNTA(F9)=1,S9&gt;0),"Profit",IF(AND(COUNTA(G9)=1,S9&lt;0),"Profit","Loss")))</f>
        <v/>
      </c>
      <c r="Q9" s="26">
        <f>IF(ISBLANK(T9),,IF(P9="Profit",IF(S9&lt;0,T9*-S9,T9*S9),IF(S9&gt;0,T9*-S9,T9*S9)))</f>
        <v/>
      </c>
      <c r="R9" s="59">
        <f>IF($Q9&gt;0, TRUE, FALSE)</f>
        <v/>
      </c>
      <c r="S9" s="59">
        <f>IF(ISBLANK(J9),,IF(ISBLANK(L9),N9-K9,M9-K9))</f>
        <v/>
      </c>
      <c r="T9" s="61">
        <f>IF(ISBLANK(J9),,ROUNDDOWN(T$1/K9,0))</f>
        <v/>
      </c>
      <c r="U9" s="62" t="n"/>
      <c r="V9" s="57" t="n"/>
      <c r="W9" s="57" t="n"/>
      <c r="X9" s="57" t="n"/>
      <c r="Y9" s="57" t="n"/>
      <c r="Z9" s="57" t="n"/>
      <c r="AA9" s="63" t="n"/>
    </row>
    <row r="10" hidden="1" ht="13.5" customHeight="1" s="56">
      <c r="A10" s="18" t="inlineStr">
        <is>
          <t>D</t>
        </is>
      </c>
      <c r="B10" s="19" t="n">
        <v>7</v>
      </c>
      <c r="C10" s="20" t="n">
        <v>58.15</v>
      </c>
      <c r="D10" s="20" t="n">
        <v>42.857</v>
      </c>
      <c r="E10" s="20" t="n">
        <v>1.871</v>
      </c>
      <c r="F10" s="66" t="n"/>
      <c r="G10" s="67" t="n">
        <v>45134</v>
      </c>
      <c r="H10" s="66" t="n"/>
      <c r="I10" s="67" t="n">
        <v>45163</v>
      </c>
      <c r="J10" s="23">
        <f>IF(ISBLANK(F10:G10),,IF(COUNTA(F10)=0,G10,F10))</f>
        <v/>
      </c>
      <c r="K10" s="6">
        <f>IFERROR(__xludf.DUMMYFUNCTION("if(isblank(J10),,index(googlefinance(A10,K$2,J10-1),2,2))"),54.45)</f>
        <v/>
      </c>
      <c r="L10" s="24">
        <f>IF(ISBLANK(H10:I10),,IF(COUNTA(H10)=0,I10,H10))</f>
        <v/>
      </c>
      <c r="M10" s="7">
        <f>IFERROR(__xludf.DUMMYFUNCTION("if(isblank(L10),, index(googlefinance(A10,M$2,L10-1),2,2))"),48.07)</f>
        <v/>
      </c>
      <c r="N10" s="8">
        <f>IFERROR(__xludf.DUMMYFUNCTION("if(isblank(A10),,googlefinance(A10))"),47.84)</f>
        <v/>
      </c>
      <c r="O10" s="59">
        <f>IF(ISBLANK(J10),,IF(ISBLANK(L10),"Ongoing","Completed"))</f>
        <v/>
      </c>
      <c r="P10" s="68">
        <f>IF(ISBLANK(A10),,IF(AND(COUNTA(F10)=1,S10&gt;0),"Profit",IF(AND(COUNTA(G10)=1,S10&lt;0),"Profit","Loss")))</f>
        <v/>
      </c>
      <c r="Q10" s="26">
        <f>IF(ISBLANK(T10),,IF(P10="Profit",IF(S10&lt;0,T10*-S10,T10*S10),IF(S10&gt;0,T10*-S10,T10*S10)))</f>
        <v/>
      </c>
      <c r="R10" s="59">
        <f>IF($Q10&gt;0, TRUE, FALSE)</f>
        <v/>
      </c>
      <c r="S10" s="59">
        <f>IF(ISBLANK(J10),,IF(ISBLANK(L10),N10-K10,M10-K10))</f>
        <v/>
      </c>
      <c r="T10" s="61">
        <f>IF(ISBLANK(J10),,ROUNDDOWN(T$1/K10,0))</f>
        <v/>
      </c>
      <c r="U10" s="62" t="n"/>
      <c r="V10" s="57" t="n"/>
      <c r="W10" s="57" t="n"/>
      <c r="X10" s="57" t="n"/>
      <c r="Y10" s="57" t="n"/>
      <c r="Z10" s="57" t="n"/>
      <c r="AA10" s="63" t="n"/>
    </row>
    <row r="11" hidden="1" ht="13.5" customHeight="1" s="56">
      <c r="A11" s="18" t="inlineStr">
        <is>
          <t>ES</t>
        </is>
      </c>
      <c r="B11" s="19" t="n">
        <v>10</v>
      </c>
      <c r="C11" s="20" t="n">
        <v>24.11</v>
      </c>
      <c r="D11" s="20" t="n">
        <v>40</v>
      </c>
      <c r="E11" s="20" t="n">
        <v>1.28</v>
      </c>
      <c r="F11" s="66" t="n"/>
      <c r="G11" s="67" t="n">
        <v>45134</v>
      </c>
      <c r="H11" s="66" t="n"/>
      <c r="I11" s="67" t="n">
        <v>45161</v>
      </c>
      <c r="J11" s="23">
        <f>IF(ISBLANK(F11:G11),,IF(COUNTA(F11)=0,G11,F11))</f>
        <v/>
      </c>
      <c r="K11" s="6">
        <f>IFERROR(__xludf.DUMMYFUNCTION("if(isblank(J11),,index(googlefinance(A11,K$2,J11-1),2,2))"),73.62)</f>
        <v/>
      </c>
      <c r="L11" s="24">
        <f>IF(ISBLANK(H11:I11),,IF(COUNTA(H11)=0,I11,H11))</f>
        <v/>
      </c>
      <c r="M11" s="7">
        <f>IFERROR(__xludf.DUMMYFUNCTION("if(isblank(L11),, index(googlefinance(A11,M$2,L11-1),2,2))"),63.87)</f>
        <v/>
      </c>
      <c r="N11" s="8">
        <f>IFERROR(__xludf.DUMMYFUNCTION("if(isblank(A11),,googlefinance(A11))"),58.92)</f>
        <v/>
      </c>
      <c r="O11" s="59">
        <f>IF(ISBLANK(J11),,IF(ISBLANK(L11),"Ongoing","Completed"))</f>
        <v/>
      </c>
      <c r="P11" s="68">
        <f>IF(ISBLANK(A11),,IF(AND(COUNTA(F11)=1,S11&gt;0),"Profit",IF(AND(COUNTA(G11)=1,S11&lt;0),"Profit","Loss")))</f>
        <v/>
      </c>
      <c r="Q11" s="26">
        <f>IF(ISBLANK(T11),,IF(P11="Profit",IF(S11&lt;0,T11*-S11,T11*S11),IF(S11&gt;0,T11*-S11,T11*S11)))</f>
        <v/>
      </c>
      <c r="R11" s="59">
        <f>IF($Q11&gt;0, TRUE, FALSE)</f>
        <v/>
      </c>
      <c r="S11" s="59">
        <f>IF(ISBLANK(J11),,IF(ISBLANK(L11),N11-K11,M11-K11))</f>
        <v/>
      </c>
      <c r="T11" s="61">
        <f>IF(ISBLANK(J11),,ROUNDDOWN(T$1/K11,0))</f>
        <v/>
      </c>
      <c r="U11" s="62" t="n"/>
      <c r="V11" s="57" t="n"/>
      <c r="W11" s="57" t="n"/>
      <c r="X11" s="57" t="n"/>
      <c r="Y11" s="57" t="n"/>
      <c r="Z11" s="57" t="n"/>
      <c r="AA11" s="63" t="n"/>
    </row>
    <row r="12" hidden="1" ht="13.5" customHeight="1" s="56">
      <c r="A12" s="18" t="inlineStr">
        <is>
          <t>EVRG</t>
        </is>
      </c>
      <c r="B12" s="19" t="n">
        <v>11</v>
      </c>
      <c r="C12" s="20" t="n">
        <v>296.91</v>
      </c>
      <c r="D12" s="20" t="n">
        <v>36.364</v>
      </c>
      <c r="E12" s="20" t="n">
        <v>3.592</v>
      </c>
      <c r="F12" s="66" t="n"/>
      <c r="G12" s="67" t="n">
        <v>45134</v>
      </c>
      <c r="H12" s="66" t="n"/>
      <c r="I12" s="67" t="n">
        <v>45160</v>
      </c>
      <c r="J12" s="23">
        <f>IF(ISBLANK(F12:G12),,IF(COUNTA(F12)=0,G12,F12))</f>
        <v/>
      </c>
      <c r="K12" s="6">
        <f>IFERROR(__xludf.DUMMYFUNCTION("if(isblank(J12),,index(googlefinance(A12,K$2,J12-1),2,2))"),61.32)</f>
        <v/>
      </c>
      <c r="L12" s="24">
        <f>IF(ISBLANK(H12:I12),,IF(COUNTA(H12)=0,I12,H12))</f>
        <v/>
      </c>
      <c r="M12" s="7">
        <f>IFERROR(__xludf.DUMMYFUNCTION("if(isblank(L12),, index(googlefinance(A12,M$2,L12-1),2,2))"),56.08)</f>
        <v/>
      </c>
      <c r="N12" s="8">
        <f>IFERROR(__xludf.DUMMYFUNCTION("if(isblank(A12),,googlefinance(A12))"),51.6)</f>
        <v/>
      </c>
      <c r="O12" s="59">
        <f>IF(ISBLANK(J12),,IF(ISBLANK(L12),"Ongoing","Completed"))</f>
        <v/>
      </c>
      <c r="P12" s="68">
        <f>IF(ISBLANK(A12),,IF(AND(COUNTA(F12)=1,S12&gt;0),"Profit",IF(AND(COUNTA(G12)=1,S12&lt;0),"Profit","Loss")))</f>
        <v/>
      </c>
      <c r="Q12" s="26">
        <f>IF(ISBLANK(T12),,IF(P12="Profit",IF(S12&lt;0,T12*-S12,T12*S12),IF(S12&gt;0,T12*-S12,T12*S12)))</f>
        <v/>
      </c>
      <c r="R12" s="59">
        <f>IF($Q12&gt;0, TRUE, FALSE)</f>
        <v/>
      </c>
      <c r="S12" s="59">
        <f>IF(ISBLANK(J12),,IF(ISBLANK(L12),N12-K12,M12-K12))</f>
        <v/>
      </c>
      <c r="T12" s="61">
        <f>IF(ISBLANK(J12),,ROUNDDOWN(T$1/K12,0))</f>
        <v/>
      </c>
      <c r="U12" s="62" t="n"/>
      <c r="V12" s="57" t="n"/>
      <c r="W12" s="57" t="n"/>
      <c r="X12" s="57" t="n"/>
      <c r="Y12" s="57" t="n"/>
      <c r="Z12" s="57" t="n"/>
      <c r="AA12" s="63" t="n"/>
    </row>
    <row r="13" hidden="1" ht="13.5" customHeight="1" s="56">
      <c r="A13" s="18" t="inlineStr">
        <is>
          <t>LHX</t>
        </is>
      </c>
      <c r="B13" s="19" t="n">
        <v>9</v>
      </c>
      <c r="C13" s="20" t="n">
        <v>209.86</v>
      </c>
      <c r="D13" s="20" t="n">
        <v>55.556</v>
      </c>
      <c r="E13" s="20" t="n">
        <v>10.729</v>
      </c>
      <c r="F13" s="66" t="n"/>
      <c r="G13" s="67" t="n">
        <v>45134</v>
      </c>
      <c r="H13" s="66" t="n"/>
      <c r="I13" s="67" t="n">
        <v>45149</v>
      </c>
      <c r="J13" s="23">
        <f>IF(ISBLANK(F13:G13),,IF(COUNTA(F13)=0,G13,F13))</f>
        <v/>
      </c>
      <c r="K13" s="6">
        <f>IFERROR(__xludf.DUMMYFUNCTION("if(isblank(J13),,index(googlefinance(A13,K$2,J13-1),2,2))"),202.56)</f>
        <v/>
      </c>
      <c r="L13" s="24">
        <f>IF(ISBLANK(H13:I13),,IF(COUNTA(H13)=0,I13,H13))</f>
        <v/>
      </c>
      <c r="M13" s="7">
        <f>IFERROR(__xludf.DUMMYFUNCTION("if(isblank(L13),, index(googlefinance(A13,M$2,L13-1),2,2))"),186.41)</f>
        <v/>
      </c>
      <c r="N13" s="8">
        <f>IFERROR(__xludf.DUMMYFUNCTION("if(isblank(A13),,googlefinance(A13))"),212.86)</f>
        <v/>
      </c>
      <c r="O13" s="59">
        <f>IF(ISBLANK(J13),,IF(ISBLANK(L13),"Ongoing","Completed"))</f>
        <v/>
      </c>
      <c r="P13" s="68">
        <f>IF(ISBLANK(A13),,IF(AND(COUNTA(F13)=1,S13&gt;0),"Profit",IF(AND(COUNTA(G13)=1,S13&lt;0),"Profit","Loss")))</f>
        <v/>
      </c>
      <c r="Q13" s="26">
        <f>IF(ISBLANK(T13),,IF(P13="Profit",IF(S13&lt;0,T13*-S13,T13*S13),IF(S13&gt;0,T13*-S13,T13*S13)))</f>
        <v/>
      </c>
      <c r="R13" s="59">
        <f>IF($Q13&gt;0, TRUE, FALSE)</f>
        <v/>
      </c>
      <c r="S13" s="59">
        <f>IF(ISBLANK(J13),,IF(ISBLANK(L13),N13-K13,M13-K13))</f>
        <v/>
      </c>
      <c r="T13" s="61">
        <f>IF(ISBLANK(J13),,ROUNDDOWN(T$1/K13,0))</f>
        <v/>
      </c>
      <c r="U13" s="62" t="n"/>
      <c r="V13" s="57" t="n"/>
      <c r="W13" s="57" t="n"/>
      <c r="X13" s="57" t="n"/>
      <c r="Y13" s="57" t="n"/>
      <c r="Z13" s="57" t="n"/>
      <c r="AA13" s="63" t="n"/>
    </row>
    <row r="14" hidden="1" ht="13.5" customHeight="1" s="56">
      <c r="A14" s="18" t="inlineStr">
        <is>
          <t>OXY</t>
        </is>
      </c>
      <c r="B14" s="19" t="n">
        <v>5</v>
      </c>
      <c r="C14" s="20" t="n">
        <v>635.86</v>
      </c>
      <c r="D14" s="20" t="n">
        <v>60</v>
      </c>
      <c r="E14" s="20" t="n">
        <v>6.215</v>
      </c>
      <c r="F14" s="66" t="n"/>
      <c r="G14" s="67" t="n">
        <v>45134</v>
      </c>
      <c r="H14" s="66" t="n"/>
      <c r="I14" s="67" t="n">
        <v>45138</v>
      </c>
      <c r="J14" s="23">
        <f>IF(ISBLANK(F14:G14),,IF(COUNTA(F14)=0,G14,F14))</f>
        <v/>
      </c>
      <c r="K14" s="6">
        <f>IFERROR(__xludf.DUMMYFUNCTION("if(isblank(J14),,index(googlefinance(A14,K$2,J14-1),2,2))"),62.85)</f>
        <v/>
      </c>
      <c r="L14" s="24">
        <f>IF(ISBLANK(H14:I14),,IF(COUNTA(H14)=0,I14,H14))</f>
        <v/>
      </c>
      <c r="M14" s="7">
        <f>IFERROR(__xludf.DUMMYFUNCTION("if(isblank(L14),, index(googlefinance(A14,M$2,L14-1),2,2))"),63.13)</f>
        <v/>
      </c>
      <c r="N14" s="8">
        <f>IFERROR(__xludf.DUMMYFUNCTION("if(isblank(A14),,googlefinance(A14))"),62.65)</f>
        <v/>
      </c>
      <c r="O14" s="59">
        <f>IF(ISBLANK(J14),,IF(ISBLANK(L14),"Ongoing","Completed"))</f>
        <v/>
      </c>
      <c r="P14" s="70">
        <f>IF(ISBLANK(A14),,IF(AND(COUNTA(F14)=1,S14&gt;0),"Profit",IF(AND(COUNTA(G14)=1,S14&lt;0),"Profit","Loss")))</f>
        <v/>
      </c>
      <c r="Q14" s="31">
        <f>IF(ISBLANK(T14),,IF(P14="Profit",IF(S14&lt;0,T14*-S14,T14*S14),IF(S14&gt;0,T14*-S14,T14*S14)))</f>
        <v/>
      </c>
      <c r="R14" s="59">
        <f>IF($Q14&gt;0, TRUE, FALSE)</f>
        <v/>
      </c>
      <c r="S14" s="59">
        <f>IF(ISBLANK(J14),,IF(ISBLANK(L14),N14-K14,M14-K14))</f>
        <v/>
      </c>
      <c r="T14" s="61">
        <f>IF(ISBLANK(J14),,ROUNDDOWN(T$1/K14,0))</f>
        <v/>
      </c>
      <c r="U14" s="62" t="n"/>
      <c r="V14" s="57" t="n"/>
      <c r="W14" s="57" t="n"/>
      <c r="X14" s="57" t="n"/>
      <c r="Y14" s="57" t="n"/>
      <c r="Z14" s="57" t="n"/>
      <c r="AA14" s="63" t="n"/>
    </row>
    <row r="15" hidden="1" ht="13.5" customHeight="1" s="56">
      <c r="A15" s="18" t="inlineStr">
        <is>
          <t>PEG</t>
        </is>
      </c>
      <c r="B15" s="19" t="n">
        <v>9</v>
      </c>
      <c r="C15" s="20" t="n">
        <v>114.54</v>
      </c>
      <c r="D15" s="20" t="n">
        <v>44.444</v>
      </c>
      <c r="E15" s="20" t="n">
        <v>2.623</v>
      </c>
      <c r="F15" s="66" t="n"/>
      <c r="G15" s="67" t="n">
        <v>45134</v>
      </c>
      <c r="H15" s="66" t="n"/>
      <c r="I15" s="67" t="n">
        <v>45154</v>
      </c>
      <c r="J15" s="23">
        <f>IF(ISBLANK(F15:G15),,IF(COUNTA(F15)=0,G15,F15))</f>
        <v/>
      </c>
      <c r="K15" s="6">
        <f>IFERROR(__xludf.DUMMYFUNCTION("if(isblank(J15),,index(googlefinance(A15,K$2,J15-1),2,2))"),64.92)</f>
        <v/>
      </c>
      <c r="L15" s="24">
        <f>IF(ISBLANK(H15:I15),,IF(COUNTA(H15)=0,I15,H15))</f>
        <v/>
      </c>
      <c r="M15" s="7">
        <f>IFERROR(__xludf.DUMMYFUNCTION("if(isblank(L15),, index(googlefinance(A15,M$2,L15-1),2,2))"),59.43)</f>
        <v/>
      </c>
      <c r="N15" s="8">
        <f>IFERROR(__xludf.DUMMYFUNCTION("if(isblank(A15),,googlefinance(A15))"),63.78)</f>
        <v/>
      </c>
      <c r="O15" s="59">
        <f>IF(ISBLANK(J15),,IF(ISBLANK(L15),"Ongoing","Completed"))</f>
        <v/>
      </c>
      <c r="P15" s="68">
        <f>IF(ISBLANK(A15),,IF(AND(COUNTA(F15)=1,S15&gt;0),"Profit",IF(AND(COUNTA(G15)=1,S15&lt;0),"Profit","Loss")))</f>
        <v/>
      </c>
      <c r="Q15" s="26">
        <f>IF(ISBLANK(T15),,IF(P15="Profit",IF(S15&lt;0,T15*-S15,T15*S15),IF(S15&gt;0,T15*-S15,T15*S15)))</f>
        <v/>
      </c>
      <c r="R15" s="59">
        <f>IF($Q15&gt;0, TRUE, FALSE)</f>
        <v/>
      </c>
      <c r="S15" s="59">
        <f>IF(ISBLANK(J15),,IF(ISBLANK(L15),N15-K15,M15-K15))</f>
        <v/>
      </c>
      <c r="T15" s="61">
        <f>IF(ISBLANK(J15),,ROUNDDOWN(T$1/K15,0))</f>
        <v/>
      </c>
      <c r="U15" s="62" t="n"/>
      <c r="V15" s="57" t="n"/>
      <c r="W15" s="57" t="n"/>
      <c r="X15" s="57" t="n"/>
      <c r="Y15" s="57" t="n"/>
      <c r="Z15" s="57" t="n"/>
      <c r="AA15" s="63" t="n"/>
    </row>
    <row r="16" hidden="1" ht="13.5" customHeight="1" s="56">
      <c r="A16" s="18" t="inlineStr">
        <is>
          <t>ECL</t>
        </is>
      </c>
      <c r="B16" s="19" t="n">
        <v>8</v>
      </c>
      <c r="C16" s="20" t="n">
        <v>75.36</v>
      </c>
      <c r="D16" s="20" t="n">
        <v>50</v>
      </c>
      <c r="E16" s="20" t="n">
        <v>3.193</v>
      </c>
      <c r="F16" s="66" t="n"/>
      <c r="G16" s="67" t="n">
        <v>45135</v>
      </c>
      <c r="H16" s="66" t="n"/>
      <c r="I16" s="67" t="n">
        <v>45146</v>
      </c>
      <c r="J16" s="23">
        <f>IF(ISBLANK(F16:G16),,IF(COUNTA(F16)=0,G16,F16))</f>
        <v/>
      </c>
      <c r="K16" s="6">
        <f>IFERROR(__xludf.DUMMYFUNCTION("if(isblank(J16),,index(googlefinance(A16,K$2,J16-1),2,2))"),183.83)</f>
        <v/>
      </c>
      <c r="L16" s="24">
        <f>IF(ISBLANK(H16:I16),,IF(COUNTA(H16)=0,I16,H16))</f>
        <v/>
      </c>
      <c r="M16" s="7">
        <f>IFERROR(__xludf.DUMMYFUNCTION("if(isblank(L16),, index(googlefinance(A16,M$2,L16-1),2,2))"),184.51)</f>
        <v/>
      </c>
      <c r="N16" s="8">
        <f>IFERROR(__xludf.DUMMYFUNCTION("if(isblank(A16),,googlefinance(A16))"),226.7)</f>
        <v/>
      </c>
      <c r="O16" s="59">
        <f>IF(ISBLANK(J16),,IF(ISBLANK(L16),"Ongoing","Completed"))</f>
        <v/>
      </c>
      <c r="P16" s="70">
        <f>IF(ISBLANK(A16),,IF(AND(COUNTA(F16)=1,S16&gt;0),"Profit",IF(AND(COUNTA(G16)=1,S16&lt;0),"Profit","Loss")))</f>
        <v/>
      </c>
      <c r="Q16" s="31">
        <f>IF(ISBLANK(T16),,IF(P16="Profit",IF(S16&lt;0,T16*-S16,T16*S16),IF(S16&gt;0,T16*-S16,T16*S16)))</f>
        <v/>
      </c>
      <c r="R16" s="59">
        <f>IF($Q16&gt;0, TRUE, FALSE)</f>
        <v/>
      </c>
      <c r="S16" s="59">
        <f>IF(ISBLANK(J16),,IF(ISBLANK(L16),N16-K16,M16-K16))</f>
        <v/>
      </c>
      <c r="T16" s="61">
        <f>IF(ISBLANK(J16),,ROUNDDOWN(T$1/K16,0))</f>
        <v/>
      </c>
      <c r="U16" s="62" t="n"/>
      <c r="V16" s="57" t="n"/>
      <c r="W16" s="57" t="n"/>
      <c r="X16" s="57" t="n"/>
      <c r="Y16" s="57" t="n"/>
      <c r="Z16" s="57" t="n"/>
      <c r="AA16" s="63" t="n"/>
    </row>
    <row r="17" hidden="1" ht="13.5" customHeight="1" s="56">
      <c r="A17" s="18" t="inlineStr">
        <is>
          <t>EXC</t>
        </is>
      </c>
      <c r="B17" s="19" t="n">
        <v>12</v>
      </c>
      <c r="C17" s="20" t="n">
        <v>23.164</v>
      </c>
      <c r="D17" s="20" t="n">
        <v>33.333</v>
      </c>
      <c r="E17" s="20" t="n">
        <v>1.13</v>
      </c>
      <c r="F17" s="66" t="n"/>
      <c r="G17" s="67" t="n">
        <v>45135</v>
      </c>
      <c r="H17" s="66" t="n"/>
      <c r="I17" s="67" t="n">
        <v>45160</v>
      </c>
      <c r="J17" s="23">
        <f>IF(ISBLANK(F17:G17),,IF(COUNTA(F17)=0,G17,F17))</f>
        <v/>
      </c>
      <c r="K17" s="6">
        <f>IFERROR(__xludf.DUMMYFUNCTION("if(isblank(J17),,index(googlefinance(A17,K$2,J17-1),2,2))"),41.96)</f>
        <v/>
      </c>
      <c r="L17" s="24">
        <f>IF(ISBLANK(H17:I17),,IF(COUNTA(H17)=0,I17,H17))</f>
        <v/>
      </c>
      <c r="M17" s="7">
        <f>IFERROR(__xludf.DUMMYFUNCTION("if(isblank(L17),, index(googlefinance(A17,M$2,L17-1),2,2))"),39.74)</f>
        <v/>
      </c>
      <c r="N17" s="8">
        <f>IFERROR(__xludf.DUMMYFUNCTION("if(isblank(A17),,googlefinance(A17))"),36.48)</f>
        <v/>
      </c>
      <c r="O17" s="59">
        <f>IF(ISBLANK(J17),,IF(ISBLANK(L17),"Ongoing","Completed"))</f>
        <v/>
      </c>
      <c r="P17" s="68">
        <f>IF(ISBLANK(A17),,IF(AND(COUNTA(F17)=1,S17&gt;0),"Profit",IF(AND(COUNTA(G17)=1,S17&lt;0),"Profit","Loss")))</f>
        <v/>
      </c>
      <c r="Q17" s="26">
        <f>IF(ISBLANK(T17),,IF(P17="Profit",IF(S17&lt;0,T17*-S17,T17*S17),IF(S17&gt;0,T17*-S17,T17*S17)))</f>
        <v/>
      </c>
      <c r="R17" s="59">
        <f>IF($Q17&gt;0, TRUE, FALSE)</f>
        <v/>
      </c>
      <c r="S17" s="59">
        <f>IF(ISBLANK(J17),,IF(ISBLANK(L17),N17-K17,M17-K17))</f>
        <v/>
      </c>
      <c r="T17" s="61">
        <f>IF(ISBLANK(J17),,ROUNDDOWN(T$1/K17,0))</f>
        <v/>
      </c>
      <c r="U17" s="62" t="n"/>
      <c r="V17" s="57" t="n"/>
      <c r="W17" s="57" t="n"/>
      <c r="X17" s="57" t="n"/>
      <c r="Y17" s="57" t="n"/>
      <c r="Z17" s="57" t="n"/>
      <c r="AA17" s="63" t="n"/>
    </row>
    <row r="18" hidden="1" ht="13.5" customHeight="1" s="56">
      <c r="A18" s="18" t="inlineStr">
        <is>
          <t>FE</t>
        </is>
      </c>
      <c r="B18" s="19" t="n">
        <v>15</v>
      </c>
      <c r="C18" s="20" t="n">
        <v>79.98</v>
      </c>
      <c r="D18" s="20" t="n">
        <v>33.333</v>
      </c>
      <c r="E18" s="20" t="n">
        <v>1.558</v>
      </c>
      <c r="F18" s="66" t="n"/>
      <c r="G18" s="67" t="n">
        <v>45135</v>
      </c>
      <c r="H18" s="66" t="n"/>
      <c r="I18" s="67" t="n">
        <v>45149</v>
      </c>
      <c r="J18" s="23">
        <f>IF(ISBLANK(F18:G18),,IF(COUNTA(F18)=0,G18,F18))</f>
        <v/>
      </c>
      <c r="K18" s="6">
        <f>IFERROR(__xludf.DUMMYFUNCTION("if(isblank(J18),,index(googlefinance(A18,K$2,J18-1),2,2))"),39.24)</f>
        <v/>
      </c>
      <c r="L18" s="24">
        <f>IF(ISBLANK(H18:I18),,IF(COUNTA(H18)=0,I18,H18))</f>
        <v/>
      </c>
      <c r="M18" s="7">
        <f>IFERROR(__xludf.DUMMYFUNCTION("if(isblank(L18),, index(googlefinance(A18,M$2,L18-1),2,2))"),36.3)</f>
        <v/>
      </c>
      <c r="N18" s="8">
        <f>IFERROR(__xludf.DUMMYFUNCTION("if(isblank(A18),,googlefinance(A18))"),37.95)</f>
        <v/>
      </c>
      <c r="O18" s="59">
        <f>IF(ISBLANK(J18),,IF(ISBLANK(L18),"Ongoing","Completed"))</f>
        <v/>
      </c>
      <c r="P18" s="68">
        <f>IF(ISBLANK(A18),,IF(AND(COUNTA(F18)=1,S18&gt;0),"Profit",IF(AND(COUNTA(G18)=1,S18&lt;0),"Profit","Loss")))</f>
        <v/>
      </c>
      <c r="Q18" s="26">
        <f>IF(ISBLANK(T18),,IF(P18="Profit",IF(S18&lt;0,T18*-S18,T18*S18),IF(S18&gt;0,T18*-S18,T18*S18)))</f>
        <v/>
      </c>
      <c r="R18" s="59">
        <f>IF($Q18&gt;0, TRUE, FALSE)</f>
        <v/>
      </c>
      <c r="S18" s="59">
        <f>IF(ISBLANK(J18),,IF(ISBLANK(L18),N18-K18,M18-K18))</f>
        <v/>
      </c>
      <c r="T18" s="61">
        <f>IF(ISBLANK(J18),,ROUNDDOWN(T$1/K18,0))</f>
        <v/>
      </c>
      <c r="U18" s="62" t="n"/>
      <c r="V18" s="57" t="n"/>
      <c r="W18" s="57" t="n"/>
      <c r="X18" s="57" t="n"/>
      <c r="Y18" s="57" t="n"/>
      <c r="Z18" s="57" t="n"/>
      <c r="AA18" s="63" t="n"/>
    </row>
    <row r="19" hidden="1" ht="13.5" customHeight="1" s="56">
      <c r="A19" s="18" t="inlineStr">
        <is>
          <t>GL</t>
        </is>
      </c>
      <c r="B19" s="19" t="n">
        <v>14</v>
      </c>
      <c r="C19" s="20" t="n">
        <v>77.58</v>
      </c>
      <c r="D19" s="20" t="n">
        <v>21.429</v>
      </c>
      <c r="E19" s="20" t="n">
        <v>1.301</v>
      </c>
      <c r="F19" s="66" t="n"/>
      <c r="G19" s="67" t="n">
        <v>45135</v>
      </c>
      <c r="H19" s="66" t="n"/>
      <c r="I19" s="67" t="n">
        <v>45140</v>
      </c>
      <c r="J19" s="23">
        <f>IF(ISBLANK(F19:G19),,IF(COUNTA(F19)=0,G19,F19))</f>
        <v/>
      </c>
      <c r="K19" s="6">
        <f>IFERROR(__xludf.DUMMYFUNCTION("if(isblank(J19),,index(googlefinance(A19,K$2,J19-1),2,2))"),111.13)</f>
        <v/>
      </c>
      <c r="L19" s="24">
        <f>IF(ISBLANK(H19:I19),,IF(COUNTA(H19)=0,I19,H19))</f>
        <v/>
      </c>
      <c r="M19" s="7">
        <f>IFERROR(__xludf.DUMMYFUNCTION("if(isblank(L19),, index(googlefinance(A19,M$2,L19-1),2,2))"),112.57)</f>
        <v/>
      </c>
      <c r="N19" s="8">
        <f>IFERROR(__xludf.DUMMYFUNCTION("if(isblank(A19),,googlefinance(A19))"),116.03)</f>
        <v/>
      </c>
      <c r="O19" s="59">
        <f>IF(ISBLANK(J19),,IF(ISBLANK(L19),"Ongoing","Completed"))</f>
        <v/>
      </c>
      <c r="P19" s="70">
        <f>IF(ISBLANK(A19),,IF(AND(COUNTA(F19)=1,S19&gt;0),"Profit",IF(AND(COUNTA(G19)=1,S19&lt;0),"Profit","Loss")))</f>
        <v/>
      </c>
      <c r="Q19" s="31">
        <f>IF(ISBLANK(T19),,IF(P19="Profit",IF(S19&lt;0,T19*-S19,T19*S19),IF(S19&gt;0,T19*-S19,T19*S19)))</f>
        <v/>
      </c>
      <c r="R19" s="59">
        <f>IF($Q19&gt;0, TRUE, FALSE)</f>
        <v/>
      </c>
      <c r="S19" s="59">
        <f>IF(ISBLANK(J19),,IF(ISBLANK(L19),N19-K19,M19-K19))</f>
        <v/>
      </c>
      <c r="T19" s="61">
        <f>IF(ISBLANK(J19),,ROUNDDOWN(T$1/K19,0))</f>
        <v/>
      </c>
      <c r="U19" s="62" t="n"/>
      <c r="V19" s="57" t="n"/>
      <c r="W19" s="57" t="n"/>
      <c r="X19" s="57" t="n"/>
      <c r="Y19" s="57" t="n"/>
      <c r="Z19" s="57" t="n"/>
      <c r="AA19" s="63" t="n"/>
    </row>
    <row r="20" hidden="1" ht="13.5" customHeight="1" s="56">
      <c r="A20" s="18" t="inlineStr">
        <is>
          <t>MS</t>
        </is>
      </c>
      <c r="B20" s="19" t="n">
        <v>10</v>
      </c>
      <c r="C20" s="20" t="n">
        <v>222.96</v>
      </c>
      <c r="D20" s="20" t="n">
        <v>20</v>
      </c>
      <c r="E20" s="20" t="n">
        <v>2.118</v>
      </c>
      <c r="F20" s="66" t="n"/>
      <c r="G20" s="67" t="n">
        <v>45135</v>
      </c>
      <c r="H20" s="66" t="n"/>
      <c r="I20" s="67" t="n">
        <v>45160</v>
      </c>
      <c r="J20" s="23">
        <f>IF(ISBLANK(F20:G20),,IF(COUNTA(F20)=0,G20,F20))</f>
        <v/>
      </c>
      <c r="K20" s="6">
        <f>IFERROR(__xludf.DUMMYFUNCTION("if(isblank(J20),,index(googlefinance(A20,K$2,J20-1),2,2))"),92.75)</f>
        <v/>
      </c>
      <c r="L20" s="24">
        <f>IF(ISBLANK(H20:I20),,IF(COUNTA(H20)=0,I20,H20))</f>
        <v/>
      </c>
      <c r="M20" s="7">
        <f>IFERROR(__xludf.DUMMYFUNCTION("if(isblank(L20),, index(googlefinance(A20,M$2,L20-1),2,2))"),84.25)</f>
        <v/>
      </c>
      <c r="N20" s="8">
        <f>IFERROR(__xludf.DUMMYFUNCTION("if(isblank(A20),,googlefinance(A20))"),88.38)</f>
        <v/>
      </c>
      <c r="O20" s="59">
        <f>IF(ISBLANK(J20),,IF(ISBLANK(L20),"Ongoing","Completed"))</f>
        <v/>
      </c>
      <c r="P20" s="68">
        <f>IF(ISBLANK(A20),,IF(AND(COUNTA(F20)=1,S20&gt;0),"Profit",IF(AND(COUNTA(G20)=1,S20&lt;0),"Profit","Loss")))</f>
        <v/>
      </c>
      <c r="Q20" s="26">
        <f>IF(ISBLANK(T20),,IF(P20="Profit",IF(S20&lt;0,T20*-S20,T20*S20),IF(S20&gt;0,T20*-S20,T20*S20)))</f>
        <v/>
      </c>
      <c r="R20" s="59">
        <f>IF($Q20&gt;0, TRUE, FALSE)</f>
        <v/>
      </c>
      <c r="S20" s="59">
        <f>IF(ISBLANK(J20),,IF(ISBLANK(L20),N20-K20,M20-K20))</f>
        <v/>
      </c>
      <c r="T20" s="61">
        <f>IF(ISBLANK(J20),,ROUNDDOWN(T$1/K20,0))</f>
        <v/>
      </c>
      <c r="U20" s="62" t="n"/>
      <c r="V20" s="57" t="n"/>
      <c r="W20" s="57" t="n"/>
      <c r="X20" s="57" t="n"/>
      <c r="Y20" s="57" t="n"/>
      <c r="Z20" s="57" t="n"/>
      <c r="AA20" s="63" t="n"/>
    </row>
    <row r="21" hidden="1" ht="13.5" customHeight="1" s="56">
      <c r="A21" s="18" t="inlineStr">
        <is>
          <t>EMN</t>
        </is>
      </c>
      <c r="B21" s="19" t="n">
        <v>13</v>
      </c>
      <c r="C21" s="20" t="n">
        <v>248.03</v>
      </c>
      <c r="D21" s="20" t="n">
        <v>53.846</v>
      </c>
      <c r="E21" s="20" t="n">
        <v>3.281</v>
      </c>
      <c r="F21" s="66" t="n"/>
      <c r="G21" s="67" t="n">
        <v>45138</v>
      </c>
      <c r="H21" s="66" t="n"/>
      <c r="I21" s="67" t="n">
        <v>45148</v>
      </c>
      <c r="J21" s="23">
        <f>IF(ISBLANK(F21:G21),,IF(COUNTA(F21)=0,G21,F21))</f>
        <v/>
      </c>
      <c r="K21" s="6">
        <f>IFERROR(__xludf.DUMMYFUNCTION("if(isblank(J21),,index(googlefinance(A21,K$2,J21-1),2,2))"),85.58)</f>
        <v/>
      </c>
      <c r="L21" s="24">
        <f>IF(ISBLANK(H21:I21),,IF(COUNTA(H21)=0,I21,H21))</f>
        <v/>
      </c>
      <c r="M21" s="7">
        <f>IFERROR(__xludf.DUMMYFUNCTION("if(isblank(L21),, index(googlefinance(A21,M$2,L21-1),2,2))"),84.37)</f>
        <v/>
      </c>
      <c r="N21" s="8">
        <f>IFERROR(__xludf.DUMMYFUNCTION("if(isblank(A21),,googlefinance(A21))"),92.3)</f>
        <v/>
      </c>
      <c r="O21" s="59">
        <f>IF(ISBLANK(J21),,IF(ISBLANK(L21),"Ongoing","Completed"))</f>
        <v/>
      </c>
      <c r="P21" s="68">
        <f>IF(ISBLANK(A21),,IF(AND(COUNTA(F21)=1,S21&gt;0),"Profit",IF(AND(COUNTA(G21)=1,S21&lt;0),"Profit","Loss")))</f>
        <v/>
      </c>
      <c r="Q21" s="26">
        <f>IF(ISBLANK(T21),,IF(P21="Profit",IF(S21&lt;0,T21*-S21,T21*S21),IF(S21&gt;0,T21*-S21,T21*S21)))</f>
        <v/>
      </c>
      <c r="R21" s="59">
        <f>IF($Q21&gt;0, TRUE, FALSE)</f>
        <v/>
      </c>
      <c r="S21" s="59">
        <f>IF(ISBLANK(J21),,IF(ISBLANK(L21),N21-K21,M21-K21))</f>
        <v/>
      </c>
      <c r="T21" s="61">
        <f>IF(ISBLANK(J21),,ROUNDDOWN(T$1/K21,0))</f>
        <v/>
      </c>
      <c r="U21" s="62" t="n"/>
      <c r="V21" s="57" t="n"/>
      <c r="W21" s="57" t="n"/>
      <c r="X21" s="57" t="n"/>
      <c r="Y21" s="57" t="n"/>
      <c r="Z21" s="57" t="n"/>
      <c r="AA21" s="63" t="n"/>
    </row>
    <row r="22" hidden="1" ht="13.5" customHeight="1" s="56">
      <c r="A22" s="18" t="inlineStr">
        <is>
          <t>IFF</t>
        </is>
      </c>
      <c r="B22" s="19" t="n">
        <v>11</v>
      </c>
      <c r="C22" s="20" t="n">
        <v>58.04</v>
      </c>
      <c r="D22" s="20" t="n">
        <v>45.455</v>
      </c>
      <c r="E22" s="20" t="n">
        <v>1.426</v>
      </c>
      <c r="F22" s="66" t="n"/>
      <c r="G22" s="67" t="n">
        <v>45138</v>
      </c>
      <c r="H22" s="66" t="n"/>
      <c r="I22" s="67" t="n">
        <v>45160</v>
      </c>
      <c r="J22" s="23">
        <f>IF(ISBLANK(F22:G22),,IF(COUNTA(F22)=0,G22,F22))</f>
        <v/>
      </c>
      <c r="K22" s="6">
        <f>IFERROR(__xludf.DUMMYFUNCTION("if(isblank(J22),,index(googlefinance(A22,K$2,J22-1),2,2))"),84.61)</f>
        <v/>
      </c>
      <c r="L22" s="24">
        <f>IF(ISBLANK(H22:I22),,IF(COUNTA(H22)=0,I22,H22))</f>
        <v/>
      </c>
      <c r="M22" s="7">
        <f>IFERROR(__xludf.DUMMYFUNCTION("if(isblank(L22),, index(googlefinance(A22,M$2,L22-1),2,2))"),64.57)</f>
        <v/>
      </c>
      <c r="N22" s="8">
        <f>IFERROR(__xludf.DUMMYFUNCTION("if(isblank(A22),,googlefinance(A22))"),82.85)</f>
        <v/>
      </c>
      <c r="O22" s="59">
        <f>IF(ISBLANK(J22),,IF(ISBLANK(L22),"Ongoing","Completed"))</f>
        <v/>
      </c>
      <c r="P22" s="68">
        <f>IF(ISBLANK(A22),,IF(AND(COUNTA(F22)=1,S22&gt;0),"Profit",IF(AND(COUNTA(G22)=1,S22&lt;0),"Profit","Loss")))</f>
        <v/>
      </c>
      <c r="Q22" s="26">
        <f>IF(ISBLANK(T22),,IF(P22="Profit",IF(S22&lt;0,T22*-S22,T22*S22),IF(S22&gt;0,T22*-S22,T22*S22)))</f>
        <v/>
      </c>
      <c r="R22" s="59">
        <f>IF($Q22&gt;0, TRUE, FALSE)</f>
        <v/>
      </c>
      <c r="S22" s="59">
        <f>IF(ISBLANK(J22),,IF(ISBLANK(L22),N22-K22,M22-K22))</f>
        <v/>
      </c>
      <c r="T22" s="61">
        <f>IF(ISBLANK(J22),,ROUNDDOWN(T$1/K22,0))</f>
        <v/>
      </c>
      <c r="U22" s="62" t="n"/>
      <c r="V22" s="57" t="n"/>
      <c r="W22" s="57" t="n"/>
      <c r="X22" s="57" t="n"/>
      <c r="Y22" s="57" t="n"/>
      <c r="Z22" s="57" t="n"/>
      <c r="AA22" s="63" t="n"/>
    </row>
    <row r="23" hidden="1" ht="13.5" customHeight="1" s="56">
      <c r="A23" s="18" t="inlineStr">
        <is>
          <t>JKHY</t>
        </is>
      </c>
      <c r="B23" s="19" t="n">
        <v>7</v>
      </c>
      <c r="C23" s="20" t="n">
        <v>32.79</v>
      </c>
      <c r="D23" s="20" t="n">
        <v>28.571</v>
      </c>
      <c r="E23" s="20" t="n">
        <v>1.339</v>
      </c>
      <c r="F23" s="66" t="n"/>
      <c r="G23" s="67" t="n">
        <v>45138</v>
      </c>
      <c r="H23" s="66" t="n"/>
      <c r="I23" s="67" t="n">
        <v>45139</v>
      </c>
      <c r="J23" s="23">
        <f>IF(ISBLANK(F23:G23),,IF(COUNTA(F23)=0,G23,F23))</f>
        <v/>
      </c>
      <c r="K23" s="6">
        <f>IFERROR(__xludf.DUMMYFUNCTION("if(isblank(J23),,index(googlefinance(A23,K$2,J23-1),2,2))"),167.57)</f>
        <v/>
      </c>
      <c r="L23" s="24">
        <f>IF(ISBLANK(H23:I23),,IF(COUNTA(H23)=0,I23,H23))</f>
        <v/>
      </c>
      <c r="M23" s="7">
        <f>IFERROR(__xludf.DUMMYFUNCTION("if(isblank(L23),, index(googlefinance(A23,M$2,L23-1),2,2))"),167.57)</f>
        <v/>
      </c>
      <c r="N23" s="8">
        <f>IFERROR(__xludf.DUMMYFUNCTION("if(isblank(A23),,googlefinance(A23))"),170.95)</f>
        <v/>
      </c>
      <c r="O23" s="59">
        <f>IF(ISBLANK(J23),,IF(ISBLANK(L23),"Ongoing","Completed"))</f>
        <v/>
      </c>
      <c r="P23" s="70">
        <f>IF(ISBLANK(A23),,IF(AND(COUNTA(F23)=1,S23&gt;0),"Profit",IF(AND(COUNTA(G23)=1,S23&lt;0),"Profit","Loss")))</f>
        <v/>
      </c>
      <c r="Q23" s="60">
        <f>IF(ISBLANK(T23),,IF(P23="Profit",IF(S23&lt;0,T23*-S23,T23*S23),IF(S23&gt;0,T23*-S23,T23*S23)))</f>
        <v/>
      </c>
      <c r="R23" s="59">
        <f>IF($Q23&gt;0, TRUE, FALSE)</f>
        <v/>
      </c>
      <c r="S23" s="59">
        <f>IF(ISBLANK(J23),,IF(ISBLANK(L23),N23-K23,M23-K23))</f>
        <v/>
      </c>
      <c r="T23" s="61">
        <f>IF(ISBLANK(J23),,ROUNDDOWN(T$1/K23,0))</f>
        <v/>
      </c>
      <c r="U23" s="62" t="n"/>
      <c r="V23" s="57" t="n"/>
      <c r="W23" s="57" t="n"/>
      <c r="X23" s="57" t="n"/>
      <c r="Y23" s="57" t="n"/>
      <c r="Z23" s="57" t="n"/>
      <c r="AA23" s="63" t="n"/>
    </row>
    <row r="24" hidden="1" ht="13.5" customHeight="1" s="56">
      <c r="A24" s="18" t="inlineStr">
        <is>
          <t>JNJ</t>
        </is>
      </c>
      <c r="B24" s="19" t="n">
        <v>8</v>
      </c>
      <c r="C24" s="20" t="n">
        <v>94.09999999999999</v>
      </c>
      <c r="D24" s="20" t="n">
        <v>62.5</v>
      </c>
      <c r="E24" s="20" t="n">
        <v>3.937</v>
      </c>
      <c r="F24" s="66" t="n"/>
      <c r="G24" s="67" t="n">
        <v>45138</v>
      </c>
      <c r="H24" s="66" t="n"/>
      <c r="I24" s="67" t="n">
        <v>45145</v>
      </c>
      <c r="J24" s="23">
        <f>IF(ISBLANK(F24:G24),,IF(COUNTA(F24)=0,G24,F24))</f>
        <v/>
      </c>
      <c r="K24" s="6">
        <f>IFERROR(__xludf.DUMMYFUNCTION("if(isblank(J24),,index(googlefinance(A24,K$2,J24-1),2,2))"),167.53)</f>
        <v/>
      </c>
      <c r="L24" s="24">
        <f>IF(ISBLANK(H24:I24),,IF(COUNTA(H24)=0,I24,H24))</f>
        <v/>
      </c>
      <c r="M24" s="7">
        <f>IFERROR(__xludf.DUMMYFUNCTION("if(isblank(L24),, index(googlefinance(A24,M$2,L24-1),2,2))"),173.1)</f>
        <v/>
      </c>
      <c r="N24" s="8">
        <f>IFERROR(__xludf.DUMMYFUNCTION("if(isblank(A24),,googlefinance(A24))"),158.18)</f>
        <v/>
      </c>
      <c r="O24" s="59">
        <f>IF(ISBLANK(J24),,IF(ISBLANK(L24),"Ongoing","Completed"))</f>
        <v/>
      </c>
      <c r="P24" s="70">
        <f>IF(ISBLANK(A24),,IF(AND(COUNTA(F24)=1,S24&gt;0),"Profit",IF(AND(COUNTA(G24)=1,S24&lt;0),"Profit","Loss")))</f>
        <v/>
      </c>
      <c r="Q24" s="31">
        <f>IF(ISBLANK(T24),,IF(P24="Profit",IF(S24&lt;0,T24*-S24,T24*S24),IF(S24&gt;0,T24*-S24,T24*S24)))</f>
        <v/>
      </c>
      <c r="R24" s="59">
        <f>IF($Q24&gt;0, TRUE, FALSE)</f>
        <v/>
      </c>
      <c r="S24" s="59">
        <f>IF(ISBLANK(J24),,IF(ISBLANK(L24),N24-K24,M24-K24))</f>
        <v/>
      </c>
      <c r="T24" s="61">
        <f>IF(ISBLANK(J24),,ROUNDDOWN(T$1/K24,0))</f>
        <v/>
      </c>
      <c r="U24" s="62" t="n"/>
      <c r="V24" s="57" t="n"/>
      <c r="W24" s="57" t="n"/>
      <c r="X24" s="57" t="n"/>
      <c r="Y24" s="57" t="n"/>
      <c r="Z24" s="57" t="n"/>
      <c r="AA24" s="63" t="n"/>
    </row>
    <row r="25" hidden="1" ht="13.5" customHeight="1" s="56">
      <c r="A25" s="18" t="inlineStr">
        <is>
          <t>PEP</t>
        </is>
      </c>
      <c r="B25" s="19" t="n">
        <v>8</v>
      </c>
      <c r="C25" s="20" t="n">
        <v>95.79000000000001</v>
      </c>
      <c r="D25" s="20" t="n">
        <v>50</v>
      </c>
      <c r="E25" s="20" t="n">
        <v>2.758</v>
      </c>
      <c r="F25" s="66" t="n"/>
      <c r="G25" s="67" t="n">
        <v>45138</v>
      </c>
      <c r="H25" s="66" t="n"/>
      <c r="I25" s="67" t="n">
        <v>45161</v>
      </c>
      <c r="J25" s="23">
        <f>IF(ISBLANK(F25:G25),,IF(COUNTA(F25)=0,G25,F25))</f>
        <v/>
      </c>
      <c r="K25" s="6">
        <f>IFERROR(__xludf.DUMMYFUNCTION("if(isblank(J25),,index(googlefinance(A25,K$2,J25-1),2,2))"),187.46)</f>
        <v/>
      </c>
      <c r="L25" s="24">
        <f>IF(ISBLANK(H25:I25),,IF(COUNTA(H25)=0,I25,H25))</f>
        <v/>
      </c>
      <c r="M25" s="7">
        <f>IFERROR(__xludf.DUMMYFUNCTION("if(isblank(L25),, index(googlefinance(A25,M$2,L25-1),2,2))"),175.7)</f>
        <v/>
      </c>
      <c r="N25" s="8">
        <f>IFERROR(__xludf.DUMMYFUNCTION("if(isblank(A25),,googlefinance(A25))"),164.66)</f>
        <v/>
      </c>
      <c r="O25" s="59">
        <f>IF(ISBLANK(J25),,IF(ISBLANK(L25),"Ongoing","Completed"))</f>
        <v/>
      </c>
      <c r="P25" s="68">
        <f>IF(ISBLANK(A25),,IF(AND(COUNTA(F25)=1,S25&gt;0),"Profit",IF(AND(COUNTA(G25)=1,S25&lt;0),"Profit","Loss")))</f>
        <v/>
      </c>
      <c r="Q25" s="26">
        <f>IF(ISBLANK(T25),,IF(P25="Profit",IF(S25&lt;0,T25*-S25,T25*S25),IF(S25&gt;0,T25*-S25,T25*S25)))</f>
        <v/>
      </c>
      <c r="R25" s="59">
        <f>IF($Q25&gt;0, TRUE, FALSE)</f>
        <v/>
      </c>
      <c r="S25" s="59">
        <f>IF(ISBLANK(J25),,IF(ISBLANK(L25),N25-K25,M25-K25))</f>
        <v/>
      </c>
      <c r="T25" s="61">
        <f>IF(ISBLANK(J25),,ROUNDDOWN(T$1/K25,0))</f>
        <v/>
      </c>
      <c r="U25" s="62" t="n"/>
      <c r="V25" s="57" t="n"/>
      <c r="W25" s="57" t="n"/>
      <c r="X25" s="57" t="n"/>
      <c r="Y25" s="57" t="n"/>
      <c r="Z25" s="57" t="n"/>
      <c r="AA25" s="63" t="n"/>
    </row>
    <row r="26" hidden="1" ht="13.5" customHeight="1" s="56">
      <c r="A26" s="18" t="inlineStr">
        <is>
          <t>WAT</t>
        </is>
      </c>
      <c r="B26" s="19" t="n">
        <v>12</v>
      </c>
      <c r="C26" s="20" t="n">
        <v>411.01</v>
      </c>
      <c r="D26" s="20" t="n">
        <v>50</v>
      </c>
      <c r="E26" s="20" t="n">
        <v>3.885</v>
      </c>
      <c r="F26" s="66" t="n"/>
      <c r="G26" s="67" t="n">
        <v>45138</v>
      </c>
      <c r="H26" s="66" t="n"/>
      <c r="I26" s="67" t="n">
        <v>45140</v>
      </c>
      <c r="J26" s="23">
        <f>IF(ISBLANK(F26:G26),,IF(COUNTA(F26)=0,G26,F26))</f>
        <v/>
      </c>
      <c r="K26" s="6">
        <f>IFERROR(__xludf.DUMMYFUNCTION("if(isblank(J26),,index(googlefinance(A26,K$2,J26-1),2,2))"),276.21)</f>
        <v/>
      </c>
      <c r="L26" s="24">
        <f>IF(ISBLANK(H26:I26),,IF(COUNTA(H26)=0,I26,H26))</f>
        <v/>
      </c>
      <c r="M26" s="7">
        <f>IFERROR(__xludf.DUMMYFUNCTION("if(isblank(L26),, index(googlefinance(A26,M$2,L26-1),2,2))"),274.4)</f>
        <v/>
      </c>
      <c r="N26" s="8">
        <f>IFERROR(__xludf.DUMMYFUNCTION("if(isblank(A26),,googlefinance(A26))"),352.9)</f>
        <v/>
      </c>
      <c r="O26" s="59">
        <f>IF(ISBLANK(J26),,IF(ISBLANK(L26),"Ongoing","Completed"))</f>
        <v/>
      </c>
      <c r="P26" s="68">
        <f>IF(ISBLANK(A26),,IF(AND(COUNTA(F26)=1,S26&gt;0),"Profit",IF(AND(COUNTA(G26)=1,S26&lt;0),"Profit","Loss")))</f>
        <v/>
      </c>
      <c r="Q26" s="26">
        <f>IF(ISBLANK(T26),,IF(P26="Profit",IF(S26&lt;0,T26*-S26,T26*S26),IF(S26&gt;0,T26*-S26,T26*S26)))</f>
        <v/>
      </c>
      <c r="R26" s="59">
        <f>IF($Q26&gt;0, TRUE, FALSE)</f>
        <v/>
      </c>
      <c r="S26" s="59">
        <f>IF(ISBLANK(J26),,IF(ISBLANK(L26),N26-K26,M26-K26))</f>
        <v/>
      </c>
      <c r="T26" s="61">
        <f>IF(ISBLANK(J26),,ROUNDDOWN(T$1/K26,0))</f>
        <v/>
      </c>
      <c r="U26" s="62" t="n"/>
      <c r="V26" s="57" t="n"/>
      <c r="W26" s="57" t="n"/>
      <c r="X26" s="57" t="n"/>
      <c r="Y26" s="57" t="n"/>
      <c r="Z26" s="57" t="n"/>
      <c r="AA26" s="63" t="n"/>
    </row>
    <row r="27" hidden="1" ht="13.5" customHeight="1" s="56">
      <c r="A27" s="57" t="inlineStr">
        <is>
          <t>DIS</t>
        </is>
      </c>
      <c r="B27" s="69" t="n">
        <v>10</v>
      </c>
      <c r="C27" s="61" t="n">
        <v>120.55</v>
      </c>
      <c r="D27" s="61" t="n">
        <v>30</v>
      </c>
      <c r="E27" s="61" t="n">
        <v>1.66</v>
      </c>
      <c r="F27" s="67" t="n">
        <v>45139</v>
      </c>
      <c r="G27" s="66" t="n"/>
      <c r="H27" s="67" t="n">
        <v>45140</v>
      </c>
      <c r="I27" s="66" t="n"/>
      <c r="J27" s="28">
        <f>IF(ISBLANK(F27:G27),,IF(COUNTA(F27)=0,G27,F27))</f>
        <v/>
      </c>
      <c r="K27" s="6">
        <f>IFERROR(__xludf.DUMMYFUNCTION("if(isblank(J27),,index(googlefinance(A27,K$2,J27-1),2,2))"),88.89)</f>
        <v/>
      </c>
      <c r="L27" s="29">
        <f>IF(ISBLANK(H27:I27),,IF(COUNTA(H27)=0,I27,H27))</f>
        <v/>
      </c>
      <c r="M27" s="7">
        <f>IFERROR(__xludf.DUMMYFUNCTION("if(isblank(L27),, index(googlefinance(A27,M$2,L27-1),2,2))"),89.03)</f>
        <v/>
      </c>
      <c r="N27" s="8">
        <f>IFERROR(__xludf.DUMMYFUNCTION("if(isblank(A27),,googlefinance(A27))"),111.95)</f>
        <v/>
      </c>
      <c r="O27" s="59">
        <f>IF(ISBLANK(J27),,IF(ISBLANK(L27),"Ongoing","Completed"))</f>
        <v/>
      </c>
      <c r="P27" s="68">
        <f>IF(ISBLANK(A27),,IF(AND(COUNTA(F27)=1,S27&gt;0),"Profit",IF(AND(COUNTA(G27)=1,S27&lt;0),"Profit","Loss")))</f>
        <v/>
      </c>
      <c r="Q27" s="26">
        <f>IF(ISBLANK(T27),,IF(P27="Profit",IF(S27&lt;0,T27*-S27,T27*S27),IF(S27&gt;0,T27*-S27,T27*S27)))</f>
        <v/>
      </c>
      <c r="R27" s="59">
        <f>IF($Q27&gt;0, TRUE, FALSE)</f>
        <v/>
      </c>
      <c r="S27" s="59">
        <f>IF(ISBLANK(J27),,IF(ISBLANK(L27),N27-K27,M27-K27))</f>
        <v/>
      </c>
      <c r="T27" s="61">
        <f>IF(ISBLANK(J27),,ROUNDDOWN(T$1/K27,0))</f>
        <v/>
      </c>
      <c r="U27" s="62" t="n"/>
      <c r="V27" s="57" t="n"/>
      <c r="W27" s="57" t="n"/>
      <c r="X27" s="57" t="n"/>
      <c r="Y27" s="57" t="n"/>
      <c r="Z27" s="57" t="n"/>
      <c r="AA27" s="63" t="n"/>
    </row>
    <row r="28" hidden="1" ht="13.5" customHeight="1" s="56">
      <c r="A28" s="57" t="inlineStr">
        <is>
          <t>AMGN</t>
        </is>
      </c>
      <c r="B28" s="69" t="n">
        <v>6</v>
      </c>
      <c r="C28" s="61" t="n">
        <v>163.28</v>
      </c>
      <c r="D28" s="61" t="n">
        <v>66.667</v>
      </c>
      <c r="E28" s="61" t="n">
        <v>3.738</v>
      </c>
      <c r="F28" s="66" t="n"/>
      <c r="G28" s="67" t="n">
        <v>45140</v>
      </c>
      <c r="H28" s="66" t="n"/>
      <c r="I28" s="67" t="n">
        <v>45142</v>
      </c>
      <c r="J28" s="23">
        <f>IF(ISBLANK(F28:G28),,IF(COUNTA(F28)=0,G28,F28))</f>
        <v/>
      </c>
      <c r="K28" s="6">
        <f>IFERROR(__xludf.DUMMYFUNCTION("if(isblank(J28),,index(googlefinance(A28,K$2,J28-1),2,2))"),232.12)</f>
        <v/>
      </c>
      <c r="L28" s="24">
        <f>IF(ISBLANK(H28:I28),,IF(COUNTA(H28)=0,I28,H28))</f>
        <v/>
      </c>
      <c r="M28" s="7">
        <f>IFERROR(__xludf.DUMMYFUNCTION("if(isblank(L28),, index(googlefinance(A28,M$2,L28-1),2,2))"),230.7)</f>
        <v/>
      </c>
      <c r="N28" s="8">
        <f>IFERROR(__xludf.DUMMYFUNCTION("if(isblank(A28),"""",googlefinance(A28))"),268.87)</f>
        <v/>
      </c>
      <c r="O28" s="59">
        <f>IF(ISBLANK(J28),"",IF(ISBLANK(L28),"Ongoing","Completed"))</f>
        <v/>
      </c>
      <c r="P28" s="68">
        <f>IF(ISBLANK(A28),,IF(AND(COUNTA(F28)=1,S28&gt;0),"Profit",IF(AND(COUNTA(G28)=1,S28&lt;0),"Profit","Loss")))</f>
        <v/>
      </c>
      <c r="Q28" s="26">
        <f>IF(ISBLANK(T28),,IF(P28="Profit",IF(S28&lt;0,T28*-S28,T28*S28),IF(S28&gt;0,T28*-S28,T28*S28)))</f>
        <v/>
      </c>
      <c r="R28" s="59">
        <f>IF($Q28&gt;0, TRUE, FALSE)</f>
        <v/>
      </c>
      <c r="S28" s="59">
        <f>IF(ISBLANK(J28),"",IF(ISBLANK(L28),N28-K28,M28-K28))</f>
        <v/>
      </c>
      <c r="T28" s="61">
        <f>IF(ISBLANK(J28),,ROUNDDOWN(T$1/K28,0))</f>
        <v/>
      </c>
      <c r="U28" s="62" t="n"/>
      <c r="V28" s="57" t="n"/>
      <c r="W28" s="57" t="n"/>
      <c r="X28" s="57" t="n"/>
      <c r="Y28" s="57" t="n"/>
      <c r="Z28" s="57" t="n"/>
      <c r="AA28" s="63" t="n"/>
    </row>
    <row r="29" hidden="1" ht="13.5" customHeight="1" s="56">
      <c r="A29" s="57" t="inlineStr">
        <is>
          <t>BDX</t>
        </is>
      </c>
      <c r="B29" s="69" t="n">
        <v>11</v>
      </c>
      <c r="C29" s="61" t="n">
        <v>240.087</v>
      </c>
      <c r="D29" s="61" t="n">
        <v>45.455</v>
      </c>
      <c r="E29" s="61" t="n">
        <v>3.45</v>
      </c>
      <c r="F29" s="66" t="n"/>
      <c r="G29" s="67" t="n">
        <v>45140</v>
      </c>
      <c r="H29" s="66" t="n"/>
      <c r="I29" s="67" t="n">
        <v>45146</v>
      </c>
      <c r="J29" s="23">
        <f>IF(ISBLANK(F29:G29),,IF(COUNTA(F29)=0,G29,F29))</f>
        <v/>
      </c>
      <c r="K29" s="6">
        <f>IFERROR(__xludf.DUMMYFUNCTION("if(isblank(J29),,index(googlefinance(A29,K$2,J29-1),2,2))"),278.54)</f>
        <v/>
      </c>
      <c r="L29" s="24">
        <f>IF(ISBLANK(H29:I29),,IF(COUNTA(H29)=0,I29,H29))</f>
        <v/>
      </c>
      <c r="M29" s="7">
        <f>IFERROR(__xludf.DUMMYFUNCTION("if(isblank(L29),, index(googlefinance(A29,M$2,L29-1),2,2))"),275.22)</f>
        <v/>
      </c>
      <c r="N29" s="8">
        <f>IFERROR(__xludf.DUMMYFUNCTION("if(isblank(A29),"""",googlefinance(A29))"),236.71)</f>
        <v/>
      </c>
      <c r="O29" s="59">
        <f>IF(ISBLANK(J29),"",IF(ISBLANK(L29),"Ongoing","Completed"))</f>
        <v/>
      </c>
      <c r="P29" s="68">
        <f>IF(ISBLANK(A29),,IF(AND(COUNTA(F29)=1,S29&gt;0),"Profit",IF(AND(COUNTA(G29)=1,S29&lt;0),"Profit","Loss")))</f>
        <v/>
      </c>
      <c r="Q29" s="26">
        <f>IF(ISBLANK(T29),,IF(P29="Profit",IF(S29&lt;0,T29*-S29,T29*S29),IF(S29&gt;0,T29*-S29,T29*S29)))</f>
        <v/>
      </c>
      <c r="R29" s="59">
        <f>IF($Q29&gt;0, TRUE, FALSE)</f>
        <v/>
      </c>
      <c r="S29" s="59">
        <f>IF(ISBLANK(J29),"",IF(ISBLANK(L29),N29-K29,M29-K29))</f>
        <v/>
      </c>
      <c r="T29" s="61">
        <f>IF(ISBLANK(J29),,ROUNDDOWN(T$1/K29,0))</f>
        <v/>
      </c>
      <c r="U29" s="62" t="n"/>
      <c r="V29" s="57" t="n"/>
      <c r="W29" s="57" t="n"/>
      <c r="X29" s="57" t="n"/>
      <c r="Y29" s="57" t="n"/>
      <c r="Z29" s="57" t="n"/>
      <c r="AA29" s="63" t="n"/>
    </row>
    <row r="30" hidden="1" ht="13.5" customHeight="1" s="56">
      <c r="A30" s="57" t="inlineStr">
        <is>
          <t>CFG</t>
        </is>
      </c>
      <c r="B30" s="69" t="n">
        <v>8</v>
      </c>
      <c r="C30" s="61" t="n">
        <v>200.98</v>
      </c>
      <c r="D30" s="61" t="n">
        <v>62.5</v>
      </c>
      <c r="E30" s="61" t="n">
        <v>3.462</v>
      </c>
      <c r="F30" s="66" t="n"/>
      <c r="G30" s="67" t="n">
        <v>45140</v>
      </c>
      <c r="H30" s="66" t="n"/>
      <c r="I30" s="67" t="n">
        <v>45167</v>
      </c>
      <c r="J30" s="23">
        <f>IF(ISBLANK(F30:G30),,IF(COUNTA(F30)=0,G30,F30))</f>
        <v/>
      </c>
      <c r="K30" s="6">
        <f>IFERROR(__xludf.DUMMYFUNCTION("if(isblank(J30),,index(googlefinance(A30,K$2,J30-1),2,2))"),31.1)</f>
        <v/>
      </c>
      <c r="L30" s="24">
        <f>IF(ISBLANK(H30:I30),,IF(COUNTA(H30)=0,I30,H30))</f>
        <v/>
      </c>
      <c r="M30" s="7">
        <f>IFERROR(__xludf.DUMMYFUNCTION("if(isblank(L30),, index(googlefinance(A30,M$2,L30-1),2,2))"),27.37)</f>
        <v/>
      </c>
      <c r="N30" s="8">
        <f>IFERROR(__xludf.DUMMYFUNCTION("if(isblank(A30),"""",googlefinance(A30))"),33.49)</f>
        <v/>
      </c>
      <c r="O30" s="59">
        <f>IF(ISBLANK(J30),"",IF(ISBLANK(L30),"Ongoing","Completed"))</f>
        <v/>
      </c>
      <c r="P30" s="68">
        <f>IF(ISBLANK(A30),,IF(AND(COUNTA(F30)=1,S30&gt;0),"Profit",IF(AND(COUNTA(G30)=1,S30&lt;0),"Profit","Loss")))</f>
        <v/>
      </c>
      <c r="Q30" s="26">
        <f>IF(ISBLANK(T30),,IF(P30="Profit",IF(S30&lt;0,T30*-S30,T30*S30),IF(S30&gt;0,T30*-S30,T30*S30)))</f>
        <v/>
      </c>
      <c r="R30" s="59">
        <f>IF($Q30&gt;0, TRUE, FALSE)</f>
        <v/>
      </c>
      <c r="S30" s="59">
        <f>IF(ISBLANK(J30),"",IF(ISBLANK(L30),N30-K30,M30-K30))</f>
        <v/>
      </c>
      <c r="T30" s="61">
        <f>IF(ISBLANK(J30),,ROUNDDOWN(T$1/K30,0))</f>
        <v/>
      </c>
      <c r="U30" s="62" t="n"/>
      <c r="V30" s="57" t="n"/>
      <c r="W30" s="57" t="n"/>
      <c r="X30" s="57" t="n"/>
      <c r="Y30" s="57" t="n"/>
      <c r="Z30" s="57" t="n"/>
      <c r="AA30" s="63" t="n"/>
    </row>
    <row r="31" hidden="1" ht="13.5" customHeight="1" s="56">
      <c r="A31" s="57" t="inlineStr">
        <is>
          <t>DVN</t>
        </is>
      </c>
      <c r="B31" s="69" t="n">
        <v>7</v>
      </c>
      <c r="C31" s="61" t="n">
        <v>257.38</v>
      </c>
      <c r="D31" s="61" t="n">
        <v>28.571</v>
      </c>
      <c r="E31" s="61" t="n">
        <v>3.065</v>
      </c>
      <c r="F31" s="66" t="n"/>
      <c r="G31" s="67" t="n">
        <v>45140</v>
      </c>
      <c r="H31" s="66" t="n"/>
      <c r="I31" s="67" t="n">
        <v>45156</v>
      </c>
      <c r="J31" s="23">
        <f>IF(ISBLANK(F31:G31),,IF(COUNTA(F31)=0,G31,F31))</f>
        <v/>
      </c>
      <c r="K31" s="6">
        <f>IFERROR(__xludf.DUMMYFUNCTION("if(isblank(J31),,index(googlefinance(A31,K$2,J31-1),2,2))"),53.68)</f>
        <v/>
      </c>
      <c r="L31" s="24">
        <f>IF(ISBLANK(H31:I31),,IF(COUNTA(H31)=0,I31,H31))</f>
        <v/>
      </c>
      <c r="M31" s="7">
        <f>IFERROR(__xludf.DUMMYFUNCTION("if(isblank(L31),, index(googlefinance(A31,M$2,L31-1),2,2))"),49.06)</f>
        <v/>
      </c>
      <c r="N31" s="8">
        <f>IFERROR(__xludf.DUMMYFUNCTION("if(isblank(A31),"""",googlefinance(A31))"),47.62)</f>
        <v/>
      </c>
      <c r="O31" s="59">
        <f>IF(ISBLANK(J31),"",IF(ISBLANK(L31),"Ongoing","Completed"))</f>
        <v/>
      </c>
      <c r="P31" s="68">
        <f>IF(ISBLANK(A31),,IF(AND(COUNTA(F31)=1,S31&gt;0),"Profit",IF(AND(COUNTA(G31)=1,S31&lt;0),"Profit","Loss")))</f>
        <v/>
      </c>
      <c r="Q31" s="26">
        <f>IF(ISBLANK(T31),,IF(P31="Profit",IF(S31&lt;0,T31*-S31,T31*S31),IF(S31&gt;0,T31*-S31,T31*S31)))</f>
        <v/>
      </c>
      <c r="R31" s="59">
        <f>IF($Q31&gt;0, TRUE, FALSE)</f>
        <v/>
      </c>
      <c r="S31" s="59">
        <f>IF(ISBLANK(J31),"",IF(ISBLANK(L31),N31-K31,M31-K31))</f>
        <v/>
      </c>
      <c r="T31" s="61">
        <f>IF(ISBLANK(J31),,ROUNDDOWN(T$1/K31,0))</f>
        <v/>
      </c>
      <c r="U31" s="62" t="n"/>
      <c r="V31" s="57" t="n"/>
      <c r="W31" s="57" t="n"/>
      <c r="X31" s="57" t="n"/>
      <c r="Y31" s="57" t="n"/>
      <c r="Z31" s="57" t="n"/>
      <c r="AA31" s="63" t="n"/>
    </row>
    <row r="32" hidden="1" ht="13.5" customHeight="1" s="56">
      <c r="A32" s="57" t="inlineStr">
        <is>
          <t>PAYC</t>
        </is>
      </c>
      <c r="B32" s="69" t="n">
        <v>12</v>
      </c>
      <c r="C32" s="61" t="n">
        <v>131.94</v>
      </c>
      <c r="D32" s="61" t="n">
        <v>33.333</v>
      </c>
      <c r="E32" s="61" t="n">
        <v>1.553</v>
      </c>
      <c r="F32" s="66" t="n"/>
      <c r="G32" s="67" t="n">
        <v>45140</v>
      </c>
      <c r="H32" s="66" t="n"/>
      <c r="I32" s="67" t="n">
        <v>45160</v>
      </c>
      <c r="J32" s="23">
        <f>IF(ISBLANK(F32:G32),,IF(COUNTA(F32)=0,G32,F32))</f>
        <v/>
      </c>
      <c r="K32" s="6">
        <f>IFERROR(__xludf.DUMMYFUNCTION("if(isblank(J32),,index(googlefinance(A32,K$2,J32-1),2,2))"),370.78)</f>
        <v/>
      </c>
      <c r="L32" s="24">
        <f>IF(ISBLANK(H32:I32),,IF(COUNTA(H32)=0,I32,H32))</f>
        <v/>
      </c>
      <c r="M32" s="7">
        <f>IFERROR(__xludf.DUMMYFUNCTION("if(isblank(L32),, index(googlefinance(A32,M$2,L32-1),2,2))"),283.65)</f>
        <v/>
      </c>
      <c r="N32" s="8">
        <f>IFERROR(__xludf.DUMMYFUNCTION("if(isblank(A32),"""",googlefinance(A32))"),189.7)</f>
        <v/>
      </c>
      <c r="O32" s="59">
        <f>IF(ISBLANK(J32),"",IF(ISBLANK(L32),"Ongoing","Completed"))</f>
        <v/>
      </c>
      <c r="P32" s="68">
        <f>IF(ISBLANK(A32),,IF(AND(COUNTA(F32)=1,S32&gt;0),"Profit",IF(AND(COUNTA(G32)=1,S32&lt;0),"Profit","Loss")))</f>
        <v/>
      </c>
      <c r="Q32" s="26">
        <f>IF(ISBLANK(T32),,IF(P32="Profit",IF(S32&lt;0,T32*-S32,T32*S32),IF(S32&gt;0,T32*-S32,T32*S32)))</f>
        <v/>
      </c>
      <c r="R32" s="59">
        <f>IF($Q32&gt;0, TRUE, FALSE)</f>
        <v/>
      </c>
      <c r="S32" s="59">
        <f>IF(ISBLANK(J32),"",IF(ISBLANK(L32),N32-K32,M32-K32))</f>
        <v/>
      </c>
      <c r="T32" s="61">
        <f>IF(ISBLANK(J32),,ROUNDDOWN(T$1/K32,0))</f>
        <v/>
      </c>
      <c r="U32" s="62" t="n"/>
      <c r="V32" s="57" t="n"/>
      <c r="W32" s="57" t="n"/>
      <c r="X32" s="57" t="n"/>
      <c r="Y32" s="57" t="n"/>
      <c r="Z32" s="57" t="n"/>
      <c r="AA32" s="63" t="n"/>
    </row>
    <row r="33" hidden="1" ht="13.5" customHeight="1" s="56">
      <c r="A33" s="18" t="inlineStr">
        <is>
          <t>APD</t>
        </is>
      </c>
      <c r="B33" s="19" t="n">
        <v>11</v>
      </c>
      <c r="C33" s="20" t="n">
        <v>135.88</v>
      </c>
      <c r="D33" s="20" t="n">
        <v>45.455</v>
      </c>
      <c r="E33" s="20" t="n">
        <v>2.27</v>
      </c>
      <c r="F33" s="66" t="n"/>
      <c r="G33" s="67" t="n">
        <v>45141</v>
      </c>
      <c r="H33" s="66" t="n"/>
      <c r="I33" s="67" t="n">
        <v>45152</v>
      </c>
      <c r="J33" s="23">
        <f>IF(ISBLANK(F33:G33),,IF(COUNTA(F33)=0,G33,F33))</f>
        <v/>
      </c>
      <c r="K33" s="6">
        <f>IFERROR(__xludf.DUMMYFUNCTION("if(isblank(J33),,index(googlefinance(A33,K$2,J33-1),2,2))"),299.32)</f>
        <v/>
      </c>
      <c r="L33" s="24">
        <f>IF(ISBLANK(H33:I33),,IF(COUNTA(H33)=0,I33,H33))</f>
        <v/>
      </c>
      <c r="M33" s="7">
        <f>IFERROR(__xludf.DUMMYFUNCTION("if(isblank(L33),, index(googlefinance(A33,M$2,L33-1),2,2))"),290.73)</f>
        <v/>
      </c>
      <c r="N33" s="8">
        <f>IFERROR(__xludf.DUMMYFUNCTION("if(isblank(A33),"""",googlefinance(A33))"),244.63)</f>
        <v/>
      </c>
      <c r="O33" s="59">
        <f>IF(ISBLANK(J33),"",IF(ISBLANK(L33),"Ongoing","Completed"))</f>
        <v/>
      </c>
      <c r="P33" s="68">
        <f>IF(ISBLANK(A33),,IF(AND(COUNTA(F33)=1,S33&gt;0),"Profit",IF(AND(COUNTA(G33)=1,S33&lt;0),"Profit","Loss")))</f>
        <v/>
      </c>
      <c r="Q33" s="26">
        <f>IF(ISBLANK(T33),,IF(P33="Profit",IF(S33&lt;0,T33*-S33,T33*S33),IF(S33&gt;0,T33*-S33,T33*S33)))</f>
        <v/>
      </c>
      <c r="R33" s="59">
        <f>IF($Q33&gt;0, TRUE, FALSE)</f>
        <v/>
      </c>
      <c r="S33" s="59">
        <f>IF(ISBLANK(J33),"",IF(ISBLANK(L33),N33-K33,M33-K33))</f>
        <v/>
      </c>
      <c r="T33" s="61">
        <f>IF(ISBLANK(J33),,ROUNDDOWN(T$1/K33,0))</f>
        <v/>
      </c>
      <c r="U33" s="62" t="n"/>
      <c r="V33" s="57" t="n"/>
      <c r="W33" s="57" t="n"/>
      <c r="X33" s="57" t="n"/>
      <c r="Y33" s="57" t="n"/>
      <c r="Z33" s="57" t="n"/>
      <c r="AA33" s="63" t="n"/>
    </row>
    <row r="34" hidden="1" ht="13.5" customHeight="1" s="56">
      <c r="A34" s="18" t="inlineStr">
        <is>
          <t>BAC</t>
        </is>
      </c>
      <c r="B34" s="19" t="n">
        <v>12</v>
      </c>
      <c r="C34" s="20" t="n">
        <v>246.07</v>
      </c>
      <c r="D34" s="20" t="n">
        <v>50</v>
      </c>
      <c r="E34" s="20" t="n">
        <v>2.485</v>
      </c>
      <c r="F34" s="66" t="n"/>
      <c r="G34" s="67" t="n">
        <v>45141</v>
      </c>
      <c r="H34" s="66" t="n"/>
      <c r="I34" s="67" t="n">
        <v>45145</v>
      </c>
      <c r="J34" s="23">
        <f>IF(ISBLANK(F34:G34),,IF(COUNTA(F34)=0,G34,F34))</f>
        <v/>
      </c>
      <c r="K34" s="6">
        <f>IFERROR(__xludf.DUMMYFUNCTION("if(isblank(J34),,index(googlefinance(A34,K$2,J34-1),2,2))"),31.19)</f>
        <v/>
      </c>
      <c r="L34" s="24">
        <f>IF(ISBLANK(H34:I34),,IF(COUNTA(H34)=0,I34,H34))</f>
        <v/>
      </c>
      <c r="M34" s="7">
        <f>IFERROR(__xludf.DUMMYFUNCTION("if(isblank(L34),, index(googlefinance(A34,M$2,L34-1),2,2))"),31.88)</f>
        <v/>
      </c>
      <c r="N34" s="8">
        <f>IFERROR(__xludf.DUMMYFUNCTION("if(isblank(A34),"""",googlefinance(A34))"),35.41)</f>
        <v/>
      </c>
      <c r="O34" s="59">
        <f>IF(ISBLANK(J34),"",IF(ISBLANK(L34),"Ongoing","Completed"))</f>
        <v/>
      </c>
      <c r="P34" s="70">
        <f>IF(ISBLANK(A34),,IF(AND(COUNTA(F34)=1,S34&gt;0),"Profit",IF(AND(COUNTA(G34)=1,S34&lt;0),"Profit","Loss")))</f>
        <v/>
      </c>
      <c r="Q34" s="31">
        <f>IF(ISBLANK(T34),,IF(P34="Profit",IF(S34&lt;0,T34*-S34,T34*S34),IF(S34&gt;0,T34*-S34,T34*S34)))</f>
        <v/>
      </c>
      <c r="R34" s="59">
        <f>IF($Q34&gt;0, TRUE, FALSE)</f>
        <v/>
      </c>
      <c r="S34" s="59">
        <f>IF(ISBLANK(J34),"",IF(ISBLANK(L34),N34-K34,M34-K34))</f>
        <v/>
      </c>
      <c r="T34" s="61">
        <f>IF(ISBLANK(J34),,ROUNDDOWN(T$1/K34,0))</f>
        <v/>
      </c>
      <c r="U34" s="62" t="n"/>
      <c r="V34" s="57" t="n"/>
      <c r="W34" s="57" t="n"/>
      <c r="X34" s="57" t="n"/>
      <c r="Y34" s="57" t="n"/>
      <c r="Z34" s="57" t="n"/>
      <c r="AA34" s="63" t="n"/>
    </row>
    <row r="35" hidden="1" ht="13.5" customHeight="1" s="56">
      <c r="A35" s="18" t="inlineStr">
        <is>
          <t>BKNG</t>
        </is>
      </c>
      <c r="B35" s="19" t="n">
        <v>15</v>
      </c>
      <c r="C35" s="20" t="n">
        <v>8.220000000000001</v>
      </c>
      <c r="D35" s="20" t="n">
        <v>13.333</v>
      </c>
      <c r="E35" s="20" t="n">
        <v>1.07</v>
      </c>
      <c r="F35" s="66" t="n"/>
      <c r="G35" s="67" t="n">
        <v>45141</v>
      </c>
      <c r="H35" s="66" t="n"/>
      <c r="I35" s="67" t="n">
        <v>45142</v>
      </c>
      <c r="J35" s="23">
        <f>IF(ISBLANK(F35:G35),,IF(COUNTA(F35)=0,G35,F35))</f>
        <v/>
      </c>
      <c r="K35" s="6">
        <f>IFERROR(__xludf.DUMMYFUNCTION("if(isblank(J35),,index(googlefinance(A35,K$2,J35-1),2,2))"),2884.92)</f>
        <v/>
      </c>
      <c r="L35" s="24">
        <f>IF(ISBLANK(H35:I35),,IF(COUNTA(H35)=0,I35,H35))</f>
        <v/>
      </c>
      <c r="M35" s="7">
        <f>IFERROR(__xludf.DUMMYFUNCTION("if(isblank(L35),, index(googlefinance(A35,M$2,L35-1),2,2))"),2839.91)</f>
        <v/>
      </c>
      <c r="N35" s="8">
        <f>IFERROR(__xludf.DUMMYFUNCTION("if(isblank(A35),"""",googlefinance(A35))"),3413.98)</f>
        <v/>
      </c>
      <c r="O35" s="59">
        <f>IF(ISBLANK(J35),"",IF(ISBLANK(L35),"Ongoing","Completed"))</f>
        <v/>
      </c>
      <c r="P35" s="68">
        <f>IF(ISBLANK(A35),,IF(AND(COUNTA(F35)=1,S35&gt;0),"Profit",IF(AND(COUNTA(G35)=1,S35&lt;0),"Profit","Loss")))</f>
        <v/>
      </c>
      <c r="Q35" s="60">
        <f>IF(ISBLANK(T35),,IF(P35="Profit",IF(S35&lt;0,T35*-S35,T35*S35),IF(S35&gt;0,T35*-S35,T35*S35)))</f>
        <v/>
      </c>
      <c r="R35" s="59">
        <f>IF($Q35&gt;0, TRUE, FALSE)</f>
        <v/>
      </c>
      <c r="S35" s="59">
        <f>IF(ISBLANK(J35),"",IF(ISBLANK(L35),N35-K35,M35-K35))</f>
        <v/>
      </c>
      <c r="T35" s="61">
        <f>IF(ISBLANK(J35),,ROUNDDOWN(T$1/K35,0))</f>
        <v/>
      </c>
      <c r="U35" s="62" t="n"/>
      <c r="V35" s="57" t="n"/>
      <c r="W35" s="57" t="n"/>
      <c r="X35" s="57" t="n"/>
      <c r="Y35" s="57" t="n"/>
      <c r="Z35" s="57" t="n"/>
      <c r="AA35" s="63" t="n"/>
    </row>
    <row r="36" hidden="1" ht="13.5" customHeight="1" s="56">
      <c r="A36" s="18" t="inlineStr">
        <is>
          <t>OGN</t>
        </is>
      </c>
      <c r="B36" s="19" t="n">
        <v>4</v>
      </c>
      <c r="C36" s="20" t="n">
        <v>101.86</v>
      </c>
      <c r="D36" s="20" t="n">
        <v>75</v>
      </c>
      <c r="E36" s="20" t="n">
        <v>8.884</v>
      </c>
      <c r="F36" s="66" t="n"/>
      <c r="G36" s="67" t="n">
        <v>45141</v>
      </c>
      <c r="H36" s="66" t="n"/>
      <c r="I36" s="67" t="n">
        <v>45145</v>
      </c>
      <c r="J36" s="23">
        <f>IF(ISBLANK(F36:G36),,IF(COUNTA(F36)=0,G36,F36))</f>
        <v/>
      </c>
      <c r="K36" s="6">
        <f>IFERROR(__xludf.DUMMYFUNCTION("if(isblank(J36),,index(googlefinance(A36,K$2,J36-1),2,2))"),21.81)</f>
        <v/>
      </c>
      <c r="L36" s="24">
        <f>IF(ISBLANK(H36:I36),,IF(COUNTA(H36)=0,I36,H36))</f>
        <v/>
      </c>
      <c r="M36" s="7">
        <f>IFERROR(__xludf.DUMMYFUNCTION("if(isblank(L36),, index(googlefinance(A36,M$2,L36-1),2,2))"),21.8)</f>
        <v/>
      </c>
      <c r="N36" s="8">
        <f>IFERROR(__xludf.DUMMYFUNCTION("if(isblank(A36),"""",googlefinance(A36))"),18.28)</f>
        <v/>
      </c>
      <c r="O36" s="59">
        <f>IF(ISBLANK(J36),"",IF(ISBLANK(L36),"Ongoing","Completed"))</f>
        <v/>
      </c>
      <c r="P36" s="68">
        <f>IF(ISBLANK(A36),,IF(AND(COUNTA(F36)=1,S36&gt;0),"Profit",IF(AND(COUNTA(G36)=1,S36&lt;0),"Profit","Loss")))</f>
        <v/>
      </c>
      <c r="Q36" s="26">
        <f>IF(ISBLANK(T36),,IF(P36="Profit",IF(S36&lt;0,T36*-S36,T36*S36),IF(S36&gt;0,T36*-S36,T36*S36)))</f>
        <v/>
      </c>
      <c r="R36" s="59">
        <f>IF($Q36&gt;0, TRUE, FALSE)</f>
        <v/>
      </c>
      <c r="S36" s="59">
        <f>IF(ISBLANK(J36),"",IF(ISBLANK(L36),N36-K36,M36-K36))</f>
        <v/>
      </c>
      <c r="T36" s="61">
        <f>IF(ISBLANK(J36),,ROUNDDOWN(T$1/K36,0))</f>
        <v/>
      </c>
      <c r="U36" s="62" t="n"/>
      <c r="V36" s="57" t="n"/>
      <c r="W36" s="57" t="n"/>
      <c r="X36" s="57" t="n"/>
      <c r="Y36" s="57" t="n"/>
      <c r="Z36" s="57" t="n"/>
      <c r="AA36" s="63" t="n"/>
    </row>
    <row r="37" hidden="1" ht="13.5" customHeight="1" s="56">
      <c r="A37" s="18" t="inlineStr">
        <is>
          <t>WDAY</t>
        </is>
      </c>
      <c r="B37" s="19" t="n">
        <v>14</v>
      </c>
      <c r="C37" s="20" t="n">
        <v>182.42</v>
      </c>
      <c r="D37" s="20" t="n">
        <v>35.714</v>
      </c>
      <c r="E37" s="20" t="n">
        <v>1.589</v>
      </c>
      <c r="F37" s="66" t="n"/>
      <c r="G37" s="67" t="n">
        <v>45141</v>
      </c>
      <c r="H37" s="66" t="n"/>
      <c r="I37" s="67" t="n">
        <v>45153</v>
      </c>
      <c r="J37" s="23">
        <f>IF(ISBLANK(F37:G37),,IF(COUNTA(F37)=0,G37,F37))</f>
        <v/>
      </c>
      <c r="K37" s="6">
        <f>IFERROR(__xludf.DUMMYFUNCTION("if(isblank(J37),,index(googlefinance(A37,K$2,J37-1),2,2))"),229.22)</f>
        <v/>
      </c>
      <c r="L37" s="24">
        <f>IF(ISBLANK(H37:I37),,IF(COUNTA(H37)=0,I37,H37))</f>
        <v/>
      </c>
      <c r="M37" s="7">
        <f>IFERROR(__xludf.DUMMYFUNCTION("if(isblank(L37),, index(googlefinance(A37,M$2,L37-1),2,2))"),228.11)</f>
        <v/>
      </c>
      <c r="N37" s="8">
        <f>IFERROR(__xludf.DUMMYFUNCTION("if(isblank(A37),"""",googlefinance(A37))"),268.27)</f>
        <v/>
      </c>
      <c r="O37" s="59">
        <f>IF(ISBLANK(J37),"",IF(ISBLANK(L37),"Ongoing","Completed"))</f>
        <v/>
      </c>
      <c r="P37" s="68">
        <f>IF(ISBLANK(A37),,IF(AND(COUNTA(F37)=1,S37&gt;0),"Profit",IF(AND(COUNTA(G37)=1,S37&lt;0),"Profit","Loss")))</f>
        <v/>
      </c>
      <c r="Q37" s="26">
        <f>IF(ISBLANK(T37),,IF(P37="Profit",IF(S37&lt;0,T37*-S37,T37*S37),IF(S37&gt;0,T37*-S37,T37*S37)))</f>
        <v/>
      </c>
      <c r="R37" s="59">
        <f>IF($Q37&gt;0, TRUE, FALSE)</f>
        <v/>
      </c>
      <c r="S37" s="59">
        <f>IF(ISBLANK(J37),"",IF(ISBLANK(L37),N37-K37,M37-K37))</f>
        <v/>
      </c>
      <c r="T37" s="61">
        <f>IF(ISBLANK(J37),,ROUNDDOWN(T$1/K37,0))</f>
        <v/>
      </c>
      <c r="U37" s="62" t="n"/>
      <c r="V37" s="57" t="n"/>
      <c r="W37" s="57" t="n"/>
      <c r="X37" s="57" t="n"/>
      <c r="Y37" s="57" t="n"/>
      <c r="Z37" s="57" t="n"/>
      <c r="AA37" s="63" t="n"/>
    </row>
    <row r="38" hidden="1" ht="13.5" customHeight="1" s="56">
      <c r="A38" s="18" t="inlineStr">
        <is>
          <t>CMI</t>
        </is>
      </c>
      <c r="B38" s="19" t="n">
        <v>10</v>
      </c>
      <c r="C38" s="20" t="n">
        <v>213.99</v>
      </c>
      <c r="D38" s="20" t="n">
        <v>40</v>
      </c>
      <c r="E38" s="20" t="n">
        <v>2.261</v>
      </c>
      <c r="F38" s="66" t="n"/>
      <c r="G38" s="67" t="n">
        <v>45142</v>
      </c>
      <c r="H38" s="66" t="n"/>
      <c r="I38" s="67" t="n">
        <v>45167</v>
      </c>
      <c r="J38" s="23">
        <f>IF(ISBLANK(F38:G38),,IF(COUNTA(F38)=0,G38,F38))</f>
        <v/>
      </c>
      <c r="K38" s="6">
        <f>IFERROR(__xludf.DUMMYFUNCTION("if(isblank(J38),,index(googlefinance(A38,K$2,J38-1),2,2))"),0.95)</f>
        <v/>
      </c>
      <c r="L38" s="24">
        <f>IF(ISBLANK(H38:I38),,IF(COUNTA(H38)=0,I38,H38))</f>
        <v/>
      </c>
      <c r="M38" s="7">
        <f>IFERROR(__xludf.DUMMYFUNCTION("if(isblank(L38),, index(googlefinance(A38,M$2,L38-1),2,2))"),1.06)</f>
        <v/>
      </c>
      <c r="N38" s="8">
        <f>IFERROR(__xludf.DUMMYFUNCTION("if(isblank(A38),"""",googlefinance(A38))"),1.44)</f>
        <v/>
      </c>
      <c r="O38" s="59">
        <f>IF(ISBLANK(J38),"",IF(ISBLANK(L38),"Ongoing","Completed"))</f>
        <v/>
      </c>
      <c r="P38" s="68">
        <f>IF(ISBLANK(A38),,IF(AND(COUNTA(F38)=1,S38&gt;0),"Profit",IF(AND(COUNTA(G38)=1,S38&lt;0),"Profit","Loss")))</f>
        <v/>
      </c>
      <c r="Q38" s="26">
        <f>IF(ISBLANK(T38),,IF(P38="Profit",IF(S38&lt;0,T38*-S38,T38*S38),IF(S38&gt;0,T38*-S38,T38*S38)))</f>
        <v/>
      </c>
      <c r="R38" s="59">
        <f>IF($Q38&gt;0, TRUE, FALSE)</f>
        <v/>
      </c>
      <c r="S38" s="59">
        <f>IF(ISBLANK(J38),"",IF(ISBLANK(L38),N38-K38,M38-K38))</f>
        <v/>
      </c>
      <c r="T38" s="61">
        <f>IF(ISBLANK(J38),,ROUNDDOWN(T$1/K38,0))</f>
        <v/>
      </c>
      <c r="U38" s="62" t="n"/>
      <c r="V38" s="57" t="n"/>
      <c r="W38" s="57" t="n"/>
      <c r="X38" s="57" t="n"/>
      <c r="Y38" s="57" t="n"/>
      <c r="Z38" s="57" t="n"/>
      <c r="AA38" s="63" t="n"/>
    </row>
    <row r="39" hidden="1" ht="13.5" customHeight="1" s="56">
      <c r="A39" s="18" t="inlineStr">
        <is>
          <t>LIN</t>
        </is>
      </c>
      <c r="B39" s="19" t="n">
        <v>9</v>
      </c>
      <c r="C39" s="20" t="n">
        <v>74.16</v>
      </c>
      <c r="D39" s="20" t="n">
        <v>33.333</v>
      </c>
      <c r="E39" s="20" t="n">
        <v>1.426</v>
      </c>
      <c r="F39" s="66" t="n"/>
      <c r="G39" s="67" t="n">
        <v>45142</v>
      </c>
      <c r="H39" s="66" t="n"/>
      <c r="I39" s="67" t="n">
        <v>45163</v>
      </c>
      <c r="J39" s="23">
        <f>IF(ISBLANK(F39:G39),,IF(COUNTA(F39)=0,G39,F39))</f>
        <v/>
      </c>
      <c r="K39" s="6">
        <f>IFERROR(__xludf.DUMMYFUNCTION("if(isblank(J39),,index(googlefinance(A39,K$2,J39-1),2,2))"),380.75)</f>
        <v/>
      </c>
      <c r="L39" s="24">
        <f>IF(ISBLANK(H39:I39),,IF(COUNTA(H39)=0,I39,H39))</f>
        <v/>
      </c>
      <c r="M39" s="7">
        <f>IFERROR(__xludf.DUMMYFUNCTION("if(isblank(L39),, index(googlefinance(A39,M$2,L39-1),2,2))"),377.94)</f>
        <v/>
      </c>
      <c r="N39" s="8">
        <f>IFERROR(__xludf.DUMMYFUNCTION("if(isblank(A39),"""",googlefinance(A39))"),468.23)</f>
        <v/>
      </c>
      <c r="O39" s="59">
        <f>IF(ISBLANK(J39),"",IF(ISBLANK(L39),"Ongoing","Completed"))</f>
        <v/>
      </c>
      <c r="P39" s="68">
        <f>IF(ISBLANK(A39),,IF(AND(COUNTA(F39)=1,S39&gt;0),"Profit",IF(AND(COUNTA(G39)=1,S39&lt;0),"Profit","Loss")))</f>
        <v/>
      </c>
      <c r="Q39" s="26">
        <f>IF(ISBLANK(T39),,IF(P39="Profit",IF(S39&lt;0,T39*-S39,T39*S39),IF(S39&gt;0,T39*-S39,T39*S39)))</f>
        <v/>
      </c>
      <c r="R39" s="59">
        <f>IF($Q39&gt;0, TRUE, FALSE)</f>
        <v/>
      </c>
      <c r="S39" s="59">
        <f>IF(ISBLANK(J39),"",IF(ISBLANK(L39),N39-K39,M39-K39))</f>
        <v/>
      </c>
      <c r="T39" s="61">
        <f>IF(ISBLANK(J39),,ROUNDDOWN(T$1/K39,0))</f>
        <v/>
      </c>
      <c r="U39" s="62" t="n"/>
      <c r="V39" s="57" t="n"/>
      <c r="W39" s="57" t="n"/>
      <c r="X39" s="57" t="n"/>
      <c r="Y39" s="57" t="n"/>
      <c r="Z39" s="57" t="n"/>
      <c r="AA39" s="63" t="n"/>
    </row>
    <row r="40" hidden="1" ht="13.5" customHeight="1" s="56">
      <c r="A40" s="18" t="inlineStr">
        <is>
          <t>MMM</t>
        </is>
      </c>
      <c r="B40" s="19" t="n">
        <v>5</v>
      </c>
      <c r="C40" s="20" t="n">
        <v>186.41</v>
      </c>
      <c r="D40" s="20" t="n">
        <v>60</v>
      </c>
      <c r="E40" s="20" t="n">
        <v>6.275</v>
      </c>
      <c r="F40" s="66" t="n"/>
      <c r="G40" s="67" t="n">
        <v>45142</v>
      </c>
      <c r="H40" s="66" t="n"/>
      <c r="I40" s="67" t="n">
        <v>45166</v>
      </c>
      <c r="J40" s="23">
        <f>IF(ISBLANK(F40:G40),,IF(COUNTA(F40)=0,G40,F40))</f>
        <v/>
      </c>
      <c r="K40" s="6">
        <f>IFERROR(__xludf.DUMMYFUNCTION("if(isblank(J40),,index(googlefinance(A40,K$2,J40-1),2,2))"),107.19)</f>
        <v/>
      </c>
      <c r="L40" s="24">
        <f>IF(ISBLANK(H40:I40),,IF(COUNTA(H40)=0,I40,H40))</f>
        <v/>
      </c>
      <c r="M40" s="7">
        <f>IFERROR(__xludf.DUMMYFUNCTION("if(isblank(L40),, index(googlefinance(A40,M$2,L40-1),2,2))"),104.12)</f>
        <v/>
      </c>
      <c r="N40" s="8">
        <f>IFERROR(__xludf.DUMMYFUNCTION("if(isblank(A40),"""",googlefinance(A40))"),105.0)</f>
        <v/>
      </c>
      <c r="O40" s="59">
        <f>IF(ISBLANK(J40),"",IF(ISBLANK(L40),"Ongoing","Completed"))</f>
        <v/>
      </c>
      <c r="P40" s="68">
        <f>IF(ISBLANK(A40),,IF(AND(COUNTA(F40)=1,S40&gt;0),"Profit",IF(AND(COUNTA(G40)=1,S40&lt;0),"Profit","Loss")))</f>
        <v/>
      </c>
      <c r="Q40" s="26">
        <f>IF(ISBLANK(T40),,IF(P40="Profit",IF(S40&lt;0,T40*-S40,T40*S40),IF(S40&gt;0,T40*-S40,T40*S40)))</f>
        <v/>
      </c>
      <c r="R40" s="59">
        <f>IF($Q40&gt;0, TRUE, FALSE)</f>
        <v/>
      </c>
      <c r="S40" s="59">
        <f>IF(ISBLANK(J40),"",IF(ISBLANK(L40),N40-K40,M40-K40))</f>
        <v/>
      </c>
      <c r="T40" s="61">
        <f>IF(ISBLANK(J40),,ROUNDDOWN(T$1/K40,0))</f>
        <v/>
      </c>
      <c r="U40" s="62" t="n"/>
      <c r="V40" s="57" t="n"/>
      <c r="W40" s="57" t="n"/>
      <c r="X40" s="57" t="n"/>
      <c r="Y40" s="57" t="n"/>
      <c r="Z40" s="57" t="n"/>
      <c r="AA40" s="63" t="n"/>
    </row>
    <row r="41" hidden="1" ht="13.5" customHeight="1" s="56">
      <c r="A41" s="18" t="inlineStr">
        <is>
          <t>ROST</t>
        </is>
      </c>
      <c r="B41" s="19" t="n">
        <v>9</v>
      </c>
      <c r="C41" s="20" t="n">
        <v>11.2</v>
      </c>
      <c r="D41" s="20" t="n">
        <v>33.333</v>
      </c>
      <c r="E41" s="20" t="n">
        <v>1.051</v>
      </c>
      <c r="F41" s="66" t="n"/>
      <c r="G41" s="67" t="n">
        <v>45142</v>
      </c>
      <c r="H41" s="66" t="n"/>
      <c r="I41" s="67" t="n">
        <v>45148</v>
      </c>
      <c r="J41" s="23">
        <f>IF(ISBLANK(F41:G41),,IF(COUNTA(F41)=0,G41,F41))</f>
        <v/>
      </c>
      <c r="K41" s="6">
        <f>IFERROR(__xludf.DUMMYFUNCTION("if(isblank(J41),,index(googlefinance(A41,K$2,J41-1),2,2))"),112.59)</f>
        <v/>
      </c>
      <c r="L41" s="24">
        <f>IF(ISBLANK(H41:I41),,IF(COUNTA(H41)=0,I41,H41))</f>
        <v/>
      </c>
      <c r="M41" s="7">
        <f>IFERROR(__xludf.DUMMYFUNCTION("if(isblank(L41),, index(googlefinance(A41,M$2,L41-1),2,2))"),113.03)</f>
        <v/>
      </c>
      <c r="N41" s="8">
        <f>IFERROR(__xludf.DUMMYFUNCTION("if(isblank(A41),"""",googlefinance(A41))"),145.12)</f>
        <v/>
      </c>
      <c r="O41" s="59">
        <f>IF(ISBLANK(J41),"",IF(ISBLANK(L41),"Ongoing","Completed"))</f>
        <v/>
      </c>
      <c r="P41" s="70">
        <f>IF(ISBLANK(A41),,IF(AND(COUNTA(F41)=1,S41&gt;0),"Profit",IF(AND(COUNTA(G41)=1,S41&lt;0),"Profit","Loss")))</f>
        <v/>
      </c>
      <c r="Q41" s="31">
        <f>IF(ISBLANK(T41),,IF(P41="Profit",IF(S41&lt;0,T41*-S41,T41*S41),IF(S41&gt;0,T41*-S41,T41*S41)))</f>
        <v/>
      </c>
      <c r="R41" s="59">
        <f>IF($Q41&gt;0, TRUE, FALSE)</f>
        <v/>
      </c>
      <c r="S41" s="59">
        <f>IF(ISBLANK(J41),"",IF(ISBLANK(L41),N41-K41,M41-K41))</f>
        <v/>
      </c>
      <c r="T41" s="61">
        <f>IF(ISBLANK(J41),,ROUNDDOWN(T$1/K41,0))</f>
        <v/>
      </c>
      <c r="U41" s="62" t="n"/>
      <c r="V41" s="57" t="n"/>
      <c r="W41" s="57" t="n"/>
      <c r="X41" s="57" t="n"/>
      <c r="Y41" s="57" t="n"/>
      <c r="Z41" s="57" t="n"/>
      <c r="AA41" s="63" t="n"/>
    </row>
    <row r="42" hidden="1" ht="13.5" customHeight="1" s="56">
      <c r="A42" s="57" t="inlineStr">
        <is>
          <t>SPG</t>
        </is>
      </c>
      <c r="B42" s="69" t="n">
        <v>12</v>
      </c>
      <c r="C42" s="61" t="n">
        <v>66.81999999999999</v>
      </c>
      <c r="D42" s="61" t="n">
        <v>33.333</v>
      </c>
      <c r="E42" s="61" t="n">
        <v>1.251</v>
      </c>
      <c r="F42" s="66" t="n"/>
      <c r="G42" s="67" t="n">
        <v>45145</v>
      </c>
      <c r="H42" s="66" t="n"/>
      <c r="I42" s="67" t="n">
        <v>45167</v>
      </c>
      <c r="J42" s="23">
        <f>IF(ISBLANK(F42:G42),,IF(COUNTA(F42)=0,G42,F42))</f>
        <v/>
      </c>
      <c r="K42" s="6">
        <f>IFERROR(__xludf.DUMMYFUNCTION("if(isblank(J42),,index(googlefinance(A42,K$2,J42-1),2,2))"),119.66)</f>
        <v/>
      </c>
      <c r="L42" s="24">
        <f>IF(ISBLANK(H42:I42),,IF(COUNTA(H42)=0,I42,H42))</f>
        <v/>
      </c>
      <c r="M42" s="7">
        <f>IFERROR(__xludf.DUMMYFUNCTION("if(isblank(L42),, index(googlefinance(A42,M$2,L42-1),2,2))"),111.67)</f>
        <v/>
      </c>
      <c r="N42" s="8">
        <f>IFERROR(__xludf.DUMMYFUNCTION("if(isblank(A42),"""",googlefinance(A42))"),150.77)</f>
        <v/>
      </c>
      <c r="O42" s="59">
        <f>IF(ISBLANK(J42),"",IF(ISBLANK(L42),"Ongoing","Completed"))</f>
        <v/>
      </c>
      <c r="P42" s="68">
        <f>IF(ISBLANK(A42),,IF(AND(COUNTA(F42)=1,S42&gt;0),"Profit",IF(AND(COUNTA(G42)=1,S42&lt;0),"Profit","Loss")))</f>
        <v/>
      </c>
      <c r="Q42" s="26">
        <f>IF(ISBLANK(T42),,IF(P42="Profit",IF(S42&lt;0,T42*-S42,T42*S42),IF(S42&gt;0,T42*-S42,T42*S42)))</f>
        <v/>
      </c>
      <c r="R42" s="59">
        <f>IF($Q42&gt;0, TRUE, FALSE)</f>
        <v/>
      </c>
      <c r="S42" s="59">
        <f>IF(ISBLANK(J42),"",IF(ISBLANK(L42),N42-K42,M42-K42))</f>
        <v/>
      </c>
      <c r="T42" s="61">
        <f>IF(ISBLANK(J42),,ROUNDDOWN(T$1/K42,0))</f>
        <v/>
      </c>
      <c r="U42" s="62" t="n"/>
      <c r="V42" s="57" t="n"/>
      <c r="W42" s="57" t="n"/>
      <c r="X42" s="57" t="n"/>
      <c r="Y42" s="57" t="n"/>
      <c r="Z42" s="57" t="n"/>
      <c r="AA42" s="63" t="n"/>
    </row>
    <row r="43" hidden="1" ht="13.5" customHeight="1" s="56">
      <c r="A43" s="57" t="inlineStr">
        <is>
          <t>NTRS</t>
        </is>
      </c>
      <c r="B43" s="69" t="n">
        <v>8</v>
      </c>
      <c r="C43" s="61" t="n">
        <v>51.13</v>
      </c>
      <c r="D43" s="61" t="n">
        <v>62.5</v>
      </c>
      <c r="E43" s="61" t="n">
        <v>1.525</v>
      </c>
      <c r="F43" s="66" t="n"/>
      <c r="G43" s="67" t="n">
        <v>45146</v>
      </c>
      <c r="H43" s="66" t="n"/>
      <c r="I43" s="67" t="n">
        <v>45148</v>
      </c>
      <c r="J43" s="23">
        <f>IF(ISBLANK(F43:G43),,IF(COUNTA(F43)=0,G43,F43))</f>
        <v/>
      </c>
      <c r="K43" s="6">
        <f>IFERROR(__xludf.DUMMYFUNCTION("if(isblank(J43),,index(googlefinance(A43,K$2,J43-1),2,2))"),80.85)</f>
        <v/>
      </c>
      <c r="L43" s="24">
        <f>IF(ISBLANK(H43:I43),,IF(COUNTA(H43)=0,I43,H43))</f>
        <v/>
      </c>
      <c r="M43" s="7">
        <f>IFERROR(__xludf.DUMMYFUNCTION("if(isblank(L43),, index(googlefinance(A43,M$2,L43-1),2,2))"),79.0)</f>
        <v/>
      </c>
      <c r="N43" s="8">
        <f>IFERROR(__xludf.DUMMYFUNCTION("if(isblank(A43),"""",googlefinance(A43))"),81.46)</f>
        <v/>
      </c>
      <c r="O43" s="59">
        <f>IF(ISBLANK(J43),"",IF(ISBLANK(L43),"Ongoing","Completed"))</f>
        <v/>
      </c>
      <c r="P43" s="68">
        <f>IF(ISBLANK(A43),,IF(AND(COUNTA(F43)=1,S43&gt;0),"Profit",IF(AND(COUNTA(G43)=1,S43&lt;0),"Profit","Loss")))</f>
        <v/>
      </c>
      <c r="Q43" s="26">
        <f>IF(ISBLANK(T43),,IF(P43="Profit",IF(S43&lt;0,T43*-S43,T43*S43),IF(S43&gt;0,T43*-S43,T43*S43)))</f>
        <v/>
      </c>
      <c r="R43" s="59">
        <f>IF($Q43&gt;0, TRUE, FALSE)</f>
        <v/>
      </c>
      <c r="S43" s="59">
        <f>IF(ISBLANK(J43),"",IF(ISBLANK(L43),N43-K43,M43-K43))</f>
        <v/>
      </c>
      <c r="T43" s="61">
        <f>IF(ISBLANK(J43),,ROUNDDOWN(T$1/K43,0))</f>
        <v/>
      </c>
      <c r="U43" s="62" t="n"/>
      <c r="V43" s="57" t="n"/>
      <c r="W43" s="57" t="n"/>
      <c r="X43" s="57" t="n"/>
      <c r="Y43" s="57" t="n"/>
      <c r="Z43" s="57" t="n"/>
      <c r="AA43" s="63" t="n"/>
    </row>
    <row r="44" hidden="1" ht="13.5" customHeight="1" s="56">
      <c r="A44" s="18" t="inlineStr">
        <is>
          <t>AXON</t>
        </is>
      </c>
      <c r="B44" s="19" t="n">
        <v>14</v>
      </c>
      <c r="C44" s="20" t="n">
        <v>270.59</v>
      </c>
      <c r="D44" s="20" t="n">
        <v>28.571</v>
      </c>
      <c r="E44" s="20" t="n">
        <v>2.043</v>
      </c>
      <c r="F44" s="67" t="n">
        <v>45147</v>
      </c>
      <c r="G44" s="66" t="n"/>
      <c r="H44" s="67" t="n">
        <v>45155</v>
      </c>
      <c r="I44" s="66" t="n"/>
      <c r="J44" s="28">
        <f>IF(ISBLANK(F44:G44),,IF(COUNTA(F44)=0,G44,F44))</f>
        <v/>
      </c>
      <c r="K44" s="6">
        <f>IFERROR(__xludf.DUMMYFUNCTION("if(isblank(J44),,index(googlefinance(A44,K$2,J44-1),2,2))"),175.73)</f>
        <v/>
      </c>
      <c r="L44" s="29">
        <f>IF(ISBLANK(H44:I44),,IF(COUNTA(H44)=0,I44,H44))</f>
        <v/>
      </c>
      <c r="M44" s="7">
        <f>IFERROR(__xludf.DUMMYFUNCTION("if(isblank(L44),, index(googlefinance(A44,M$2,L44-1),2,2))"),200.78)</f>
        <v/>
      </c>
      <c r="N44" s="8">
        <f>IFERROR(__xludf.DUMMYFUNCTION("if(isblank(A44),"""",googlefinance(A44))"),307.65)</f>
        <v/>
      </c>
      <c r="O44" s="59">
        <f>IF(ISBLANK(J44),"",IF(ISBLANK(L44),"Ongoing","Completed"))</f>
        <v/>
      </c>
      <c r="P44" s="68">
        <f>IF(ISBLANK(A44),,IF(AND(COUNTA(F44)=1,S44&gt;0),"Profit",IF(AND(COUNTA(G44)=1,S44&lt;0),"Profit","Loss")))</f>
        <v/>
      </c>
      <c r="Q44" s="26">
        <f>IF(ISBLANK(T44),,IF(P44="Profit",IF(S44&lt;0,T44*-S44,T44*S44),IF(S44&gt;0,T44*-S44,T44*S44)))</f>
        <v/>
      </c>
      <c r="R44" s="59">
        <f>IF($Q44&gt;0, TRUE, FALSE)</f>
        <v/>
      </c>
      <c r="S44" s="59">
        <f>IF(ISBLANK(J44),"",IF(ISBLANK(L44),N44-K44,M44-K44))</f>
        <v/>
      </c>
      <c r="T44" s="61">
        <f>IF(ISBLANK(J44),,ROUNDDOWN(T$1/K44,0))</f>
        <v/>
      </c>
      <c r="U44" s="62" t="n"/>
      <c r="V44" s="57" t="n"/>
      <c r="W44" s="57" t="n"/>
      <c r="X44" s="57" t="n"/>
      <c r="Y44" s="57" t="n"/>
      <c r="Z44" s="57" t="n"/>
      <c r="AA44" s="63" t="n"/>
    </row>
    <row r="45" hidden="1" ht="13.5" customHeight="1" s="56">
      <c r="A45" s="18" t="inlineStr">
        <is>
          <t>WDC</t>
        </is>
      </c>
      <c r="B45" s="19" t="n">
        <v>11</v>
      </c>
      <c r="C45" s="20" t="n">
        <v>223.54</v>
      </c>
      <c r="D45" s="20" t="n">
        <v>45.455</v>
      </c>
      <c r="E45" s="20" t="n">
        <v>1.701</v>
      </c>
      <c r="F45" s="66" t="n"/>
      <c r="G45" s="67" t="n">
        <v>45149</v>
      </c>
      <c r="H45" s="66" t="n"/>
      <c r="I45" s="67" t="n">
        <v>45166</v>
      </c>
      <c r="J45" s="23">
        <f>IF(ISBLANK(F45:G45),,IF(COUNTA(F45)=0,G45,F45))</f>
        <v/>
      </c>
      <c r="K45" s="6">
        <f>IFERROR(__xludf.DUMMYFUNCTION("if(isblank(J45),,index(googlefinance(A45,K$2,J45-1),2,2))"),42.15)</f>
        <v/>
      </c>
      <c r="L45" s="24">
        <f>IF(ISBLANK(H45:I45),,IF(COUNTA(H45)=0,I45,H45))</f>
        <v/>
      </c>
      <c r="M45" s="7">
        <f>IFERROR(__xludf.DUMMYFUNCTION("if(isblank(L45),, index(googlefinance(A45,M$2,L45-1),2,2))"),41.41)</f>
        <v/>
      </c>
      <c r="N45" s="8">
        <f>IFERROR(__xludf.DUMMYFUNCTION("if(isblank(A45),,googlefinance(A45))"),59.79)</f>
        <v/>
      </c>
      <c r="O45" s="59">
        <f>IF(ISBLANK(J45),,IF(ISBLANK(L45),"Ongoing","Completed"))</f>
        <v/>
      </c>
      <c r="P45" s="68">
        <f>IF(ISBLANK(A45),,IF(AND(COUNTA(F45)=1,S45&gt;0),"Profit",IF(AND(COUNTA(G45)=1,S45&lt;0),"Profit","Loss")))</f>
        <v/>
      </c>
      <c r="Q45" s="26">
        <f>IF(ISBLANK(T45),,IF(P45="Profit",IF(S45&lt;0,T45*-S45,T45*S45),IF(S45&gt;0,T45*-S45,T45*S45)))</f>
        <v/>
      </c>
      <c r="R45" s="59">
        <f>IF($Q45&gt;0, TRUE, FALSE)</f>
        <v/>
      </c>
      <c r="S45" s="59">
        <f>IF(ISBLANK(J45),,IF(ISBLANK(L45),N45-K45,M45-K45))</f>
        <v/>
      </c>
      <c r="T45" s="61">
        <f>IF(ISBLANK(J45),,ROUNDDOWN(T$1/K45,0))</f>
        <v/>
      </c>
      <c r="U45" s="62" t="n"/>
      <c r="V45" s="57" t="n"/>
      <c r="W45" s="57" t="n"/>
      <c r="X45" s="57" t="n"/>
      <c r="Y45" s="57" t="n"/>
      <c r="Z45" s="57" t="n"/>
      <c r="AA45" s="63" t="n"/>
    </row>
    <row r="46" hidden="1" ht="13.5" customHeight="1" s="56">
      <c r="A46" s="18" t="inlineStr">
        <is>
          <t>AON</t>
        </is>
      </c>
      <c r="B46" s="19" t="n">
        <v>17</v>
      </c>
      <c r="C46" s="20" t="n">
        <v>236.46</v>
      </c>
      <c r="D46" s="20" t="n">
        <v>41.176</v>
      </c>
      <c r="E46" s="20" t="n">
        <v>1.943</v>
      </c>
      <c r="F46" s="67" t="n">
        <v>45152</v>
      </c>
      <c r="G46" s="66" t="n"/>
      <c r="H46" s="67" t="n">
        <v>45155</v>
      </c>
      <c r="I46" s="66" t="n"/>
      <c r="J46" s="28">
        <f>IF(ISBLANK(F46:G46),,IF(COUNTA(F46)=0,G46,F46))</f>
        <v/>
      </c>
      <c r="K46" s="6">
        <f>IFERROR(__xludf.DUMMYFUNCTION("if(isblank(J46),,index(googlefinance(A46,K$2,J46-1),2,2))"),322.26)</f>
        <v/>
      </c>
      <c r="L46" s="29">
        <f>IF(ISBLANK(H46:I46),,IF(COUNTA(H46)=0,I46,H46))</f>
        <v/>
      </c>
      <c r="M46" s="7">
        <f>IFERROR(__xludf.DUMMYFUNCTION("if(isblank(L46),, index(googlefinance(A46,M$2,L46-1),2,2))"),321.28)</f>
        <v/>
      </c>
      <c r="N46" s="8">
        <f>IFERROR(__xludf.DUMMYFUNCTION("if(isblank(A46),,googlefinance(A46))"),318.99)</f>
        <v/>
      </c>
      <c r="O46" s="59">
        <f>IF(ISBLANK(J46),,IF(ISBLANK(L46),"Ongoing","Completed"))</f>
        <v/>
      </c>
      <c r="P46" s="70">
        <f>IF(ISBLANK(A46),,IF(AND(COUNTA(F46)=1,S46&gt;0),"Profit",IF(AND(COUNTA(G46)=1,S46&lt;0),"Profit","Loss")))</f>
        <v/>
      </c>
      <c r="Q46" s="31">
        <f>IF(ISBLANK(T46),,IF(P46="Profit",IF(S46&lt;0,T46*-S46,T46*S46),IF(S46&gt;0,T46*-S46,T46*S46)))</f>
        <v/>
      </c>
      <c r="R46" s="59">
        <f>IF($Q46&gt;0, TRUE, FALSE)</f>
        <v/>
      </c>
      <c r="S46" s="59">
        <f>IF(ISBLANK(J46),,IF(ISBLANK(L46),N46-K46,M46-K46))</f>
        <v/>
      </c>
      <c r="T46" s="61">
        <f>IF(ISBLANK(J46),,ROUNDDOWN(T$1/K46,0))</f>
        <v/>
      </c>
      <c r="U46" s="62" t="n"/>
      <c r="V46" s="57" t="n"/>
      <c r="W46" s="57" t="n"/>
      <c r="X46" s="57" t="n"/>
      <c r="Y46" s="57" t="n"/>
      <c r="Z46" s="57" t="n"/>
      <c r="AA46" s="63" t="n"/>
    </row>
    <row r="47" hidden="1" ht="13.5" customHeight="1" s="56">
      <c r="A47" s="18" t="inlineStr">
        <is>
          <t>WRB</t>
        </is>
      </c>
      <c r="B47" s="19" t="n">
        <v>11</v>
      </c>
      <c r="C47" s="20" t="n">
        <v>81.893</v>
      </c>
      <c r="D47" s="20" t="n">
        <v>27.273</v>
      </c>
      <c r="E47" s="20" t="n">
        <v>1.481</v>
      </c>
      <c r="F47" s="66" t="n"/>
      <c r="G47" s="67" t="n">
        <v>45153</v>
      </c>
      <c r="H47" s="66" t="n"/>
      <c r="I47" s="67" t="n">
        <v>45167</v>
      </c>
      <c r="J47" s="23">
        <f>IF(ISBLANK(F47:G47),,IF(COUNTA(F47)=0,G47,F47))</f>
        <v/>
      </c>
      <c r="K47" s="6">
        <f>IFERROR(__xludf.DUMMYFUNCTION("if(isblank(J47),,index(googlefinance(A47,K$2,J47-1),2,2))"),63.8)</f>
        <v/>
      </c>
      <c r="L47" s="24">
        <f>IF(ISBLANK(H47:I47),,IF(COUNTA(H47)=0,I47,H47))</f>
        <v/>
      </c>
      <c r="M47" s="7">
        <f>IFERROR(__xludf.DUMMYFUNCTION("if(isblank(L47),, index(googlefinance(A47,M$2,L47-1),2,2))"),61.28)</f>
        <v/>
      </c>
      <c r="N47" s="8">
        <f>IFERROR(__xludf.DUMMYFUNCTION("if(isblank(A47),,googlefinance(A47))"),85.51)</f>
        <v/>
      </c>
      <c r="O47" s="59">
        <f>IF(ISBLANK(J47),,IF(ISBLANK(L47),"Ongoing","Completed"))</f>
        <v/>
      </c>
      <c r="P47" s="68">
        <f>IF(ISBLANK(A47),,IF(AND(COUNTA(F47)=1,S47&gt;0),"Profit",IF(AND(COUNTA(G47)=1,S47&lt;0),"Profit","Loss")))</f>
        <v/>
      </c>
      <c r="Q47" s="26">
        <f>IF(ISBLANK(T47),,IF(P47="Profit",IF(S47&lt;0,T47*-S47,T47*S47),IF(S47&gt;0,T47*-S47,T47*S47)))</f>
        <v/>
      </c>
      <c r="R47" s="59">
        <f>IF($Q47&gt;0, TRUE, FALSE)</f>
        <v/>
      </c>
      <c r="S47" s="59">
        <f>IF(ISBLANK(J47),,IF(ISBLANK(L47),N47-K47,M47-K47))</f>
        <v/>
      </c>
      <c r="T47" s="61">
        <f>IF(ISBLANK(J47),,ROUNDDOWN(T$1/K47,0))</f>
        <v/>
      </c>
      <c r="U47" s="62" t="n"/>
      <c r="V47" s="57" t="n"/>
      <c r="W47" s="57" t="n"/>
      <c r="X47" s="57" t="n"/>
      <c r="Y47" s="57" t="n"/>
      <c r="Z47" s="57" t="n"/>
      <c r="AA47" s="63" t="n"/>
    </row>
    <row r="48" hidden="1" ht="13.5" customHeight="1" s="56">
      <c r="A48" s="18" t="inlineStr">
        <is>
          <t>AON</t>
        </is>
      </c>
      <c r="B48" s="19" t="n">
        <v>17</v>
      </c>
      <c r="C48" s="20" t="n">
        <v>236.46</v>
      </c>
      <c r="D48" s="20" t="n">
        <v>41.176</v>
      </c>
      <c r="E48" s="20" t="n">
        <v>1.943</v>
      </c>
      <c r="F48" s="67" t="n">
        <v>45154</v>
      </c>
      <c r="G48" s="66" t="n"/>
      <c r="H48" s="67" t="n">
        <v>45155</v>
      </c>
      <c r="I48" s="66" t="n"/>
      <c r="J48" s="28">
        <f>IF(ISBLANK(F48:G48),,IF(COUNTA(F48)=0,G48,F48))</f>
        <v/>
      </c>
      <c r="K48" s="6">
        <f>IFERROR(__xludf.DUMMYFUNCTION("if(isblank(J48),,index(googlefinance(A48,K$2,J48-1),2,2))"),317.55)</f>
        <v/>
      </c>
      <c r="L48" s="29">
        <f>IF(ISBLANK(H48:I48),,IF(COUNTA(H48)=0,I48,H48))</f>
        <v/>
      </c>
      <c r="M48" s="7">
        <f>IFERROR(__xludf.DUMMYFUNCTION("if(isblank(L48),, index(googlefinance(A48,M$2,L48-1),2,2))"),321.28)</f>
        <v/>
      </c>
      <c r="N48" s="8">
        <f>IFERROR(__xludf.DUMMYFUNCTION("if(isblank(A48),,googlefinance(A48))"),318.99)</f>
        <v/>
      </c>
      <c r="O48" s="59">
        <f>IF(ISBLANK(J48),,IF(ISBLANK(L48),"Ongoing","Completed"))</f>
        <v/>
      </c>
      <c r="P48" s="68">
        <f>IF(ISBLANK(A48),,IF(AND(COUNTA(F48)=1,S48&gt;0),"Profit",IF(AND(COUNTA(G48)=1,S48&lt;0),"Profit","Loss")))</f>
        <v/>
      </c>
      <c r="Q48" s="26">
        <f>IF(ISBLANK(T48),,IF(P48="Profit",IF(S48&lt;0,T48*-S48,T48*S48),IF(S48&gt;0,T48*-S48,T48*S48)))</f>
        <v/>
      </c>
      <c r="R48" s="59">
        <f>IF($Q48&gt;0, TRUE, FALSE)</f>
        <v/>
      </c>
      <c r="S48" s="59">
        <f>IF(ISBLANK(J48),,IF(ISBLANK(L48),N48-K48,M48-K48))</f>
        <v/>
      </c>
      <c r="T48" s="61">
        <f>IF(ISBLANK(J48),,ROUNDDOWN(T$1/K48,0))</f>
        <v/>
      </c>
      <c r="U48" s="62" t="n"/>
      <c r="V48" s="57" t="n"/>
      <c r="W48" s="57" t="n"/>
      <c r="X48" s="57" t="n"/>
      <c r="Y48" s="57" t="n"/>
      <c r="Z48" s="57" t="n"/>
      <c r="AA48" s="63" t="n"/>
    </row>
    <row r="49" hidden="1" ht="13.5" customHeight="1" s="56">
      <c r="A49" s="18" t="inlineStr">
        <is>
          <t>XOM</t>
        </is>
      </c>
      <c r="B49" s="19" t="n">
        <v>7</v>
      </c>
      <c r="C49" s="20" t="n">
        <v>103.4</v>
      </c>
      <c r="D49" s="20" t="n">
        <v>42.857</v>
      </c>
      <c r="E49" s="20" t="n">
        <v>1.976</v>
      </c>
      <c r="F49" s="66" t="n"/>
      <c r="G49" s="67" t="n">
        <v>45154</v>
      </c>
      <c r="H49" s="66" t="n"/>
      <c r="I49" s="67" t="n">
        <v>45156</v>
      </c>
      <c r="J49" s="23">
        <f>IF(ISBLANK(F49:G49),,IF(COUNTA(F49)=0,G49,F49))</f>
        <v/>
      </c>
      <c r="K49" s="6">
        <f>IFERROR(__xludf.DUMMYFUNCTION("if(isblank(J49),,index(googlefinance(A49,K$2,J49-1),2,2))"),108.16)</f>
        <v/>
      </c>
      <c r="L49" s="24">
        <f>IF(ISBLANK(H49:I49),,IF(COUNTA(H49)=0,I49,H49))</f>
        <v/>
      </c>
      <c r="M49" s="7">
        <f>IFERROR(__xludf.DUMMYFUNCTION("if(isblank(L49),, index(googlefinance(A49,M$2,L49-1),2,2))"),108.4)</f>
        <v/>
      </c>
      <c r="N49" s="8">
        <f>IFERROR(__xludf.DUMMYFUNCTION("if(isblank(A49),,googlefinance(A49))"),111.27)</f>
        <v/>
      </c>
      <c r="O49" s="59">
        <f>IF(ISBLANK(J49),,IF(ISBLANK(L49),"Ongoing","Completed"))</f>
        <v/>
      </c>
      <c r="P49" s="70">
        <f>IF(ISBLANK(A49),,IF(AND(COUNTA(F49)=1,S49&gt;0),"Profit",IF(AND(COUNTA(G49)=1,S49&lt;0),"Profit","Loss")))</f>
        <v/>
      </c>
      <c r="Q49" s="31">
        <f>IF(ISBLANK(T49),,IF(P49="Profit",IF(S49&lt;0,T49*-S49,T49*S49),IF(S49&gt;0,T49*-S49,T49*S49)))</f>
        <v/>
      </c>
      <c r="R49" s="59">
        <f>IF($Q49&gt;0, TRUE, FALSE)</f>
        <v/>
      </c>
      <c r="S49" s="59">
        <f>IF(ISBLANK(J49),,IF(ISBLANK(L49),N49-K49,M49-K49))</f>
        <v/>
      </c>
      <c r="T49" s="61">
        <f>IF(ISBLANK(J49),,ROUNDDOWN(T$1/K49,0))</f>
        <v/>
      </c>
      <c r="U49" s="62" t="n"/>
      <c r="V49" s="57" t="n"/>
      <c r="W49" s="57" t="n"/>
      <c r="X49" s="57" t="n"/>
      <c r="Y49" s="57" t="n"/>
      <c r="Z49" s="57" t="n"/>
      <c r="AA49" s="63" t="n"/>
    </row>
    <row r="50" hidden="1" ht="13.5" customHeight="1" s="56">
      <c r="A50" s="18" t="inlineStr">
        <is>
          <t>GD</t>
        </is>
      </c>
      <c r="B50" s="19" t="n">
        <v>9</v>
      </c>
      <c r="C50" s="20" t="n">
        <v>13.44</v>
      </c>
      <c r="D50" s="20" t="n">
        <v>55.556</v>
      </c>
      <c r="E50" s="20" t="n">
        <v>1.185</v>
      </c>
      <c r="F50" s="66" t="n"/>
      <c r="G50" s="67" t="n">
        <v>45155</v>
      </c>
      <c r="H50" s="66" t="n"/>
      <c r="I50" s="67" t="n">
        <v>45166</v>
      </c>
      <c r="J50" s="23">
        <f>IF(ISBLANK(F50:G50),,IF(COUNTA(F50)=0,G50,F50))</f>
        <v/>
      </c>
      <c r="K50" s="6">
        <f>IFERROR(__xludf.DUMMYFUNCTION("if(isblank(J50),,index(googlefinance(A50,K$2,J50-1),2,2))"),223.59)</f>
        <v/>
      </c>
      <c r="L50" s="24">
        <f>IF(ISBLANK(H50:I50),,IF(COUNTA(H50)=0,I50,H50))</f>
        <v/>
      </c>
      <c r="M50" s="7">
        <f>IFERROR(__xludf.DUMMYFUNCTION("if(isblank(L50),, index(googlefinance(A50,M$2,L50-1),2,2))"),225.35)</f>
        <v/>
      </c>
      <c r="N50" s="8">
        <f>IFERROR(__xludf.DUMMYFUNCTION("if(isblank(A50),,googlefinance(A50))"),275.21)</f>
        <v/>
      </c>
      <c r="O50" s="59">
        <f>IF(ISBLANK(J50),,IF(ISBLANK(L50),"Ongoing","Completed"))</f>
        <v/>
      </c>
      <c r="P50" s="70">
        <f>IF(ISBLANK(A50),,IF(AND(COUNTA(F50)=1,S50&gt;0),"Profit",IF(AND(COUNTA(G50)=1,S50&lt;0),"Profit","Loss")))</f>
        <v/>
      </c>
      <c r="Q50" s="31">
        <f>IF(ISBLANK(T50),,IF(P50="Profit",IF(S50&lt;0,T50*-S50,T50*S50),IF(S50&gt;0,T50*-S50,T50*S50)))</f>
        <v/>
      </c>
      <c r="R50" s="59">
        <f>IF($Q50&gt;0, TRUE, FALSE)</f>
        <v/>
      </c>
      <c r="S50" s="59">
        <f>IF(ISBLANK(J50),,IF(ISBLANK(L50),N50-K50,M50-K50))</f>
        <v/>
      </c>
      <c r="T50" s="61">
        <f>IF(ISBLANK(J50),,ROUNDDOWN(T$1/K50,0))</f>
        <v/>
      </c>
      <c r="U50" s="62" t="n"/>
      <c r="V50" s="57" t="n"/>
      <c r="W50" s="57" t="n"/>
      <c r="X50" s="57" t="n"/>
      <c r="Y50" s="57" t="n"/>
      <c r="Z50" s="57" t="n"/>
      <c r="AA50" s="63" t="n"/>
    </row>
    <row r="51" hidden="1" ht="13.5" customHeight="1" s="56">
      <c r="A51" s="18" t="inlineStr">
        <is>
          <t>NWS</t>
        </is>
      </c>
      <c r="B51" s="19" t="n">
        <v>10</v>
      </c>
      <c r="C51" s="20" t="n">
        <v>144.06</v>
      </c>
      <c r="D51" s="20" t="n">
        <v>10</v>
      </c>
      <c r="E51" s="20" t="n">
        <v>1.788</v>
      </c>
      <c r="F51" s="66" t="n"/>
      <c r="G51" s="67" t="n">
        <v>45155</v>
      </c>
      <c r="H51" s="66" t="n"/>
      <c r="I51" s="67" t="n">
        <v>45166</v>
      </c>
      <c r="J51" s="23">
        <f>IF(ISBLANK(F51:G51),,IF(COUNTA(F51)=0,G51,F51))</f>
        <v/>
      </c>
      <c r="K51" s="6">
        <f>IFERROR(__xludf.DUMMYFUNCTION("if(isblank(J51),,index(googlefinance(A51,K$2,J51-1),2,2))"),21.59)</f>
        <v/>
      </c>
      <c r="L51" s="24">
        <f>IF(ISBLANK(H51:I51),,IF(COUNTA(H51)=0,I51,H51))</f>
        <v/>
      </c>
      <c r="M51" s="7">
        <f>IFERROR(__xludf.DUMMYFUNCTION("if(isblank(L51),, index(googlefinance(A51,M$2,L51-1),2,2))"),21.32)</f>
        <v/>
      </c>
      <c r="N51" s="8">
        <f>IFERROR(__xludf.DUMMYFUNCTION("if(isblank(A51),,googlefinance(A51))"),26.44)</f>
        <v/>
      </c>
      <c r="O51" s="59">
        <f>IF(ISBLANK(J51),,IF(ISBLANK(L51),"Ongoing","Completed"))</f>
        <v/>
      </c>
      <c r="P51" s="68">
        <f>IF(ISBLANK(A51),,IF(AND(COUNTA(F51)=1,S51&gt;0),"Profit",IF(AND(COUNTA(G51)=1,S51&lt;0),"Profit","Loss")))</f>
        <v/>
      </c>
      <c r="Q51" s="26">
        <f>IF(ISBLANK(T51),,IF(P51="Profit",IF(S51&lt;0,T51*-S51,T51*S51),IF(S51&gt;0,T51*-S51,T51*S51)))</f>
        <v/>
      </c>
      <c r="R51" s="59">
        <f>IF($Q51&gt;0, TRUE, FALSE)</f>
        <v/>
      </c>
      <c r="S51" s="59">
        <f>IF(ISBLANK(J51),,IF(ISBLANK(L51),N51-K51,M51-K51))</f>
        <v/>
      </c>
      <c r="T51" s="61">
        <f>IF(ISBLANK(J51),,ROUNDDOWN(T$1/K51,0))</f>
        <v/>
      </c>
      <c r="U51" s="62" t="n"/>
      <c r="V51" s="57" t="n"/>
      <c r="W51" s="57" t="n"/>
      <c r="X51" s="57" t="n"/>
      <c r="Y51" s="57" t="n"/>
      <c r="Z51" s="57" t="n"/>
      <c r="AA51" s="63" t="n"/>
    </row>
    <row r="52" hidden="1" ht="13.5" customHeight="1" s="56">
      <c r="A52" s="18" t="inlineStr">
        <is>
          <t>OXY</t>
        </is>
      </c>
      <c r="B52" s="19" t="n">
        <v>5</v>
      </c>
      <c r="C52" s="20" t="n">
        <v>635.86</v>
      </c>
      <c r="D52" s="20" t="n">
        <v>60</v>
      </c>
      <c r="E52" s="20" t="n">
        <v>6.215</v>
      </c>
      <c r="F52" s="66" t="n"/>
      <c r="G52" s="67" t="n">
        <v>45155</v>
      </c>
      <c r="H52" s="66" t="n"/>
      <c r="I52" s="67" t="n">
        <v>45156</v>
      </c>
      <c r="J52" s="23">
        <f>IF(ISBLANK(F52:G52),,IF(COUNTA(F52)=0,G52,F52))</f>
        <v/>
      </c>
      <c r="K52" s="6">
        <f>IFERROR(__xludf.DUMMYFUNCTION("if(isblank(J52),,index(googlefinance(A52,K$2,J52-1),2,2))"),62.55)</f>
        <v/>
      </c>
      <c r="L52" s="24">
        <f>IF(ISBLANK(H52:I52),,IF(COUNTA(H52)=0,I52,H52))</f>
        <v/>
      </c>
      <c r="M52" s="7">
        <f>IFERROR(__xludf.DUMMYFUNCTION("if(isblank(L52),, index(googlefinance(A52,M$2,L52-1),2,2))"),63.16)</f>
        <v/>
      </c>
      <c r="N52" s="8">
        <f>IFERROR(__xludf.DUMMYFUNCTION("if(isblank(A52),,googlefinance(A52))"),62.65)</f>
        <v/>
      </c>
      <c r="O52" s="59">
        <f>IF(ISBLANK(J52),,IF(ISBLANK(L52),"Ongoing","Completed"))</f>
        <v/>
      </c>
      <c r="P52" s="70">
        <f>IF(ISBLANK(A52),,IF(AND(COUNTA(F52)=1,S52&gt;0),"Profit",IF(AND(COUNTA(G52)=1,S52&lt;0),"Profit","Loss")))</f>
        <v/>
      </c>
      <c r="Q52" s="31">
        <f>IF(ISBLANK(T52),,IF(P52="Profit",IF(S52&lt;0,T52*-S52,T52*S52),IF(S52&gt;0,T52*-S52,T52*S52)))</f>
        <v/>
      </c>
      <c r="R52" s="59">
        <f>IF($Q52&gt;0, TRUE, FALSE)</f>
        <v/>
      </c>
      <c r="S52" s="59">
        <f>IF(ISBLANK(J52),,IF(ISBLANK(L52),N52-K52,M52-K52))</f>
        <v/>
      </c>
      <c r="T52" s="61">
        <f>IF(ISBLANK(J52),,ROUNDDOWN(T$1/K52,0))</f>
        <v/>
      </c>
      <c r="U52" s="62" t="n"/>
      <c r="V52" s="57" t="n"/>
      <c r="W52" s="57" t="n"/>
      <c r="X52" s="57" t="n"/>
      <c r="Y52" s="57" t="n"/>
      <c r="Z52" s="57" t="n"/>
      <c r="AA52" s="63" t="n"/>
    </row>
    <row r="53" hidden="1" ht="13.5" customHeight="1" s="56">
      <c r="A53" s="18" t="inlineStr">
        <is>
          <t>WST</t>
        </is>
      </c>
      <c r="B53" s="19" t="n">
        <v>7</v>
      </c>
      <c r="C53" s="20" t="n">
        <v>203.73</v>
      </c>
      <c r="D53" s="20" t="n">
        <v>42.857</v>
      </c>
      <c r="E53" s="20" t="n">
        <v>2.662</v>
      </c>
      <c r="F53" s="66" t="n"/>
      <c r="G53" s="67" t="n">
        <v>45155</v>
      </c>
      <c r="H53" s="66" t="n"/>
      <c r="I53" s="67" t="n">
        <v>45163</v>
      </c>
      <c r="J53" s="23">
        <f>IF(ISBLANK(F53:G53),,IF(COUNTA(F53)=0,G53,F53))</f>
        <v/>
      </c>
      <c r="K53" s="6">
        <f>IFERROR(__xludf.DUMMYFUNCTION("if(isblank(J53),,index(googlefinance(A53,K$2,J53-1),2,2))"),397.49)</f>
        <v/>
      </c>
      <c r="L53" s="24">
        <f>IF(ISBLANK(H53:I53),,IF(COUNTA(H53)=0,I53,H53))</f>
        <v/>
      </c>
      <c r="M53" s="7">
        <f>IFERROR(__xludf.DUMMYFUNCTION("if(isblank(L53),, index(googlefinance(A53,M$2,L53-1),2,2))"),391.72)</f>
        <v/>
      </c>
      <c r="N53" s="8">
        <f>IFERROR(__xludf.DUMMYFUNCTION("if(isblank(A53),,googlefinance(A53))"),387.62)</f>
        <v/>
      </c>
      <c r="O53" s="59">
        <f>IF(ISBLANK(J53),,IF(ISBLANK(L53),"Ongoing","Completed"))</f>
        <v/>
      </c>
      <c r="P53" s="68">
        <f>IF(ISBLANK(A53),,IF(AND(COUNTA(F53)=1,S53&gt;0),"Profit",IF(AND(COUNTA(G53)=1,S53&lt;0),"Profit","Loss")))</f>
        <v/>
      </c>
      <c r="Q53" s="26">
        <f>IF(ISBLANK(T53),,IF(P53="Profit",IF(S53&lt;0,T53*-S53,T53*S53),IF(S53&gt;0,T53*-S53,T53*S53)))</f>
        <v/>
      </c>
      <c r="R53" s="59">
        <f>IF($Q53&gt;0, TRUE, FALSE)</f>
        <v/>
      </c>
      <c r="S53" s="59">
        <f>IF(ISBLANK(J53),,IF(ISBLANK(L53),N53-K53,M53-K53))</f>
        <v/>
      </c>
      <c r="T53" s="61">
        <f>IF(ISBLANK(J53),,ROUNDDOWN(T$1/K53,0))</f>
        <v/>
      </c>
      <c r="U53" s="62" t="n"/>
      <c r="V53" s="57" t="n"/>
      <c r="W53" s="57" t="n"/>
      <c r="X53" s="57" t="n"/>
      <c r="Y53" s="57" t="n"/>
      <c r="Z53" s="57" t="n"/>
      <c r="AA53" s="63" t="n"/>
    </row>
    <row r="54" hidden="1" ht="13.5" customHeight="1" s="56">
      <c r="A54" s="18" t="inlineStr">
        <is>
          <t>AON</t>
        </is>
      </c>
      <c r="B54" s="19" t="n">
        <v>18</v>
      </c>
      <c r="C54" s="20" t="n">
        <v>229.62</v>
      </c>
      <c r="D54" s="20" t="n">
        <v>38.889</v>
      </c>
      <c r="E54" s="20" t="n">
        <v>1.891</v>
      </c>
      <c r="F54" s="67" t="n">
        <v>45156</v>
      </c>
      <c r="G54" s="66" t="n"/>
      <c r="H54" s="67" t="n">
        <v>45174</v>
      </c>
      <c r="I54" s="66" t="n"/>
      <c r="J54" s="28">
        <f>IF(ISBLANK(F54:G54),,IF(COUNTA(F54)=0,G54,F54))</f>
        <v/>
      </c>
      <c r="K54" s="6">
        <f>IFERROR(__xludf.DUMMYFUNCTION("if(isblank(J54),,index(googlefinance(A54,K$2,J54-1),2,2))"),319.0)</f>
        <v/>
      </c>
      <c r="L54" s="29">
        <f>IF(ISBLANK(H54:I54),,IF(COUNTA(H54)=0,I54,H54))</f>
        <v/>
      </c>
      <c r="M54" s="7">
        <f>IFERROR(__xludf.DUMMYFUNCTION("if(isblank(L54),, index(googlefinance(A54,M$2,L54-1),2,2))"),329.45)</f>
        <v/>
      </c>
      <c r="N54" s="8">
        <f>IFERROR(__xludf.DUMMYFUNCTION("if(isblank(A54),,googlefinance(A54))"),318.99)</f>
        <v/>
      </c>
      <c r="O54" s="59">
        <f>IF(ISBLANK(J54),,IF(ISBLANK(L54),"Ongoing","Completed"))</f>
        <v/>
      </c>
      <c r="P54" s="68">
        <f>IF(ISBLANK(A54),,IF(AND(COUNTA(F54)=1,S54&gt;0),"Profit",IF(AND(COUNTA(G54)=1,S54&lt;0),"Profit","Loss")))</f>
        <v/>
      </c>
      <c r="Q54" s="26">
        <f>IF(ISBLANK(T54),,IF(P54="Profit",IF(S54&lt;0,T54*-S54,T54*S54),IF(S54&gt;0,T54*-S54,T54*S54)))</f>
        <v/>
      </c>
      <c r="R54" s="59">
        <f>IF($Q54&gt;0, TRUE, FALSE)</f>
        <v/>
      </c>
      <c r="S54" s="59">
        <f>IF(ISBLANK(J54),,IF(ISBLANK(L54),N54-K54,M54-K54))</f>
        <v/>
      </c>
      <c r="T54" s="61">
        <f>IF(ISBLANK(J54),,ROUNDDOWN(T$1/K54,0))</f>
        <v/>
      </c>
      <c r="U54" s="62" t="n"/>
      <c r="V54" s="57" t="n"/>
      <c r="W54" s="57" t="n"/>
      <c r="X54" s="57" t="n"/>
      <c r="Y54" s="57" t="n"/>
      <c r="Z54" s="57" t="n"/>
      <c r="AA54" s="63" t="n"/>
    </row>
    <row r="55" hidden="1" ht="13.5" customHeight="1" s="56">
      <c r="A55" s="18" t="inlineStr">
        <is>
          <t>MKTX</t>
        </is>
      </c>
      <c r="B55" s="19" t="n">
        <v>11</v>
      </c>
      <c r="C55" s="20" t="n">
        <v>147.97</v>
      </c>
      <c r="D55" s="20" t="n">
        <v>45.455</v>
      </c>
      <c r="E55" s="20" t="n">
        <v>1.991</v>
      </c>
      <c r="F55" s="67" t="n">
        <v>45156</v>
      </c>
      <c r="G55" s="66" t="n"/>
      <c r="H55" s="67" t="n">
        <v>45162</v>
      </c>
      <c r="I55" s="66" t="n"/>
      <c r="J55" s="28">
        <f>IF(ISBLANK(F55:G55),,IF(COUNTA(F55)=0,G55,F55))</f>
        <v/>
      </c>
      <c r="K55" s="6">
        <f>IFERROR(__xludf.DUMMYFUNCTION("if(isblank(J55),,index(googlefinance(A55,K$2,J55-1),2,2))"),249.18)</f>
        <v/>
      </c>
      <c r="L55" s="29">
        <f>IF(ISBLANK(H55:I55),,IF(COUNTA(H55)=0,I55,H55))</f>
        <v/>
      </c>
      <c r="M55" s="7">
        <f>IFERROR(__xludf.DUMMYFUNCTION("if(isblank(L55),, index(googlefinance(A55,M$2,L55-1),2,2))"),250.43)</f>
        <v/>
      </c>
      <c r="N55" s="8">
        <f>IFERROR(__xludf.DUMMYFUNCTION("if(isblank(A55),,googlefinance(A55))"),218.45)</f>
        <v/>
      </c>
      <c r="O55" s="59">
        <f>IF(ISBLANK(J55),,IF(ISBLANK(L55),"Ongoing","Completed"))</f>
        <v/>
      </c>
      <c r="P55" s="68">
        <f>IF(ISBLANK(A55),,IF(AND(COUNTA(F55)=1,S55&gt;0),"Profit",IF(AND(COUNTA(G55)=1,S55&lt;0),"Profit","Loss")))</f>
        <v/>
      </c>
      <c r="Q55" s="26">
        <f>IF(ISBLANK(T55),,IF(P55="Profit",IF(S55&lt;0,T55*-S55,T55*S55),IF(S55&gt;0,T55*-S55,T55*S55)))</f>
        <v/>
      </c>
      <c r="R55" s="59">
        <f>IF($Q55&gt;0, TRUE, FALSE)</f>
        <v/>
      </c>
      <c r="S55" s="59">
        <f>IF(ISBLANK(J55),,IF(ISBLANK(L55),N55-K55,M55-K55))</f>
        <v/>
      </c>
      <c r="T55" s="61">
        <f>IF(ISBLANK(J55),,ROUNDDOWN(T$1/K55,0))</f>
        <v/>
      </c>
      <c r="U55" s="62" t="n"/>
      <c r="V55" s="57" t="n"/>
      <c r="W55" s="57" t="n"/>
      <c r="X55" s="57" t="n"/>
      <c r="Y55" s="57" t="n"/>
      <c r="Z55" s="57" t="n"/>
      <c r="AA55" s="63" t="n"/>
    </row>
    <row r="56" hidden="1" ht="13.5" customHeight="1" s="56">
      <c r="A56" s="18" t="inlineStr">
        <is>
          <t>HOLX</t>
        </is>
      </c>
      <c r="B56" s="19" t="n">
        <v>13</v>
      </c>
      <c r="C56" s="20" t="n">
        <v>107.36</v>
      </c>
      <c r="D56" s="20" t="n">
        <v>38.462</v>
      </c>
      <c r="E56" s="20" t="n">
        <v>1.705</v>
      </c>
      <c r="F56" s="67" t="n">
        <v>45159</v>
      </c>
      <c r="G56" s="66" t="n"/>
      <c r="H56" s="67" t="n">
        <v>45162</v>
      </c>
      <c r="I56" s="66" t="n"/>
      <c r="J56" s="28">
        <f>IF(ISBLANK(F56:G56),,IF(COUNTA(F56)=0,G56,F56))</f>
        <v/>
      </c>
      <c r="K56" s="6">
        <f>IFERROR(__xludf.DUMMYFUNCTION("if(isblank(J56),,index(googlefinance(A56,K$2,J56-1),2,2))"),75.23)</f>
        <v/>
      </c>
      <c r="L56" s="29">
        <f>IF(ISBLANK(H56:I56),,IF(COUNTA(H56)=0,I56,H56))</f>
        <v/>
      </c>
      <c r="M56" s="7">
        <f>IFERROR(__xludf.DUMMYFUNCTION("if(isblank(L56),, index(googlefinance(A56,M$2,L56-1),2,2))"),75.31)</f>
        <v/>
      </c>
      <c r="N56" s="8">
        <f>IFERROR(__xludf.DUMMYFUNCTION("if(isblank(A56),,googlefinance(A56))"),75.91)</f>
        <v/>
      </c>
      <c r="O56" s="59">
        <f>IF(ISBLANK(J56),,IF(ISBLANK(L56),"Ongoing","Completed"))</f>
        <v/>
      </c>
      <c r="P56" s="68">
        <f>IF(ISBLANK(A56),,IF(AND(COUNTA(F56)=1,S56&gt;0),"Profit",IF(AND(COUNTA(G56)=1,S56&lt;0),"Profit","Loss")))</f>
        <v/>
      </c>
      <c r="Q56" s="26">
        <f>IF(ISBLANK(T56),,IF(P56="Profit",IF(S56&lt;0,T56*-S56,T56*S56),IF(S56&gt;0,T56*-S56,T56*S56)))</f>
        <v/>
      </c>
      <c r="R56" s="59">
        <f>IF($Q56&gt;0, TRUE, FALSE)</f>
        <v/>
      </c>
      <c r="S56" s="59">
        <f>IF(ISBLANK(J56),,IF(ISBLANK(L56),N56-K56,M56-K56))</f>
        <v/>
      </c>
      <c r="T56" s="61">
        <f>IF(ISBLANK(J56),,ROUNDDOWN(T$1/K56,0))</f>
        <v/>
      </c>
      <c r="U56" s="62" t="n"/>
      <c r="V56" s="57" t="n"/>
      <c r="W56" s="57" t="n"/>
      <c r="X56" s="57" t="n"/>
      <c r="Y56" s="57" t="n"/>
      <c r="Z56" s="57" t="n"/>
      <c r="AA56" s="63" t="n"/>
    </row>
    <row r="57" hidden="1" ht="13.5" customHeight="1" s="56">
      <c r="A57" s="18" t="inlineStr">
        <is>
          <t>MRNA</t>
        </is>
      </c>
      <c r="B57" s="19" t="n">
        <v>12</v>
      </c>
      <c r="C57" s="20" t="n">
        <v>265.07</v>
      </c>
      <c r="D57" s="20" t="n">
        <v>33.333</v>
      </c>
      <c r="E57" s="20" t="n">
        <v>1.821</v>
      </c>
      <c r="F57" s="67" t="n">
        <v>45159</v>
      </c>
      <c r="G57" s="66" t="n"/>
      <c r="H57" s="67" t="n">
        <v>45174</v>
      </c>
      <c r="I57" s="66" t="n"/>
      <c r="J57" s="28">
        <f>IF(ISBLANK(F57:G57),,IF(COUNTA(F57)=0,G57,F57))</f>
        <v/>
      </c>
      <c r="K57" s="6">
        <f>IFERROR(__xludf.DUMMYFUNCTION("if(isblank(J57),,index(googlefinance(A57,K$2,J57-1),2,2))"),111.08)</f>
        <v/>
      </c>
      <c r="L57" s="29">
        <f>IF(ISBLANK(H57:I57),,IF(COUNTA(H57)=0,I57,H57))</f>
        <v/>
      </c>
      <c r="M57" s="7">
        <f>IFERROR(__xludf.DUMMYFUNCTION("if(isblank(L57),, index(googlefinance(A57,M$2,L57-1),2,2))"),109.36)</f>
        <v/>
      </c>
      <c r="N57" s="8">
        <f>IFERROR(__xludf.DUMMYFUNCTION("if(isblank(A57),,googlefinance(A57))"),103.85)</f>
        <v/>
      </c>
      <c r="O57" s="59">
        <f>IF(ISBLANK(J57),,IF(ISBLANK(L57),"Ongoing","Completed"))</f>
        <v/>
      </c>
      <c r="P57" s="70">
        <f>IF(ISBLANK(A57),,IF(AND(COUNTA(F57)=1,S57&gt;0),"Profit",IF(AND(COUNTA(G57)=1,S57&lt;0),"Profit","Loss")))</f>
        <v/>
      </c>
      <c r="Q57" s="31">
        <f>IF(ISBLANK(T57),,IF(P57="Profit",IF(S57&lt;0,T57*-S57,T57*S57),IF(S57&gt;0,T57*-S57,T57*S57)))</f>
        <v/>
      </c>
      <c r="R57" s="59">
        <f>IF($Q57&gt;0, TRUE, FALSE)</f>
        <v/>
      </c>
      <c r="S57" s="59">
        <f>IF(ISBLANK(J57),,IF(ISBLANK(L57),N57-K57,M57-K57))</f>
        <v/>
      </c>
      <c r="T57" s="61">
        <f>IF(ISBLANK(J57),,ROUNDDOWN(T$1/K57,0))</f>
        <v/>
      </c>
      <c r="U57" s="62" t="n"/>
      <c r="V57" s="57" t="n"/>
      <c r="W57" s="57" t="n"/>
      <c r="X57" s="57" t="n"/>
      <c r="Y57" s="57" t="n"/>
      <c r="Z57" s="57" t="n"/>
      <c r="AA57" s="63" t="n"/>
    </row>
    <row r="58" hidden="1" ht="13.5" customHeight="1" s="56">
      <c r="A58" s="18" t="inlineStr">
        <is>
          <t>PANW</t>
        </is>
      </c>
      <c r="B58" s="19" t="n">
        <v>8</v>
      </c>
      <c r="C58" s="20" t="n">
        <v>765.02</v>
      </c>
      <c r="D58" s="20" t="n">
        <v>87.5</v>
      </c>
      <c r="E58" s="20" t="n">
        <v>17.97</v>
      </c>
      <c r="F58" s="67" t="n">
        <v>45159</v>
      </c>
      <c r="G58" s="66" t="n"/>
      <c r="H58" s="67" t="n">
        <v>45184</v>
      </c>
      <c r="I58" s="66" t="n"/>
      <c r="J58" s="28">
        <f>IF(ISBLANK(F58:G58),,IF(COUNTA(F58)=0,G58,F58))</f>
        <v/>
      </c>
      <c r="K58" s="6">
        <f>IFERROR(__xludf.DUMMYFUNCTION("if(isblank(J58),,index(googlefinance(A58,K$2,J58-1),2,2))"),240.81)</f>
        <v/>
      </c>
      <c r="L58" s="29">
        <f>IF(ISBLANK(H58:I58),,IF(COUNTA(H58)=0,I58,H58))</f>
        <v/>
      </c>
      <c r="M58" s="7">
        <f>IFERROR(__xludf.DUMMYFUNCTION("if(isblank(L58),, index(googlefinance(A58,M$2,L58-1),2,2))"),245.82)</f>
        <v/>
      </c>
      <c r="N58" s="8">
        <f>IFERROR(__xludf.DUMMYFUNCTION("if(isblank(A58),,googlefinance(A58))"),282.16)</f>
        <v/>
      </c>
      <c r="O58" s="59">
        <f>IF(ISBLANK(J58),,IF(ISBLANK(L58),"Ongoing","Completed"))</f>
        <v/>
      </c>
      <c r="P58" s="68">
        <f>IF(ISBLANK(A58),,IF(AND(COUNTA(F58)=1,S58&gt;0),"Profit",IF(AND(COUNTA(G58)=1,S58&lt;0),"Profit","Loss")))</f>
        <v/>
      </c>
      <c r="Q58" s="26">
        <f>IF(ISBLANK(T58),,IF(P58="Profit",IF(S58&lt;0,T58*-S58,T58*S58),IF(S58&gt;0,T58*-S58,T58*S58)))</f>
        <v/>
      </c>
      <c r="R58" s="59">
        <f>IF($Q58&gt;0, TRUE, FALSE)</f>
        <v/>
      </c>
      <c r="S58" s="59">
        <f>IF(ISBLANK(J58),,IF(ISBLANK(L58),N58-K58,M58-K58))</f>
        <v/>
      </c>
      <c r="T58" s="61">
        <f>IF(ISBLANK(J58),,ROUNDDOWN(T$1/K58,0))</f>
        <v/>
      </c>
      <c r="U58" s="62" t="n"/>
      <c r="V58" s="57" t="n"/>
      <c r="W58" s="57" t="n"/>
      <c r="X58" s="57" t="n"/>
      <c r="Y58" s="57" t="n"/>
      <c r="Z58" s="57" t="n"/>
      <c r="AA58" s="63" t="n"/>
    </row>
    <row r="59" hidden="1" ht="13.5" customHeight="1" s="56">
      <c r="A59" s="18" t="inlineStr">
        <is>
          <t>NOC</t>
        </is>
      </c>
      <c r="B59" s="19" t="n">
        <v>4</v>
      </c>
      <c r="C59" s="20" t="n">
        <v>8.109999999999999</v>
      </c>
      <c r="D59" s="20" t="n">
        <v>25</v>
      </c>
      <c r="E59" s="20" t="n">
        <v>1.197</v>
      </c>
      <c r="F59" s="67" t="n">
        <v>45160</v>
      </c>
      <c r="G59" s="66" t="n"/>
      <c r="H59" s="67" t="n">
        <v>45163</v>
      </c>
      <c r="I59" s="66" t="n"/>
      <c r="J59" s="28">
        <f>IF(ISBLANK(F59:G59),,IF(COUNTA(F59)=0,G59,F59))</f>
        <v/>
      </c>
      <c r="K59" s="6">
        <f>IFERROR(__xludf.DUMMYFUNCTION("if(isblank(J59),,index(googlefinance(A59,K$2,J59-1),2,2))"),433.69)</f>
        <v/>
      </c>
      <c r="L59" s="29">
        <f>IF(ISBLANK(H59:I59),,IF(COUNTA(H59)=0,I59,H59))</f>
        <v/>
      </c>
      <c r="M59" s="7">
        <f>IFERROR(__xludf.DUMMYFUNCTION("if(isblank(L59),, index(googlefinance(A59,M$2,L59-1),2,2))"),432.18)</f>
        <v/>
      </c>
      <c r="N59" s="8">
        <f>IFERROR(__xludf.DUMMYFUNCTION("if(isblank(A59),,googlefinance(A59))"),461.75)</f>
        <v/>
      </c>
      <c r="O59" s="59">
        <f>IF(ISBLANK(J59),,IF(ISBLANK(L59),"Ongoing","Completed"))</f>
        <v/>
      </c>
      <c r="P59" s="70">
        <f>IF(ISBLANK(A59),,IF(AND(COUNTA(F59)=1,S59&gt;0),"Profit",IF(AND(COUNTA(G59)=1,S59&lt;0),"Profit","Loss")))</f>
        <v/>
      </c>
      <c r="Q59" s="31">
        <f>IF(ISBLANK(T59),,IF(P59="Profit",IF(S59&lt;0,T59*-S59,T59*S59),IF(S59&gt;0,T59*-S59,T59*S59)))</f>
        <v/>
      </c>
      <c r="R59" s="59">
        <f>IF($Q59&gt;0, TRUE, FALSE)</f>
        <v/>
      </c>
      <c r="S59" s="59">
        <f>IF(ISBLANK(J59),,IF(ISBLANK(L59),N59-K59,M59-K59))</f>
        <v/>
      </c>
      <c r="T59" s="61">
        <f>IF(ISBLANK(J59),,ROUNDDOWN(T$1/K59,0))</f>
        <v/>
      </c>
      <c r="U59" s="62" t="n"/>
      <c r="V59" s="57" t="n"/>
      <c r="W59" s="57" t="n"/>
      <c r="X59" s="57" t="n"/>
      <c r="Y59" s="57" t="n"/>
      <c r="Z59" s="57" t="n"/>
      <c r="AA59" s="63" t="n"/>
    </row>
    <row r="60" hidden="1" ht="13.5" customHeight="1" s="56">
      <c r="A60" s="18" t="inlineStr">
        <is>
          <t>BKNG</t>
        </is>
      </c>
      <c r="B60" s="19" t="n">
        <v>16</v>
      </c>
      <c r="C60" s="20" t="n">
        <v>8.220000000000001</v>
      </c>
      <c r="D60" s="20" t="n">
        <v>12.5</v>
      </c>
      <c r="E60" s="20" t="n">
        <v>1.07</v>
      </c>
      <c r="F60" s="66" t="n"/>
      <c r="G60" s="67" t="n">
        <v>45160</v>
      </c>
      <c r="H60" s="66" t="n"/>
      <c r="I60" s="67" t="n">
        <v>45168</v>
      </c>
      <c r="J60" s="23">
        <f>IF(ISBLANK(F60:G60),,IF(COUNTA(F60)=0,G60,F60))</f>
        <v/>
      </c>
      <c r="K60" s="6">
        <f>IFERROR(__xludf.DUMMYFUNCTION("if(isblank(J60),,index(googlefinance(A60,K$2,J60-1),2,2))"),3052.0)</f>
        <v/>
      </c>
      <c r="L60" s="24">
        <f>IF(ISBLANK(H60:I60),,IF(COUNTA(H60)=0,I60,H60))</f>
        <v/>
      </c>
      <c r="M60" s="7">
        <f>IFERROR(__xludf.DUMMYFUNCTION("if(isblank(L60),, index(googlefinance(A60,M$2,L60-1),2,2))"),3110.86)</f>
        <v/>
      </c>
      <c r="N60" s="8">
        <f>IFERROR(__xludf.DUMMYFUNCTION("if(isblank(A60),,googlefinance(A60))"),3413.98)</f>
        <v/>
      </c>
      <c r="O60" s="59">
        <f>IF(ISBLANK(J60),,IF(ISBLANK(L60),"Ongoing","Completed"))</f>
        <v/>
      </c>
      <c r="P60" s="70">
        <f>IF(ISBLANK(A60),,IF(AND(COUNTA(F60)=1,S60&gt;0),"Profit",IF(AND(COUNTA(G60)=1,S60&lt;0),"Profit","Loss")))</f>
        <v/>
      </c>
      <c r="Q60" s="60">
        <f>IF(ISBLANK(T60),,IF(P60="Profit",IF(S60&lt;0,T60*-S60,T60*S60),IF(S60&gt;0,T60*-S60,T60*S60)))</f>
        <v/>
      </c>
      <c r="R60" s="59">
        <f>IF($Q60&gt;0, TRUE, FALSE)</f>
        <v/>
      </c>
      <c r="S60" s="59">
        <f>IF(ISBLANK(J60),,IF(ISBLANK(L60),N60-K60,M60-K60))</f>
        <v/>
      </c>
      <c r="T60" s="61">
        <f>IF(ISBLANK(J60),,ROUNDDOWN(T$1/K60,0))</f>
        <v/>
      </c>
      <c r="U60" s="62" t="n"/>
      <c r="V60" s="57" t="n"/>
      <c r="W60" s="57" t="n"/>
      <c r="X60" s="57" t="n"/>
      <c r="Y60" s="57" t="n"/>
      <c r="Z60" s="57" t="n"/>
      <c r="AA60" s="63" t="n"/>
    </row>
    <row r="61" hidden="1" ht="13.5" customHeight="1" s="56">
      <c r="A61" s="18" t="inlineStr">
        <is>
          <t>CDNS</t>
        </is>
      </c>
      <c r="B61" s="19" t="n">
        <v>11</v>
      </c>
      <c r="C61" s="20" t="n">
        <v>95</v>
      </c>
      <c r="D61" s="20" t="n">
        <v>45.455</v>
      </c>
      <c r="E61" s="20" t="n">
        <v>1.57</v>
      </c>
      <c r="F61" s="67" t="n">
        <v>45161</v>
      </c>
      <c r="G61" s="66" t="n"/>
      <c r="H61" s="67" t="n">
        <v>45177</v>
      </c>
      <c r="I61" s="66" t="n"/>
      <c r="J61" s="28">
        <f>IF(ISBLANK(F61:G61),,IF(COUNTA(F61)=0,G61,F61))</f>
        <v/>
      </c>
      <c r="K61" s="6">
        <f>IFERROR(__xludf.DUMMYFUNCTION("if(isblank(J61),,index(googlefinance(A61,K$2,J61-1),2,2))"),225.51)</f>
        <v/>
      </c>
      <c r="L61" s="29">
        <f>IF(ISBLANK(H61:I61),,IF(COUNTA(H61)=0,I61,H61))</f>
        <v/>
      </c>
      <c r="M61" s="7">
        <f>IFERROR(__xludf.DUMMYFUNCTION("if(isblank(L61),, index(googlefinance(A61,M$2,L61-1),2,2))"),241.46)</f>
        <v/>
      </c>
      <c r="N61" s="8">
        <f>IFERROR(__xludf.DUMMYFUNCTION("if(isblank(A61),,googlefinance(A61))"),298.44)</f>
        <v/>
      </c>
      <c r="O61" s="59">
        <f>IF(ISBLANK(J61),,IF(ISBLANK(L61),"Ongoing","Completed"))</f>
        <v/>
      </c>
      <c r="P61" s="68">
        <f>IF(ISBLANK(A61),,IF(AND(COUNTA(F61)=1,S61&gt;0),"Profit",IF(AND(COUNTA(G61)=1,S61&lt;0),"Profit","Loss")))</f>
        <v/>
      </c>
      <c r="Q61" s="26">
        <f>IF(ISBLANK(T61),,IF(P61="Profit",IF(S61&lt;0,T61*-S61,T61*S61),IF(S61&gt;0,T61*-S61,T61*S61)))</f>
        <v/>
      </c>
      <c r="R61" s="59">
        <f>IF($Q61&gt;0, TRUE, FALSE)</f>
        <v/>
      </c>
      <c r="S61" s="59">
        <f>IF(ISBLANK(J61),,IF(ISBLANK(L61),N61-K61,M61-K61))</f>
        <v/>
      </c>
      <c r="T61" s="61">
        <f>IF(ISBLANK(J61),,ROUNDDOWN(T$1/K61,0))</f>
        <v/>
      </c>
      <c r="U61" s="62" t="n"/>
      <c r="V61" s="57" t="n"/>
      <c r="W61" s="57" t="n"/>
      <c r="X61" s="57" t="n"/>
      <c r="Y61" s="57" t="n"/>
      <c r="Z61" s="57" t="n"/>
      <c r="AA61" s="63" t="n"/>
    </row>
    <row r="62" hidden="1" ht="13.5" customHeight="1" s="56">
      <c r="A62" s="18" t="inlineStr">
        <is>
          <t>ANET</t>
        </is>
      </c>
      <c r="B62" s="19" t="n">
        <v>16</v>
      </c>
      <c r="C62" s="20" t="n">
        <v>393.195</v>
      </c>
      <c r="D62" s="20" t="n">
        <v>50</v>
      </c>
      <c r="E62" s="20" t="n">
        <v>2.532</v>
      </c>
      <c r="F62" s="66" t="n"/>
      <c r="G62" s="67" t="n">
        <v>45162</v>
      </c>
      <c r="H62" s="66" t="n"/>
      <c r="I62" s="67" t="n">
        <v>45167</v>
      </c>
      <c r="J62" s="23">
        <f>IF(ISBLANK(F62:G62),,IF(COUNTA(F62)=0,G62,F62))</f>
        <v/>
      </c>
      <c r="K62" s="6">
        <f>IFERROR(__xludf.DUMMYFUNCTION("if(isblank(J62),,index(googlefinance(A62,K$2,J62-1),2,2))"),189.83)</f>
        <v/>
      </c>
      <c r="L62" s="24">
        <f>IF(ISBLANK(H62:I62),,IF(COUNTA(H62)=0,I62,H62))</f>
        <v/>
      </c>
      <c r="M62" s="7">
        <f>IFERROR(__xludf.DUMMYFUNCTION("if(isblank(L62),, index(googlefinance(A62,M$2,L62-1),2,2))"),181.96)</f>
        <v/>
      </c>
      <c r="N62" s="8">
        <f>IFERROR(__xludf.DUMMYFUNCTION("if(isblank(A62),,googlefinance(A62))"),277.73)</f>
        <v/>
      </c>
      <c r="O62" s="59">
        <f>IF(ISBLANK(J62),,IF(ISBLANK(L62),"Ongoing","Completed"))</f>
        <v/>
      </c>
      <c r="P62" s="68">
        <f>IF(ISBLANK(A62),,IF(AND(COUNTA(F62)=1,S62&gt;0),"Profit",IF(AND(COUNTA(G62)=1,S62&lt;0),"Profit","Loss")))</f>
        <v/>
      </c>
      <c r="Q62" s="26">
        <f>IF(ISBLANK(T62),,IF(P62="Profit",IF(S62&lt;0,T62*-S62,T62*S62),IF(S62&gt;0,T62*-S62,T62*S62)))</f>
        <v/>
      </c>
      <c r="R62" s="59">
        <f>IF($Q62&gt;0, TRUE, FALSE)</f>
        <v/>
      </c>
      <c r="S62" s="59">
        <f>IF(ISBLANK(J62),,IF(ISBLANK(L62),N62-K62,M62-K62))</f>
        <v/>
      </c>
      <c r="T62" s="61">
        <f>IF(ISBLANK(J62),,ROUNDDOWN(T$1/K62,0))</f>
        <v/>
      </c>
      <c r="U62" s="62" t="n"/>
      <c r="V62" s="57" t="n"/>
      <c r="W62" s="57" t="n"/>
      <c r="X62" s="57" t="n"/>
      <c r="Y62" s="57" t="n"/>
      <c r="Z62" s="57" t="n"/>
      <c r="AA62" s="63" t="n"/>
    </row>
    <row r="63" hidden="1" ht="13.5" customHeight="1" s="56">
      <c r="A63" s="18" t="inlineStr">
        <is>
          <t>PM</t>
        </is>
      </c>
      <c r="B63" s="19" t="n">
        <v>11</v>
      </c>
      <c r="C63" s="20" t="n">
        <v>126.36</v>
      </c>
      <c r="D63" s="20" t="n">
        <v>36.364</v>
      </c>
      <c r="E63" s="20" t="n">
        <v>2.108</v>
      </c>
      <c r="F63" s="67" t="n">
        <v>45163</v>
      </c>
      <c r="G63" s="66" t="n"/>
      <c r="H63" s="67" t="n">
        <v>45174</v>
      </c>
      <c r="I63" s="66" t="n"/>
      <c r="J63" s="28">
        <f>IF(ISBLANK(F63:G63),,IF(COUNTA(F63)=0,G63,F63))</f>
        <v/>
      </c>
      <c r="K63" s="6">
        <f>IFERROR(__xludf.DUMMYFUNCTION("if(isblank(J63),,index(googlefinance(A63,K$2,J63-1),2,2))"),94.08)</f>
        <v/>
      </c>
      <c r="L63" s="29">
        <f>IF(ISBLANK(H63:I63),,IF(COUNTA(H63)=0,I63,H63))</f>
        <v/>
      </c>
      <c r="M63" s="7">
        <f>IFERROR(__xludf.DUMMYFUNCTION("if(isblank(L63),, index(googlefinance(A63,M$2,L63-1),2,2))"),94.51)</f>
        <v/>
      </c>
      <c r="N63" s="8">
        <f>IFERROR(__xludf.DUMMYFUNCTION("if(isblank(A63),,googlefinance(A63))"),94.27)</f>
        <v/>
      </c>
      <c r="O63" s="59">
        <f>IF(ISBLANK(J63),,IF(ISBLANK(L63),"Ongoing","Completed"))</f>
        <v/>
      </c>
      <c r="P63" s="68">
        <f>IF(ISBLANK(A63),,IF(AND(COUNTA(F63)=1,S63&gt;0),"Profit",IF(AND(COUNTA(G63)=1,S63&lt;0),"Profit","Loss")))</f>
        <v/>
      </c>
      <c r="Q63" s="26">
        <f>IF(ISBLANK(T63),,IF(P63="Profit",IF(S63&lt;0,T63*-S63,T63*S63),IF(S63&gt;0,T63*-S63,T63*S63)))</f>
        <v/>
      </c>
      <c r="R63" s="59">
        <f>IF($Q63&gt;0, TRUE, FALSE)</f>
        <v/>
      </c>
      <c r="S63" s="59">
        <f>IF(ISBLANK(J63),,IF(ISBLANK(L63),N63-K63,M63-K63))</f>
        <v/>
      </c>
      <c r="T63" s="61">
        <f>IF(ISBLANK(J63),,ROUNDDOWN(T$1/K63,0))</f>
        <v/>
      </c>
      <c r="U63" s="62" t="n"/>
      <c r="V63" s="57" t="n"/>
      <c r="W63" s="57" t="n"/>
      <c r="X63" s="57" t="n"/>
      <c r="Y63" s="57" t="n"/>
      <c r="Z63" s="57" t="n"/>
      <c r="AA63" s="63" t="n"/>
    </row>
    <row r="64" hidden="1" ht="13.5" customHeight="1" s="56">
      <c r="A64" s="18" t="inlineStr">
        <is>
          <t>CAH</t>
        </is>
      </c>
      <c r="B64" s="19" t="n">
        <v>13</v>
      </c>
      <c r="C64" s="20" t="n">
        <v>191.58</v>
      </c>
      <c r="D64" s="20" t="n">
        <v>30.769</v>
      </c>
      <c r="E64" s="20" t="n">
        <v>2.184</v>
      </c>
      <c r="F64" s="67" t="n">
        <v>45166</v>
      </c>
      <c r="G64" s="66" t="n"/>
      <c r="H64" s="67" t="n">
        <v>45169</v>
      </c>
      <c r="I64" s="66" t="n"/>
      <c r="J64" s="28">
        <f>IF(ISBLANK(F64:G64),,IF(COUNTA(F64)=0,G64,F64))</f>
        <v/>
      </c>
      <c r="K64" s="6">
        <f>IFERROR(__xludf.DUMMYFUNCTION("if(isblank(J64),,index(googlefinance(A64,K$2,J64-1),2,2))"),89.74)</f>
        <v/>
      </c>
      <c r="L64" s="29">
        <f>IF(ISBLANK(H64:I64),,IF(COUNTA(H64)=0,I64,H64))</f>
        <v/>
      </c>
      <c r="M64" s="7">
        <f>IFERROR(__xludf.DUMMYFUNCTION("if(isblank(L64),, index(googlefinance(A64,M$2,L64-1),2,2))"),88.04)</f>
        <v/>
      </c>
      <c r="N64" s="8">
        <f>IFERROR(__xludf.DUMMYFUNCTION("if(isblank(A64),,googlefinance(A64))"),110.61)</f>
        <v/>
      </c>
      <c r="O64" s="59">
        <f>IF(ISBLANK(J64),,IF(ISBLANK(L64),"Ongoing","Completed"))</f>
        <v/>
      </c>
      <c r="P64" s="70">
        <f>IF(ISBLANK(A64),,IF(AND(COUNTA(F64)=1,S64&gt;0),"Profit",IF(AND(COUNTA(G64)=1,S64&lt;0),"Profit","Loss")))</f>
        <v/>
      </c>
      <c r="Q64" s="31">
        <f>IF(ISBLANK(T64),,IF(P64="Profit",IF(S64&lt;0,T64*-S64,T64*S64),IF(S64&gt;0,T64*-S64,T64*S64)))</f>
        <v/>
      </c>
      <c r="R64" s="59">
        <f>IF($Q64&gt;0, TRUE, FALSE)</f>
        <v/>
      </c>
      <c r="S64" s="59">
        <f>IF(ISBLANK(J64),,IF(ISBLANK(L64),N64-K64,M64-K64))</f>
        <v/>
      </c>
      <c r="T64" s="61">
        <f>IF(ISBLANK(J64),,ROUNDDOWN(T$1/K64,0))</f>
        <v/>
      </c>
      <c r="U64" s="62" t="n"/>
      <c r="V64" s="57" t="n"/>
      <c r="W64" s="57" t="n"/>
      <c r="X64" s="57" t="n"/>
      <c r="Y64" s="57" t="n"/>
      <c r="Z64" s="57" t="n"/>
      <c r="AA64" s="63" t="n"/>
    </row>
    <row r="65" hidden="1" ht="13.5" customHeight="1" s="56">
      <c r="A65" s="18" t="inlineStr">
        <is>
          <t>CHD</t>
        </is>
      </c>
      <c r="B65" s="19" t="n">
        <v>7</v>
      </c>
      <c r="C65" s="20" t="n">
        <v>78.95999999999999</v>
      </c>
      <c r="D65" s="20" t="n">
        <v>42.857</v>
      </c>
      <c r="E65" s="20" t="n">
        <v>2.664</v>
      </c>
      <c r="F65" s="67" t="n">
        <v>45166</v>
      </c>
      <c r="G65" s="66" t="n"/>
      <c r="H65" s="67" t="n">
        <v>45175</v>
      </c>
      <c r="I65" s="66" t="n"/>
      <c r="J65" s="28">
        <f>IF(ISBLANK(F65:G65),,IF(COUNTA(F65)=0,G65,F65))</f>
        <v/>
      </c>
      <c r="K65" s="6">
        <f>IFERROR(__xludf.DUMMYFUNCTION("if(isblank(J65),,index(googlefinance(A65,K$2,J65-1),2,2))"),94.44)</f>
        <v/>
      </c>
      <c r="L65" s="29">
        <f>IF(ISBLANK(H65:I65),,IF(COUNTA(H65)=0,I65,H65))</f>
        <v/>
      </c>
      <c r="M65" s="7">
        <f>IFERROR(__xludf.DUMMYFUNCTION("if(isblank(L65),, index(googlefinance(A65,M$2,L65-1),2,2))"),95.17)</f>
        <v/>
      </c>
      <c r="N65" s="8">
        <f>IFERROR(__xludf.DUMMYFUNCTION("if(isblank(A65),,googlefinance(A65))"),104.34)</f>
        <v/>
      </c>
      <c r="O65" s="59">
        <f>IF(ISBLANK(J65),,IF(ISBLANK(L65),"Ongoing","Completed"))</f>
        <v/>
      </c>
      <c r="P65" s="68">
        <f>IF(ISBLANK(A65),,IF(AND(COUNTA(F65)=1,S65&gt;0),"Profit",IF(AND(COUNTA(G65)=1,S65&lt;0),"Profit","Loss")))</f>
        <v/>
      </c>
      <c r="Q65" s="26">
        <f>IF(ISBLANK(T65),,IF(P65="Profit",IF(S65&lt;0,T65*-S65,T65*S65),IF(S65&gt;0,T65*-S65,T65*S65)))</f>
        <v/>
      </c>
      <c r="R65" s="59">
        <f>IF($Q65&gt;0, TRUE, FALSE)</f>
        <v/>
      </c>
      <c r="S65" s="59">
        <f>IF(ISBLANK(J65),,IF(ISBLANK(L65),N65-K65,M65-K65))</f>
        <v/>
      </c>
      <c r="T65" s="61">
        <f>IF(ISBLANK(J65),,ROUNDDOWN(T$1/K65,0))</f>
        <v/>
      </c>
      <c r="U65" s="62" t="n"/>
      <c r="V65" s="57" t="n"/>
      <c r="W65" s="57" t="n"/>
      <c r="X65" s="57" t="n"/>
      <c r="Y65" s="57" t="n"/>
      <c r="Z65" s="57" t="n"/>
      <c r="AA65" s="63" t="n"/>
    </row>
    <row r="66" hidden="1" ht="13.5" customHeight="1" s="56">
      <c r="A66" s="18" t="inlineStr">
        <is>
          <t>MO</t>
        </is>
      </c>
      <c r="B66" s="19" t="n">
        <v>10</v>
      </c>
      <c r="C66" s="20" t="n">
        <v>111.25</v>
      </c>
      <c r="D66" s="20" t="n">
        <v>50</v>
      </c>
      <c r="E66" s="20" t="n">
        <v>2.119</v>
      </c>
      <c r="F66" s="67" t="n">
        <v>45166</v>
      </c>
      <c r="G66" s="66" t="n"/>
      <c r="H66" s="67" t="n">
        <v>45175</v>
      </c>
      <c r="I66" s="66" t="n"/>
      <c r="J66" s="28">
        <f>IF(ISBLANK(F66:G66),,IF(COUNTA(F66)=0,G66,F66))</f>
        <v/>
      </c>
      <c r="K66" s="6">
        <f>IFERROR(__xludf.DUMMYFUNCTION("if(isblank(J66),,index(googlefinance(A66,K$2,J66-1),2,2))"),43.97)</f>
        <v/>
      </c>
      <c r="L66" s="29">
        <f>IF(ISBLANK(H66:I66),,IF(COUNTA(H66)=0,I66,H66))</f>
        <v/>
      </c>
      <c r="M66" s="7">
        <f>IFERROR(__xludf.DUMMYFUNCTION("if(isblank(L66),, index(googlefinance(A66,M$2,L66-1),2,2))"),44.09)</f>
        <v/>
      </c>
      <c r="N66" s="8">
        <f>IFERROR(__xludf.DUMMYFUNCTION("if(isblank(A66),,googlefinance(A66))"),43.87)</f>
        <v/>
      </c>
      <c r="O66" s="59">
        <f>IF(ISBLANK(J66),,IF(ISBLANK(L66),"Ongoing","Completed"))</f>
        <v/>
      </c>
      <c r="P66" s="68">
        <f>IF(ISBLANK(A66),,IF(AND(COUNTA(F66)=1,S66&gt;0),"Profit",IF(AND(COUNTA(G66)=1,S66&lt;0),"Profit","Loss")))</f>
        <v/>
      </c>
      <c r="Q66" s="26">
        <f>IF(ISBLANK(T66),,IF(P66="Profit",IF(S66&lt;0,T66*-S66,T66*S66),IF(S66&gt;0,T66*-S66,T66*S66)))</f>
        <v/>
      </c>
      <c r="R66" s="59">
        <f>IF($Q66&gt;0, TRUE, FALSE)</f>
        <v/>
      </c>
      <c r="S66" s="59">
        <f>IF(ISBLANK(J66),,IF(ISBLANK(L66),N66-K66,M66-K66))</f>
        <v/>
      </c>
      <c r="T66" s="61">
        <f>IF(ISBLANK(J66),,ROUNDDOWN(T$1/K66,0))</f>
        <v/>
      </c>
      <c r="U66" s="62" t="n"/>
      <c r="V66" s="57" t="n"/>
      <c r="W66" s="57" t="n"/>
      <c r="X66" s="57" t="n"/>
      <c r="Y66" s="57" t="n"/>
      <c r="Z66" s="57" t="n"/>
      <c r="AA66" s="63" t="n"/>
    </row>
    <row r="67" hidden="1" ht="13.5" customHeight="1" s="56">
      <c r="A67" s="18" t="inlineStr">
        <is>
          <t>NKE</t>
        </is>
      </c>
      <c r="B67" s="19" t="n">
        <v>9</v>
      </c>
      <c r="C67" s="20" t="n">
        <v>2.05</v>
      </c>
      <c r="D67" s="20" t="n">
        <v>33.333</v>
      </c>
      <c r="E67" s="20" t="n">
        <v>1.016</v>
      </c>
      <c r="F67" s="67" t="n">
        <v>45167</v>
      </c>
      <c r="G67" s="66" t="n"/>
      <c r="H67" s="67" t="n">
        <v>45174</v>
      </c>
      <c r="I67" s="66" t="n"/>
      <c r="J67" s="28">
        <f>IF(ISBLANK(F67:G67),,IF(COUNTA(F67)=0,G67,F67))</f>
        <v/>
      </c>
      <c r="K67" s="6">
        <f>IFERROR(__xludf.DUMMYFUNCTION("if(isblank(J67),,index(googlefinance(A67,K$2,J67-1),2,2))"),99.63)</f>
        <v/>
      </c>
      <c r="L67" s="29">
        <f>IF(ISBLANK(H67:I67),,IF(COUNTA(H67)=0,I67,H67))</f>
        <v/>
      </c>
      <c r="M67" s="7">
        <f>IFERROR(__xludf.DUMMYFUNCTION("if(isblank(L67),, index(googlefinance(A67,M$2,L67-1),2,2))"),100.32)</f>
        <v/>
      </c>
      <c r="N67" s="8">
        <f>IFERROR(__xludf.DUMMYFUNCTION("if(isblank(A67),,googlefinance(A67))"),99.64)</f>
        <v/>
      </c>
      <c r="O67" s="59">
        <f>IF(ISBLANK(J67),,IF(ISBLANK(L67),"Ongoing","Completed"))</f>
        <v/>
      </c>
      <c r="P67" s="68">
        <f>IF(ISBLANK(A67),,IF(AND(COUNTA(F67)=1,S67&gt;0),"Profit",IF(AND(COUNTA(G67)=1,S67&lt;0),"Profit","Loss")))</f>
        <v/>
      </c>
      <c r="Q67" s="26">
        <f>IF(ISBLANK(T67),,IF(P67="Profit",IF(S67&lt;0,T67*-S67,T67*S67),IF(S67&gt;0,T67*-S67,T67*S67)))</f>
        <v/>
      </c>
      <c r="R67" s="59">
        <f>IF($Q67&gt;0, TRUE, FALSE)</f>
        <v/>
      </c>
      <c r="S67" s="59">
        <f>IF(ISBLANK(J67),,IF(ISBLANK(L67),N67-K67,M67-K67))</f>
        <v/>
      </c>
      <c r="T67" s="61">
        <f>IF(ISBLANK(J67),,ROUNDDOWN(T$1/K67,0))</f>
        <v/>
      </c>
      <c r="U67" s="62" t="n"/>
      <c r="V67" s="57" t="n"/>
      <c r="W67" s="57" t="n"/>
      <c r="X67" s="57" t="n"/>
      <c r="Y67" s="57" t="n"/>
      <c r="Z67" s="57" t="n"/>
      <c r="AA67" s="63" t="n"/>
    </row>
    <row r="68" hidden="1" ht="13.5" customHeight="1" s="56">
      <c r="A68" s="18" t="inlineStr">
        <is>
          <t>PEP</t>
        </is>
      </c>
      <c r="B68" s="19" t="n">
        <v>9</v>
      </c>
      <c r="C68" s="20" t="n">
        <v>142.49</v>
      </c>
      <c r="D68" s="20" t="n">
        <v>55.556</v>
      </c>
      <c r="E68" s="20" t="n">
        <v>3.614</v>
      </c>
      <c r="F68" s="67" t="n">
        <v>45167</v>
      </c>
      <c r="G68" s="66" t="n"/>
      <c r="H68" s="67" t="n">
        <v>45169</v>
      </c>
      <c r="I68" s="66" t="n"/>
      <c r="J68" s="28">
        <f>IF(ISBLANK(F68:G68),,IF(COUNTA(F68)=0,G68,F68))</f>
        <v/>
      </c>
      <c r="K68" s="6">
        <f>IFERROR(__xludf.DUMMYFUNCTION("if(isblank(J68),,index(googlefinance(A68,K$2,J68-1),2,2))"),180.25)</f>
        <v/>
      </c>
      <c r="L68" s="29">
        <f>IF(ISBLANK(H68:I68),,IF(COUNTA(H68)=0,I68,H68))</f>
        <v/>
      </c>
      <c r="M68" s="7">
        <f>IFERROR(__xludf.DUMMYFUNCTION("if(isblank(L68),, index(googlefinance(A68,M$2,L68-1),2,2))"),181.08)</f>
        <v/>
      </c>
      <c r="N68" s="8">
        <f>IFERROR(__xludf.DUMMYFUNCTION("if(isblank(A68),,googlefinance(A68))"),164.66)</f>
        <v/>
      </c>
      <c r="O68" s="59">
        <f>IF(ISBLANK(J68),,IF(ISBLANK(L68),"Ongoing","Completed"))</f>
        <v/>
      </c>
      <c r="P68" s="68">
        <f>IF(ISBLANK(A68),,IF(AND(COUNTA(F68)=1,S68&gt;0),"Profit",IF(AND(COUNTA(G68)=1,S68&lt;0),"Profit","Loss")))</f>
        <v/>
      </c>
      <c r="Q68" s="26">
        <f>IF(ISBLANK(T68),,IF(P68="Profit",IF(S68&lt;0,T68*-S68,T68*S68),IF(S68&gt;0,T68*-S68,T68*S68)))</f>
        <v/>
      </c>
      <c r="R68" s="59">
        <f>IF($Q68&gt;0, TRUE, FALSE)</f>
        <v/>
      </c>
      <c r="S68" s="59">
        <f>IF(ISBLANK(J68),,IF(ISBLANK(L68),N68-K68,M68-K68))</f>
        <v/>
      </c>
      <c r="T68" s="61">
        <f>IF(ISBLANK(J68),,ROUNDDOWN(T$1/K68,0))</f>
        <v/>
      </c>
      <c r="U68" s="62" t="n"/>
      <c r="V68" s="57" t="n"/>
      <c r="W68" s="57" t="n"/>
      <c r="X68" s="57" t="n"/>
      <c r="Y68" s="57" t="n"/>
      <c r="Z68" s="57" t="n"/>
      <c r="AA68" s="63" t="n"/>
    </row>
    <row r="69" hidden="1" ht="13.5" customHeight="1" s="56">
      <c r="A69" s="18" t="inlineStr">
        <is>
          <t>RCL</t>
        </is>
      </c>
      <c r="B69" s="19" t="n">
        <v>8</v>
      </c>
      <c r="C69" s="20" t="n">
        <v>246.85</v>
      </c>
      <c r="D69" s="20" t="n">
        <v>25</v>
      </c>
      <c r="E69" s="20" t="n">
        <v>2.629</v>
      </c>
      <c r="F69" s="67" t="n">
        <v>45167</v>
      </c>
      <c r="G69" s="66" t="n"/>
      <c r="H69" s="67" t="n">
        <v>45168</v>
      </c>
      <c r="I69" s="66" t="n"/>
      <c r="J69" s="28">
        <f>IF(ISBLANK(F69:G69),,IF(COUNTA(F69)=0,G69,F69))</f>
        <v/>
      </c>
      <c r="K69" s="6">
        <f>IFERROR(__xludf.DUMMYFUNCTION("if(isblank(J69),,index(googlefinance(A69,K$2,J69-1),2,2))"),98.32)</f>
        <v/>
      </c>
      <c r="L69" s="29">
        <f>IF(ISBLANK(H69:I69),,IF(COUNTA(H69)=0,I69,H69))</f>
        <v/>
      </c>
      <c r="M69" s="7">
        <f>IFERROR(__xludf.DUMMYFUNCTION("if(isblank(L69),, index(googlefinance(A69,M$2,L69-1),2,2))"),100.53)</f>
        <v/>
      </c>
      <c r="N69" s="8">
        <f>IFERROR(__xludf.DUMMYFUNCTION("if(isblank(A69),,googlefinance(A69))"),128.92)</f>
        <v/>
      </c>
      <c r="O69" s="59">
        <f>IF(ISBLANK(J69),,IF(ISBLANK(L69),"Ongoing","Completed"))</f>
        <v/>
      </c>
      <c r="P69" s="68">
        <f>IF(ISBLANK(A69),,IF(AND(COUNTA(F69)=1,S69&gt;0),"Profit",IF(AND(COUNTA(G69)=1,S69&lt;0),"Profit","Loss")))</f>
        <v/>
      </c>
      <c r="Q69" s="26">
        <f>IF(ISBLANK(T69),,IF(P69="Profit",IF(S69&lt;0,T69*-S69,T69*S69),IF(S69&gt;0,T69*-S69,T69*S69)))</f>
        <v/>
      </c>
      <c r="R69" s="59">
        <f>IF($Q69&gt;0, TRUE, FALSE)</f>
        <v/>
      </c>
      <c r="S69" s="59">
        <f>IF(ISBLANK(J69),,IF(ISBLANK(L69),N69-K69,M69-K69))</f>
        <v/>
      </c>
      <c r="T69" s="61">
        <f>IF(ISBLANK(J69),,ROUNDDOWN(T$1/K69,0))</f>
        <v/>
      </c>
      <c r="U69" s="62" t="n"/>
      <c r="V69" s="57" t="n"/>
      <c r="W69" s="57" t="n"/>
      <c r="X69" s="57" t="n"/>
      <c r="Y69" s="57" t="n"/>
      <c r="Z69" s="57" t="n"/>
      <c r="AA69" s="63" t="n"/>
    </row>
    <row r="70" hidden="1" ht="13.5" customHeight="1" s="56">
      <c r="A70" s="18" t="inlineStr">
        <is>
          <t>BEN</t>
        </is>
      </c>
      <c r="B70" s="19" t="n">
        <v>8</v>
      </c>
      <c r="C70" s="20" t="n">
        <v>103.29</v>
      </c>
      <c r="D70" s="20" t="n">
        <v>50</v>
      </c>
      <c r="E70" s="20" t="n">
        <v>1.469</v>
      </c>
      <c r="F70" s="67" t="n">
        <v>45168</v>
      </c>
      <c r="G70" s="66" t="n"/>
      <c r="H70" s="67" t="n">
        <v>45174</v>
      </c>
      <c r="I70" s="66" t="n"/>
      <c r="J70" s="28">
        <f>IF(ISBLANK(F70:G70),,IF(COUNTA(F70)=0,G70,F70))</f>
        <v/>
      </c>
      <c r="K70" s="6">
        <f>IFERROR(__xludf.DUMMYFUNCTION("if(isblank(J70),,index(googlefinance(A70,K$2,J70-1),2,2))"),26.52)</f>
        <v/>
      </c>
      <c r="L70" s="29">
        <f>IF(ISBLANK(H70:I70),,IF(COUNTA(H70)=0,I70,H70))</f>
        <v/>
      </c>
      <c r="M70" s="7">
        <f>IFERROR(__xludf.DUMMYFUNCTION("if(isblank(L70),, index(googlefinance(A70,M$2,L70-1),2,2))"),26.13)</f>
        <v/>
      </c>
      <c r="N70" s="8">
        <f>IFERROR(__xludf.DUMMYFUNCTION("if(isblank(A70),,googlefinance(A70))"),26.9)</f>
        <v/>
      </c>
      <c r="O70" s="59">
        <f>IF(ISBLANK(J70),,IF(ISBLANK(L70),"Ongoing","Completed"))</f>
        <v/>
      </c>
      <c r="P70" s="70">
        <f>IF(ISBLANK(A70),,IF(AND(COUNTA(F70)=1,S70&gt;0),"Profit",IF(AND(COUNTA(G70)=1,S70&lt;0),"Profit","Loss")))</f>
        <v/>
      </c>
      <c r="Q70" s="31">
        <f>IF(ISBLANK(T70),,IF(P70="Profit",IF(S70&lt;0,T70*-S70,T70*S70),IF(S70&gt;0,T70*-S70,T70*S70)))</f>
        <v/>
      </c>
      <c r="R70" s="59">
        <f>IF($Q70&gt;0, TRUE, FALSE)</f>
        <v/>
      </c>
      <c r="S70" s="59">
        <f>IF(ISBLANK(J70),,IF(ISBLANK(L70),N70-K70,M70-K70))</f>
        <v/>
      </c>
      <c r="T70" s="61">
        <f>IF(ISBLANK(J70),,ROUNDDOWN(T$1/K70,0))</f>
        <v/>
      </c>
      <c r="U70" s="62" t="n"/>
      <c r="V70" s="57" t="n"/>
      <c r="W70" s="57" t="n"/>
      <c r="X70" s="57" t="n"/>
      <c r="Y70" s="57" t="n"/>
      <c r="Z70" s="57" t="n"/>
      <c r="AA70" s="63" t="n"/>
    </row>
    <row r="71" hidden="1" ht="13.5" customHeight="1" s="56">
      <c r="A71" s="18" t="inlineStr">
        <is>
          <t>FIS</t>
        </is>
      </c>
      <c r="B71" s="19" t="n">
        <v>9</v>
      </c>
      <c r="C71" s="20" t="n">
        <v>2.8</v>
      </c>
      <c r="D71" s="20" t="n">
        <v>22.222</v>
      </c>
      <c r="E71" s="20" t="n">
        <v>1.023</v>
      </c>
      <c r="F71" s="67" t="n">
        <v>45168</v>
      </c>
      <c r="G71" s="66" t="n"/>
      <c r="H71" s="67" t="n">
        <v>45174</v>
      </c>
      <c r="I71" s="66" t="n"/>
      <c r="J71" s="28">
        <f>IF(ISBLANK(F71:G71),,IF(COUNTA(F71)=0,G71,F71))</f>
        <v/>
      </c>
      <c r="K71" s="6">
        <f>IFERROR(__xludf.DUMMYFUNCTION("if(isblank(J71),,index(googlefinance(A71,K$2,J71-1),2,2))"),55.72)</f>
        <v/>
      </c>
      <c r="L71" s="29">
        <f>IF(ISBLANK(H71:I71),,IF(COUNTA(H71)=0,I71,H71))</f>
        <v/>
      </c>
      <c r="M71" s="7">
        <f>IFERROR(__xludf.DUMMYFUNCTION("if(isblank(L71),, index(googlefinance(A71,M$2,L71-1),2,2))"),55.64)</f>
        <v/>
      </c>
      <c r="N71" s="8">
        <f>IFERROR(__xludf.DUMMYFUNCTION("if(isblank(A71),,googlefinance(A71))"),69.12)</f>
        <v/>
      </c>
      <c r="O71" s="59">
        <f>IF(ISBLANK(J71),,IF(ISBLANK(L71),"Ongoing","Completed"))</f>
        <v/>
      </c>
      <c r="P71" s="70">
        <f>IF(ISBLANK(A71),,IF(AND(COUNTA(F71)=1,S71&gt;0),"Profit",IF(AND(COUNTA(G71)=1,S71&lt;0),"Profit","Loss")))</f>
        <v/>
      </c>
      <c r="Q71" s="31">
        <f>IF(ISBLANK(T71),,IF(P71="Profit",IF(S71&lt;0,T71*-S71,T71*S71),IF(S71&gt;0,T71*-S71,T71*S71)))</f>
        <v/>
      </c>
      <c r="R71" s="59">
        <f>IF($Q71&gt;0, TRUE, FALSE)</f>
        <v/>
      </c>
      <c r="S71" s="59">
        <f>IF(ISBLANK(J71),,IF(ISBLANK(L71),N71-K71,M71-K71))</f>
        <v/>
      </c>
      <c r="T71" s="61">
        <f>IF(ISBLANK(J71),,ROUNDDOWN(T$1/K71,0))</f>
        <v/>
      </c>
      <c r="U71" s="62" t="n"/>
      <c r="V71" s="57" t="n"/>
      <c r="W71" s="57" t="n"/>
      <c r="X71" s="57" t="n"/>
      <c r="Y71" s="57" t="n"/>
      <c r="Z71" s="57" t="n"/>
      <c r="AA71" s="63" t="n"/>
    </row>
    <row r="72" hidden="1" ht="13.5" customHeight="1" s="56">
      <c r="A72" s="18" t="inlineStr">
        <is>
          <t>BBY</t>
        </is>
      </c>
      <c r="B72" s="19" t="n">
        <v>11</v>
      </c>
      <c r="C72" s="20" t="n">
        <v>229.87</v>
      </c>
      <c r="D72" s="20" t="n">
        <v>54.545</v>
      </c>
      <c r="E72" s="20" t="n">
        <v>2.3</v>
      </c>
      <c r="F72" s="67" t="n">
        <v>45169</v>
      </c>
      <c r="G72" s="66" t="n"/>
      <c r="H72" s="67" t="n">
        <v>45174</v>
      </c>
      <c r="I72" s="66" t="n"/>
      <c r="J72" s="28">
        <f>IF(ISBLANK(F72:G72),,IF(COUNTA(F72)=0,G72,F72))</f>
        <v/>
      </c>
      <c r="K72" s="6">
        <f>IFERROR(__xludf.DUMMYFUNCTION("if(isblank(J72),,index(googlefinance(A72,K$2,J72-1),2,2))"),75.93)</f>
        <v/>
      </c>
      <c r="L72" s="29">
        <f>IF(ISBLANK(H72:I72),,IF(COUNTA(H72)=0,I72,H72))</f>
        <v/>
      </c>
      <c r="M72" s="7">
        <f>IFERROR(__xludf.DUMMYFUNCTION("if(isblank(L72),, index(googlefinance(A72,M$2,L72-1),2,2))"),73.95)</f>
        <v/>
      </c>
      <c r="N72" s="8">
        <f>IFERROR(__xludf.DUMMYFUNCTION("if(isblank(A72),,googlefinance(A72))"),78.02)</f>
        <v/>
      </c>
      <c r="O72" s="59">
        <f>IF(ISBLANK(J72),,IF(ISBLANK(L72),"Ongoing","Completed"))</f>
        <v/>
      </c>
      <c r="P72" s="70">
        <f>IF(ISBLANK(A72),,IF(AND(COUNTA(F72)=1,S72&gt;0),"Profit",IF(AND(COUNTA(G72)=1,S72&lt;0),"Profit","Loss")))</f>
        <v/>
      </c>
      <c r="Q72" s="31">
        <f>IF(ISBLANK(T72),,IF(P72="Profit",IF(S72&lt;0,T72*-S72,T72*S72),IF(S72&gt;0,T72*-S72,T72*S72)))</f>
        <v/>
      </c>
      <c r="R72" s="59">
        <f>IF($Q72&gt;0, TRUE, FALSE)</f>
        <v/>
      </c>
      <c r="S72" s="59">
        <f>IF(ISBLANK(J72),,IF(ISBLANK(L72),N72-K72,M72-K72))</f>
        <v/>
      </c>
      <c r="T72" s="61">
        <f>IF(ISBLANK(J72),,ROUNDDOWN(T$1/K72,0))</f>
        <v/>
      </c>
      <c r="U72" s="62" t="n"/>
      <c r="V72" s="57" t="n"/>
      <c r="W72" s="57" t="n"/>
      <c r="X72" s="57" t="n"/>
      <c r="Y72" s="57" t="n"/>
      <c r="Z72" s="57" t="n"/>
      <c r="AA72" s="63" t="n"/>
    </row>
    <row r="73" hidden="1" ht="13.5" customHeight="1" s="56">
      <c r="A73" s="18" t="inlineStr">
        <is>
          <t>LVS</t>
        </is>
      </c>
      <c r="B73" s="19" t="n">
        <v>7</v>
      </c>
      <c r="C73" s="20" t="n">
        <v>157.17</v>
      </c>
      <c r="D73" s="20" t="n">
        <v>57.143</v>
      </c>
      <c r="E73" s="20" t="n">
        <v>1.901</v>
      </c>
      <c r="F73" s="67" t="n">
        <v>45169</v>
      </c>
      <c r="G73" s="66" t="n"/>
      <c r="H73" s="67" t="n">
        <v>45174</v>
      </c>
      <c r="I73" s="66" t="n"/>
      <c r="J73" s="28">
        <f>IF(ISBLANK(F73:G73),,IF(COUNTA(F73)=0,G73,F73))</f>
        <v/>
      </c>
      <c r="K73" s="6">
        <f>IFERROR(__xludf.DUMMYFUNCTION("if(isblank(J73),,index(googlefinance(A73,K$2,J73-1),2,2))"),54.91)</f>
        <v/>
      </c>
      <c r="L73" s="29">
        <f>IF(ISBLANK(H73:I73),,IF(COUNTA(H73)=0,I73,H73))</f>
        <v/>
      </c>
      <c r="M73" s="7">
        <f>IFERROR(__xludf.DUMMYFUNCTION("if(isblank(L73),, index(googlefinance(A73,M$2,L73-1),2,2))"),52.61)</f>
        <v/>
      </c>
      <c r="N73" s="8">
        <f>IFERROR(__xludf.DUMMYFUNCTION("if(isblank(A73),,googlefinance(A73))"),51.03)</f>
        <v/>
      </c>
      <c r="O73" s="59">
        <f>IF(ISBLANK(J73),,IF(ISBLANK(L73),"Ongoing","Completed"))</f>
        <v/>
      </c>
      <c r="P73" s="70">
        <f>IF(ISBLANK(A73),,IF(AND(COUNTA(F73)=1,S73&gt;0),"Profit",IF(AND(COUNTA(G73)=1,S73&lt;0),"Profit","Loss")))</f>
        <v/>
      </c>
      <c r="Q73" s="31">
        <f>IF(ISBLANK(T73),,IF(P73="Profit",IF(S73&lt;0,T73*-S73,T73*S73),IF(S73&gt;0,T73*-S73,T73*S73)))</f>
        <v/>
      </c>
      <c r="R73" s="59">
        <f>IF($Q73&gt;0, TRUE, FALSE)</f>
        <v/>
      </c>
      <c r="S73" s="59">
        <f>IF(ISBLANK(J73),,IF(ISBLANK(L73),N73-K73,M73-K73))</f>
        <v/>
      </c>
      <c r="T73" s="61">
        <f>IF(ISBLANK(J73),,ROUNDDOWN(T$1/K73,0))</f>
        <v/>
      </c>
      <c r="U73" s="62" t="n"/>
      <c r="V73" s="57" t="n"/>
      <c r="W73" s="57" t="n"/>
      <c r="X73" s="57" t="n"/>
      <c r="Y73" s="57" t="n"/>
      <c r="Z73" s="57" t="n"/>
      <c r="AA73" s="63" t="n"/>
    </row>
    <row r="74" hidden="1" ht="13.5" customHeight="1" s="56">
      <c r="A74" s="18" t="inlineStr">
        <is>
          <t>MOH</t>
        </is>
      </c>
      <c r="B74" s="19" t="n">
        <v>8</v>
      </c>
      <c r="C74" s="20" t="n">
        <v>246.79</v>
      </c>
      <c r="D74" s="20" t="n">
        <v>50</v>
      </c>
      <c r="E74" s="20" t="n">
        <v>3.112</v>
      </c>
      <c r="F74" s="66" t="n"/>
      <c r="G74" s="67" t="n">
        <v>45170</v>
      </c>
      <c r="H74" s="66" t="n"/>
      <c r="I74" s="67" t="n">
        <v>45176</v>
      </c>
      <c r="J74" s="23">
        <f>IF(ISBLANK(F74:G74),,IF(COUNTA(F74)=0,G74,F74))</f>
        <v/>
      </c>
      <c r="K74" s="6">
        <f>IFERROR(__xludf.DUMMYFUNCTION("if(isblank(J74),,index(googlefinance(A74,K$2,J74-1),2,2))"),310.12)</f>
        <v/>
      </c>
      <c r="L74" s="24">
        <f>IF(ISBLANK(H74:I74),,IF(COUNTA(H74)=0,I74,H74))</f>
        <v/>
      </c>
      <c r="M74" s="7">
        <f>IFERROR(__xludf.DUMMYFUNCTION("if(isblank(L74),, index(googlefinance(A74,M$2,L74-1),2,2))"),310.82)</f>
        <v/>
      </c>
      <c r="N74" s="8">
        <f>IFERROR(__xludf.DUMMYFUNCTION("if(isblank(A74),,googlefinance(A74))"),404.45)</f>
        <v/>
      </c>
      <c r="O74" s="59">
        <f>IF(ISBLANK(J74),,IF(ISBLANK(L74),"Ongoing","Completed"))</f>
        <v/>
      </c>
      <c r="P74" s="70">
        <f>IF(ISBLANK(A74),,IF(AND(COUNTA(F74)=1,S74&gt;0),"Profit",IF(AND(COUNTA(G74)=1,S74&lt;0),"Profit","Loss")))</f>
        <v/>
      </c>
      <c r="Q74" s="31">
        <f>IF(ISBLANK(T74),,IF(P74="Profit",IF(S74&lt;0,T74*-S74,T74*S74),IF(S74&gt;0,T74*-S74,T74*S74)))</f>
        <v/>
      </c>
      <c r="R74" s="59">
        <f>IF($Q74&gt;0, TRUE, FALSE)</f>
        <v/>
      </c>
      <c r="S74" s="59">
        <f>IF(ISBLANK(J74),,IF(ISBLANK(L74),N74-K74,M74-K74))</f>
        <v/>
      </c>
      <c r="T74" s="61">
        <f>IF(ISBLANK(J74),,ROUNDDOWN(T$1/K74,0))</f>
        <v/>
      </c>
      <c r="U74" s="62" t="n"/>
      <c r="V74" s="57" t="n"/>
      <c r="W74" s="57" t="n"/>
      <c r="X74" s="57" t="n"/>
      <c r="Y74" s="57" t="n"/>
      <c r="Z74" s="57" t="n"/>
      <c r="AA74" s="63" t="n"/>
    </row>
    <row r="75" hidden="1" ht="13.5" customHeight="1" s="56">
      <c r="A75" s="18" t="inlineStr">
        <is>
          <t>SPG</t>
        </is>
      </c>
      <c r="B75" s="19" t="n">
        <v>13</v>
      </c>
      <c r="C75" s="20" t="n">
        <v>115.86</v>
      </c>
      <c r="D75" s="20" t="n">
        <v>38.462</v>
      </c>
      <c r="E75" s="20" t="n">
        <v>1.435</v>
      </c>
      <c r="F75" s="67" t="n">
        <v>45170</v>
      </c>
      <c r="G75" s="66" t="n"/>
      <c r="H75" s="67" t="n">
        <v>45187</v>
      </c>
      <c r="I75" s="66" t="n"/>
      <c r="J75" s="28">
        <f>IF(ISBLANK(F75:G75),,IF(COUNTA(F75)=0,G75,F75))</f>
        <v/>
      </c>
      <c r="K75" s="6">
        <f>IFERROR(__xludf.DUMMYFUNCTION("if(isblank(J75),,index(googlefinance(A75,K$2,J75-1),2,2))"),113.49)</f>
        <v/>
      </c>
      <c r="L75" s="29">
        <f>IF(ISBLANK(H75:I75),,IF(COUNTA(H75)=0,I75,H75))</f>
        <v/>
      </c>
      <c r="M75" s="7">
        <f>IFERROR(__xludf.DUMMYFUNCTION("if(isblank(L75),, index(googlefinance(A75,M$2,L75-1),2,2))"),114.25)</f>
        <v/>
      </c>
      <c r="N75" s="8">
        <f>IFERROR(__xludf.DUMMYFUNCTION("if(isblank(A75),,googlefinance(A75))"),150.77)</f>
        <v/>
      </c>
      <c r="O75" s="59">
        <f>IF(ISBLANK(J75),,IF(ISBLANK(L75),"Ongoing","Completed"))</f>
        <v/>
      </c>
      <c r="P75" s="68">
        <f>IF(ISBLANK(A75),,IF(AND(COUNTA(F75)=1,S75&gt;0),"Profit",IF(AND(COUNTA(G75)=1,S75&lt;0),"Profit","Loss")))</f>
        <v/>
      </c>
      <c r="Q75" s="26">
        <f>IF(ISBLANK(T75),,IF(P75="Profit",IF(S75&lt;0,T75*-S75,T75*S75),IF(S75&gt;0,T75*-S75,T75*S75)))</f>
        <v/>
      </c>
      <c r="R75" s="59">
        <f>IF($Q75&gt;0, TRUE, FALSE)</f>
        <v/>
      </c>
      <c r="S75" s="59">
        <f>IF(ISBLANK(J75),,IF(ISBLANK(L75),N75-K75,M75-K75))</f>
        <v/>
      </c>
      <c r="T75" s="61">
        <f>IF(ISBLANK(J75),,ROUNDDOWN(T$1/K75,0))</f>
        <v/>
      </c>
      <c r="U75" s="62" t="n"/>
      <c r="V75" s="57" t="n"/>
      <c r="W75" s="57" t="n"/>
      <c r="X75" s="57" t="n"/>
      <c r="Y75" s="57" t="n"/>
      <c r="Z75" s="57" t="n"/>
      <c r="AA75" s="63" t="n"/>
    </row>
    <row r="76" hidden="1" ht="13.5" customHeight="1" s="56">
      <c r="A76" s="18" t="inlineStr">
        <is>
          <t>BG</t>
        </is>
      </c>
      <c r="B76" s="19" t="n">
        <v>4</v>
      </c>
      <c r="C76" s="20" t="n">
        <v>77.25</v>
      </c>
      <c r="D76" s="20" t="n">
        <v>25</v>
      </c>
      <c r="E76" s="20" t="n">
        <v>2.046</v>
      </c>
      <c r="F76" s="66" t="n"/>
      <c r="G76" s="67" t="n">
        <v>45175</v>
      </c>
      <c r="H76" s="66" t="n"/>
      <c r="I76" s="67" t="n">
        <v>45180</v>
      </c>
      <c r="J76" s="23">
        <f>IF(ISBLANK(F76:G76),,IF(COUNTA(F76)=0,G76,F76))</f>
        <v/>
      </c>
      <c r="K76" s="6">
        <f>IFERROR(__xludf.DUMMYFUNCTION("if(isblank(J76),,index(googlefinance(A76,K$2,J76-1),2,2))"),113.09)</f>
        <v/>
      </c>
      <c r="L76" s="24">
        <f>IF(ISBLANK(H76:I76),,IF(COUNTA(H76)=0,I76,H76))</f>
        <v/>
      </c>
      <c r="M76" s="7">
        <f>IFERROR(__xludf.DUMMYFUNCTION("if(isblank(L76),, index(googlefinance(A76,M$2,L76-1),2,2))"),114.87)</f>
        <v/>
      </c>
      <c r="N76" s="8">
        <f>IFERROR(__xludf.DUMMYFUNCTION("if(isblank(A76),,googlefinance(A76))"),95.56)</f>
        <v/>
      </c>
      <c r="O76" s="59">
        <f>IF(ISBLANK(J76),,IF(ISBLANK(L76),"Ongoing","Completed"))</f>
        <v/>
      </c>
      <c r="P76" s="70">
        <f>IF(ISBLANK(A76),,IF(AND(COUNTA(F76)=1,S76&gt;0),"Profit",IF(AND(COUNTA(G76)=1,S76&lt;0),"Profit","Loss")))</f>
        <v/>
      </c>
      <c r="Q76" s="31">
        <f>IF(ISBLANK(T76),,IF(P76="Profit",IF(S76&lt;0,T76*-S76,T76*S76),IF(S76&gt;0,T76*-S76,T76*S76)))</f>
        <v/>
      </c>
      <c r="R76" s="59">
        <f>IF($Q76&gt;0, TRUE, FALSE)</f>
        <v/>
      </c>
      <c r="S76" s="59">
        <f>IF(ISBLANK(J76),,IF(ISBLANK(L76),N76-K76,M76-K76))</f>
        <v/>
      </c>
      <c r="T76" s="61">
        <f>IF(ISBLANK(J76),,ROUNDDOWN(T$1/K76,0))</f>
        <v/>
      </c>
      <c r="U76" s="62" t="n"/>
      <c r="V76" s="57" t="n"/>
      <c r="W76" s="57" t="n"/>
      <c r="X76" s="57" t="n"/>
      <c r="Y76" s="57" t="n"/>
      <c r="Z76" s="57" t="n"/>
      <c r="AA76" s="63" t="n"/>
    </row>
    <row r="77" hidden="1" ht="13.5" customHeight="1" s="56">
      <c r="A77" s="18" t="inlineStr">
        <is>
          <t>ICE</t>
        </is>
      </c>
      <c r="B77" s="19" t="n">
        <v>10</v>
      </c>
      <c r="C77" s="20" t="n">
        <v>345.79</v>
      </c>
      <c r="D77" s="20" t="n">
        <v>50</v>
      </c>
      <c r="E77" s="20" t="n">
        <v>3.902</v>
      </c>
      <c r="F77" s="66" t="n"/>
      <c r="G77" s="67" t="n">
        <v>45175</v>
      </c>
      <c r="H77" s="66" t="n"/>
      <c r="I77" s="67" t="n">
        <v>45181</v>
      </c>
      <c r="J77" s="23">
        <f>IF(ISBLANK(F77:G77),,IF(COUNTA(F77)=0,G77,F77))</f>
        <v/>
      </c>
      <c r="K77" s="6">
        <f>IFERROR(__xludf.DUMMYFUNCTION("if(isblank(J77),,index(googlefinance(A77,K$2,J77-1),2,2))"),114.64)</f>
        <v/>
      </c>
      <c r="L77" s="24">
        <f>IF(ISBLANK(H77:I77),,IF(COUNTA(H77)=0,I77,H77))</f>
        <v/>
      </c>
      <c r="M77" s="7">
        <f>IFERROR(__xludf.DUMMYFUNCTION("if(isblank(L77),, index(googlefinance(A77,M$2,L77-1),2,2))"),115.03)</f>
        <v/>
      </c>
      <c r="N77" s="8">
        <f>IFERROR(__xludf.DUMMYFUNCTION("if(isblank(A77),,googlefinance(A77))"),134.64)</f>
        <v/>
      </c>
      <c r="O77" s="59">
        <f>IF(ISBLANK(J77),,IF(ISBLANK(L77),"Ongoing","Completed"))</f>
        <v/>
      </c>
      <c r="P77" s="70">
        <f>IF(ISBLANK(A77),,IF(AND(COUNTA(F77)=1,S77&gt;0),"Profit",IF(AND(COUNTA(G77)=1,S77&lt;0),"Profit","Loss")))</f>
        <v/>
      </c>
      <c r="Q77" s="31">
        <f>IF(ISBLANK(T77),,IF(P77="Profit",IF(S77&lt;0,T77*-S77,T77*S77),IF(S77&gt;0,T77*-S77,T77*S77)))</f>
        <v/>
      </c>
      <c r="R77" s="59">
        <f>IF($Q77&gt;0, TRUE, FALSE)</f>
        <v/>
      </c>
      <c r="S77" s="59">
        <f>IF(ISBLANK(J77),,IF(ISBLANK(L77),N77-K77,M77-K77))</f>
        <v/>
      </c>
      <c r="T77" s="61">
        <f>IF(ISBLANK(J77),,ROUNDDOWN(T$1/K77,0))</f>
        <v/>
      </c>
      <c r="U77" s="62" t="n"/>
      <c r="V77" s="57" t="n"/>
      <c r="W77" s="57" t="n"/>
      <c r="X77" s="57" t="n"/>
      <c r="Y77" s="57" t="n"/>
      <c r="Z77" s="57" t="n"/>
      <c r="AA77" s="63" t="n"/>
    </row>
    <row r="78" hidden="1" ht="13.5" customHeight="1" s="56">
      <c r="A78" s="18" t="inlineStr">
        <is>
          <t>TDY</t>
        </is>
      </c>
      <c r="B78" s="19" t="n">
        <v>12</v>
      </c>
      <c r="C78" s="20" t="n">
        <v>179.49</v>
      </c>
      <c r="D78" s="20" t="n">
        <v>50</v>
      </c>
      <c r="E78" s="20" t="n">
        <v>2.651</v>
      </c>
      <c r="F78" s="66" t="n"/>
      <c r="G78" s="67" t="n">
        <v>45177</v>
      </c>
      <c r="H78" s="66" t="n"/>
      <c r="I78" s="67" t="n">
        <v>45183</v>
      </c>
      <c r="J78" s="23">
        <f>IF(ISBLANK(F78:G78),,IF(COUNTA(F78)=0,G78,F78))</f>
        <v/>
      </c>
      <c r="K78" s="6">
        <f>IFERROR(__xludf.DUMMYFUNCTION("if(isblank(J78),,index(googlefinance(A78,K$2,J78-1),2,2))"),410.01)</f>
        <v/>
      </c>
      <c r="L78" s="24">
        <f>IF(ISBLANK(H78:I78),,IF(COUNTA(H78)=0,I78,H78))</f>
        <v/>
      </c>
      <c r="M78" s="7">
        <f>IFERROR(__xludf.DUMMYFUNCTION("if(isblank(L78),, index(googlefinance(A78,M$2,L78-1),2,2))"),409.35)</f>
        <v/>
      </c>
      <c r="N78" s="8">
        <f>IFERROR(__xludf.DUMMYFUNCTION("if(isblank(A78),,googlefinance(A78))"),415.12)</f>
        <v/>
      </c>
      <c r="O78" s="59">
        <f>IF(ISBLANK(J78),,IF(ISBLANK(L78),"Ongoing","Completed"))</f>
        <v/>
      </c>
      <c r="P78" s="68">
        <f>IF(ISBLANK(A78),,IF(AND(COUNTA(F78)=1,S78&gt;0),"Profit",IF(AND(COUNTA(G78)=1,S78&lt;0),"Profit","Loss")))</f>
        <v/>
      </c>
      <c r="Q78" s="26">
        <f>IF(ISBLANK(T78),,IF(P78="Profit",IF(S78&lt;0,T78*-S78,T78*S78),IF(S78&gt;0,T78*-S78,T78*S78)))</f>
        <v/>
      </c>
      <c r="R78" s="59">
        <f>IF($Q78&gt;0, TRUE, FALSE)</f>
        <v/>
      </c>
      <c r="S78" s="59">
        <f>IF(ISBLANK(J78),,IF(ISBLANK(L78),N78-K78,M78-K78))</f>
        <v/>
      </c>
      <c r="T78" s="61">
        <f>IF(ISBLANK(J78),,ROUNDDOWN(T$1/K78,0))</f>
        <v/>
      </c>
      <c r="U78" s="62" t="n"/>
      <c r="V78" s="57" t="n"/>
      <c r="W78" s="57" t="n"/>
      <c r="X78" s="57" t="n"/>
      <c r="Y78" s="57" t="n"/>
      <c r="Z78" s="57" t="n"/>
      <c r="AA78" s="63" t="n"/>
    </row>
    <row r="79" hidden="1" ht="13.5" customHeight="1" s="56">
      <c r="A79" s="18" t="inlineStr">
        <is>
          <t>ACN</t>
        </is>
      </c>
      <c r="B79" s="19" t="n">
        <v>9</v>
      </c>
      <c r="C79" s="20" t="n">
        <v>39.09</v>
      </c>
      <c r="D79" s="20" t="n">
        <v>33.333</v>
      </c>
      <c r="E79" s="20" t="n">
        <v>1.157</v>
      </c>
      <c r="F79" s="66" t="n"/>
      <c r="G79" s="67" t="n">
        <v>45181</v>
      </c>
      <c r="H79" s="66" t="n"/>
      <c r="I79" s="67" t="n">
        <v>45194</v>
      </c>
      <c r="J79" s="23">
        <f>IF(ISBLANK(F79:G79),,IF(COUNTA(F79)=0,G79,F79))</f>
        <v/>
      </c>
      <c r="K79" s="6">
        <f>IFERROR(__xludf.DUMMYFUNCTION("if(isblank(J79),,index(googlefinance(A79,K$2,J79-1),2,2))"),325.87)</f>
        <v/>
      </c>
      <c r="L79" s="24">
        <f>IF(ISBLANK(H79:I79),,IF(COUNTA(H79)=0,I79,H79))</f>
        <v/>
      </c>
      <c r="M79" s="7">
        <f>IFERROR(__xludf.DUMMYFUNCTION("if(isblank(L79),, index(googlefinance(A79,M$2,L79-1),2,2))"),316.99)</f>
        <v/>
      </c>
      <c r="N79" s="8">
        <f>IFERROR(__xludf.DUMMYFUNCTION("if(isblank(A79),,googlefinance(A79))"),374.6)</f>
        <v/>
      </c>
      <c r="O79" s="59">
        <f>IF(ISBLANK(J79),,IF(ISBLANK(L79),"Ongoing","Completed"))</f>
        <v/>
      </c>
      <c r="P79" s="68">
        <f>IF(ISBLANK(A79),,IF(AND(COUNTA(F79)=1,S79&gt;0),"Profit",IF(AND(COUNTA(G79)=1,S79&lt;0),"Profit","Loss")))</f>
        <v/>
      </c>
      <c r="Q79" s="26">
        <f>IF(ISBLANK(T79),,IF(P79="Profit",IF(S79&lt;0,T79*-S79,T79*S79),IF(S79&gt;0,T79*-S79,T79*S79)))</f>
        <v/>
      </c>
      <c r="R79" s="59">
        <f>IF($Q79&gt;0, TRUE, FALSE)</f>
        <v/>
      </c>
      <c r="S79" s="59">
        <f>IF(ISBLANK(J79),,IF(ISBLANK(L79),N79-K79,M79-K79))</f>
        <v/>
      </c>
      <c r="T79" s="61">
        <f>IF(ISBLANK(J79),,ROUNDDOWN(T$1/K79,0))</f>
        <v/>
      </c>
      <c r="U79" s="62" t="n"/>
      <c r="V79" s="57" t="n"/>
      <c r="W79" s="57" t="n"/>
      <c r="X79" s="57" t="n"/>
      <c r="Y79" s="57" t="n"/>
      <c r="Z79" s="57" t="n"/>
      <c r="AA79" s="63" t="n"/>
    </row>
    <row r="80" hidden="1" ht="13.5" customHeight="1" s="56">
      <c r="A80" s="18" t="inlineStr">
        <is>
          <t>ADBE</t>
        </is>
      </c>
      <c r="B80" s="19" t="n">
        <v>11</v>
      </c>
      <c r="C80" s="20" t="n">
        <v>75.55</v>
      </c>
      <c r="D80" s="20" t="n">
        <v>36.364</v>
      </c>
      <c r="E80" s="20" t="n">
        <v>1.313</v>
      </c>
      <c r="F80" s="66" t="n"/>
      <c r="G80" s="67" t="n">
        <v>45181</v>
      </c>
      <c r="H80" s="66" t="n"/>
      <c r="I80" s="67" t="n">
        <v>45201</v>
      </c>
      <c r="J80" s="23">
        <f>IF(ISBLANK(F80:G80),,IF(COUNTA(F80)=0,G80,F80))</f>
        <v/>
      </c>
      <c r="K80" s="6">
        <f>IFERROR(__xludf.DUMMYFUNCTION("if(isblank(J80),,index(googlefinance(A80,K$2,J80-1),2,2))"),564.5)</f>
        <v/>
      </c>
      <c r="L80" s="24">
        <f>IF(ISBLANK(H80:I80),,IF(COUNTA(H80)=0,I80,H80))</f>
        <v/>
      </c>
      <c r="M80" s="7">
        <f>IFERROR(__xludf.DUMMYFUNCTION("if(isblank(L80),, index(googlefinance(A80,M$2,L80-1),2,2))"),521.13)</f>
        <v/>
      </c>
      <c r="N80" s="8">
        <f>IFERROR(__xludf.DUMMYFUNCTION("if(isblank(A80),,googlefinance(A80))"),492.46)</f>
        <v/>
      </c>
      <c r="O80" s="59">
        <f>IF(ISBLANK(J80),,IF(ISBLANK(L80),"Ongoing","Completed"))</f>
        <v/>
      </c>
      <c r="P80" s="68">
        <f>IF(ISBLANK(A80),,IF(AND(COUNTA(F80)=1,S80&gt;0),"Profit",IF(AND(COUNTA(G80)=1,S80&lt;0),"Profit","Loss")))</f>
        <v/>
      </c>
      <c r="Q80" s="26">
        <f>IF(ISBLANK(T80),,IF(P80="Profit",IF(S80&lt;0,T80*-S80,T80*S80),IF(S80&gt;0,T80*-S80,T80*S80)))</f>
        <v/>
      </c>
      <c r="R80" s="59">
        <f>IF($Q80&gt;0, TRUE, FALSE)</f>
        <v/>
      </c>
      <c r="S80" s="59">
        <f>IF(ISBLANK(J80),,IF(ISBLANK(L80),N80-K80,M80-K80))</f>
        <v/>
      </c>
      <c r="T80" s="61">
        <f>IF(ISBLANK(J80),,ROUNDDOWN(T$1/K80,0))</f>
        <v/>
      </c>
      <c r="U80" s="62" t="n"/>
      <c r="V80" s="57" t="n"/>
      <c r="W80" s="57" t="n"/>
      <c r="X80" s="57" t="n"/>
      <c r="Y80" s="57" t="n"/>
      <c r="Z80" s="57" t="n"/>
      <c r="AA80" s="63" t="n"/>
    </row>
    <row r="81" hidden="1" ht="13.5" customHeight="1" s="56">
      <c r="A81" s="18" t="inlineStr">
        <is>
          <t>ABNB</t>
        </is>
      </c>
      <c r="B81" s="19" t="n">
        <v>8</v>
      </c>
      <c r="C81" s="20" t="n">
        <v>375.94</v>
      </c>
      <c r="D81" s="20" t="n">
        <v>62.5</v>
      </c>
      <c r="E81" s="20" t="n">
        <v>4.489</v>
      </c>
      <c r="F81" s="67" t="n">
        <v>45181</v>
      </c>
      <c r="G81" s="66" t="n"/>
      <c r="H81" s="67" t="n">
        <v>45189</v>
      </c>
      <c r="I81" s="66" t="n"/>
      <c r="J81" s="28">
        <f>IF(ISBLANK(F81:G81),,IF(COUNTA(F81)=0,G81,F81))</f>
        <v/>
      </c>
      <c r="K81" s="6">
        <f>IFERROR(__xludf.DUMMYFUNCTION("if(isblank(J81),,index(googlefinance(A81,K$2,J81-1),2,2))"),147.33)</f>
        <v/>
      </c>
      <c r="L81" s="29">
        <f>IF(ISBLANK(H81:I81),,IF(COUNTA(H81)=0,I81,H81))</f>
        <v/>
      </c>
      <c r="M81" s="7">
        <f>IFERROR(__xludf.DUMMYFUNCTION("if(isblank(L81),, index(googlefinance(A81,M$2,L81-1),2,2))"),141.85)</f>
        <v/>
      </c>
      <c r="N81" s="8">
        <f>IFERROR(__xludf.DUMMYFUNCTION("if(isblank(A81),,googlefinance(A81))"),160.64)</f>
        <v/>
      </c>
      <c r="O81" s="59">
        <f>IF(ISBLANK(J81),,IF(ISBLANK(L81),"Ongoing","Completed"))</f>
        <v/>
      </c>
      <c r="P81" s="70">
        <f>IF(ISBLANK(A81),,IF(AND(COUNTA(F81)=1,S81&gt;0),"Profit",IF(AND(COUNTA(G81)=1,S81&lt;0),"Profit","Loss")))</f>
        <v/>
      </c>
      <c r="Q81" s="31">
        <f>IF(ISBLANK(T81),,IF(P81="Profit",IF(S81&lt;0,T81*-S81,T81*S81),IF(S81&gt;0,T81*-S81,T81*S81)))</f>
        <v/>
      </c>
      <c r="R81" s="59">
        <f>IF($Q81&gt;0, TRUE, FALSE)</f>
        <v/>
      </c>
      <c r="S81" s="59">
        <f>IF(ISBLANK(J81),,IF(ISBLANK(L81),N81-K81,M81-K81))</f>
        <v/>
      </c>
      <c r="T81" s="61">
        <f>IF(ISBLANK(J81),,ROUNDDOWN(T$1/K81,0))</f>
        <v/>
      </c>
      <c r="U81" s="62" t="n"/>
      <c r="V81" s="57" t="n"/>
      <c r="W81" s="57" t="n"/>
      <c r="X81" s="57" t="n"/>
      <c r="Y81" s="57" t="n"/>
      <c r="Z81" s="57" t="n"/>
      <c r="AA81" s="63" t="n"/>
    </row>
    <row r="82" hidden="1" ht="13.5" customHeight="1" s="56">
      <c r="A82" s="18" t="inlineStr">
        <is>
          <t>UNP</t>
        </is>
      </c>
      <c r="B82" s="19" t="n">
        <v>10</v>
      </c>
      <c r="C82" s="20" t="n">
        <v>150.38</v>
      </c>
      <c r="D82" s="20" t="n">
        <v>30</v>
      </c>
      <c r="E82" s="20" t="n">
        <v>2.201</v>
      </c>
      <c r="F82" s="67" t="n">
        <v>45183</v>
      </c>
      <c r="G82" s="66" t="n"/>
      <c r="H82" s="67" t="n">
        <v>45188</v>
      </c>
      <c r="I82" s="66" t="n"/>
      <c r="J82" s="28">
        <f>IF(ISBLANK(F82:G82),,IF(COUNTA(F82)=0,G82,F82))</f>
        <v/>
      </c>
      <c r="K82" s="6">
        <f>IFERROR(__xludf.DUMMYFUNCTION("if(isblank(J82),,index(googlefinance(A82,K$2,J82-1),2,2))"),212.13)</f>
        <v/>
      </c>
      <c r="L82" s="29">
        <f>IF(ISBLANK(H82:I82),,IF(COUNTA(H82)=0,I82,H82))</f>
        <v/>
      </c>
      <c r="M82" s="7">
        <f>IFERROR(__xludf.DUMMYFUNCTION("if(isblank(L82),, index(googlefinance(A82,M$2,L82-1),2,2))"),213.15)</f>
        <v/>
      </c>
      <c r="N82" s="8">
        <f>IFERROR(__xludf.DUMMYFUNCTION("if(isblank(A82),,googlefinance(A82))"),244.13)</f>
        <v/>
      </c>
      <c r="O82" s="59">
        <f>IF(ISBLANK(J82),,IF(ISBLANK(L82),"Ongoing","Completed"))</f>
        <v/>
      </c>
      <c r="P82" s="68">
        <f>IF(ISBLANK(A82),,IF(AND(COUNTA(F82)=1,S82&gt;0),"Profit",IF(AND(COUNTA(G82)=1,S82&lt;0),"Profit","Loss")))</f>
        <v/>
      </c>
      <c r="Q82" s="26">
        <f>IF(ISBLANK(T82),,IF(P82="Profit",IF(S82&lt;0,T82*-S82,T82*S82),IF(S82&gt;0,T82*-S82,T82*S82)))</f>
        <v/>
      </c>
      <c r="R82" s="59">
        <f>IF($Q82&gt;0, TRUE, FALSE)</f>
        <v/>
      </c>
      <c r="S82" s="59">
        <f>IF(ISBLANK(J82),,IF(ISBLANK(L82),N82-K82,M82-K82))</f>
        <v/>
      </c>
      <c r="T82" s="61">
        <f>IF(ISBLANK(J82),,ROUNDDOWN(T$1/K82,0))</f>
        <v/>
      </c>
      <c r="U82" s="62" t="n"/>
      <c r="V82" s="57" t="n"/>
      <c r="W82" s="57" t="n"/>
      <c r="X82" s="57" t="n"/>
      <c r="Y82" s="57" t="n"/>
      <c r="Z82" s="57" t="n"/>
      <c r="AA82" s="63" t="n"/>
    </row>
    <row r="83" hidden="1" ht="13.5" customHeight="1" s="56">
      <c r="A83" s="18" t="inlineStr">
        <is>
          <t>SBAC</t>
        </is>
      </c>
      <c r="B83" s="19" t="n">
        <v>11</v>
      </c>
      <c r="C83" s="20" t="n">
        <v>48.77</v>
      </c>
      <c r="D83" s="20" t="n">
        <v>45.455</v>
      </c>
      <c r="E83" s="20" t="n">
        <v>1.267</v>
      </c>
      <c r="F83" s="67" t="n">
        <v>45183</v>
      </c>
      <c r="G83" s="66" t="n"/>
      <c r="H83" s="67" t="n">
        <v>45186</v>
      </c>
      <c r="I83" s="66" t="n"/>
      <c r="J83" s="28">
        <f>IF(ISBLANK(F83:G83),,IF(COUNTA(F83)=0,G83,F83))</f>
        <v/>
      </c>
      <c r="K83" s="6">
        <f>IFERROR(__xludf.DUMMYFUNCTION("if(isblank(J83),,index(googlefinance(A83,K$2,J83-1),2,2))"),212.33)</f>
        <v/>
      </c>
      <c r="L83" s="29">
        <f>IF(ISBLANK(H83:I83),,IF(COUNTA(H83)=0,I83,H83))</f>
        <v/>
      </c>
      <c r="M83" s="7">
        <f>IFERROR(__xludf.DUMMYFUNCTION("if(isblank(L83),, index(googlefinance(A83,M$2,L83-1),2,2))"),215.1)</f>
        <v/>
      </c>
      <c r="N83" s="8">
        <f>IFERROR(__xludf.DUMMYFUNCTION("if(isblank(A83),,googlefinance(A83))"),215.48)</f>
        <v/>
      </c>
      <c r="O83" s="59">
        <f>IF(ISBLANK(J83),,IF(ISBLANK(L83),"Ongoing","Completed"))</f>
        <v/>
      </c>
      <c r="P83" s="68">
        <f>IF(ISBLANK(A83),,IF(AND(COUNTA(F83)=1,S83&gt;0),"Profit",IF(AND(COUNTA(G83)=1,S83&lt;0),"Profit","Loss")))</f>
        <v/>
      </c>
      <c r="Q83" s="26">
        <f>IF(ISBLANK(T83),,IF(P83="Profit",IF(S83&lt;0,T83*-S83,T83*S83),IF(S83&gt;0,T83*-S83,T83*S83)))</f>
        <v/>
      </c>
      <c r="R83" s="59">
        <f>IF($Q83&gt;0, TRUE, FALSE)</f>
        <v/>
      </c>
      <c r="S83" s="59">
        <f>IF(ISBLANK(J83),,IF(ISBLANK(L83),N83-K83,M83-K83))</f>
        <v/>
      </c>
      <c r="T83" s="61">
        <f>IF(ISBLANK(J83),,ROUNDDOWN(T$1/K83,0))</f>
        <v/>
      </c>
      <c r="U83" s="62" t="n"/>
      <c r="V83" s="57" t="n"/>
      <c r="W83" s="57" t="n"/>
      <c r="X83" s="57" t="n"/>
      <c r="Y83" s="57" t="n"/>
      <c r="Z83" s="57" t="n"/>
      <c r="AA83" s="63" t="n"/>
    </row>
    <row r="84" hidden="1" ht="13.5" customHeight="1" s="56">
      <c r="A84" s="18" t="inlineStr">
        <is>
          <t>INTC</t>
        </is>
      </c>
      <c r="B84" s="19" t="n">
        <v>10</v>
      </c>
      <c r="C84" s="20" t="n">
        <v>178.26</v>
      </c>
      <c r="D84" s="20" t="n">
        <v>40</v>
      </c>
      <c r="E84" s="20" t="n">
        <v>1.979</v>
      </c>
      <c r="F84" s="66" t="n"/>
      <c r="G84" s="67" t="n">
        <v>45184</v>
      </c>
      <c r="H84" s="66" t="n"/>
      <c r="I84" s="67" t="n">
        <v>45198</v>
      </c>
      <c r="J84" s="23">
        <f>IF(ISBLANK(F84:G84),,IF(COUNTA(F84)=0,G84,F84))</f>
        <v/>
      </c>
      <c r="K84" s="6">
        <f>IFERROR(__xludf.DUMMYFUNCTION("if(isblank(J84),,index(googlefinance(A84,K$2,J84-1),2,2))"),38.67)</f>
        <v/>
      </c>
      <c r="L84" s="24">
        <f>IF(ISBLANK(H84:I84),,IF(COUNTA(H84)=0,I84,H84))</f>
        <v/>
      </c>
      <c r="M84" s="7">
        <f>IFERROR(__xludf.DUMMYFUNCTION("if(isblank(L84),, index(googlefinance(A84,M$2,L84-1),2,2))"),35.18)</f>
        <v/>
      </c>
      <c r="N84" s="8">
        <f>IFERROR(__xludf.DUMMYFUNCTION("if(isblank(A84),,googlefinance(A84))"),42.64)</f>
        <v/>
      </c>
      <c r="O84" s="59">
        <f>IF(ISBLANK(J84),,IF(ISBLANK(L84),"Ongoing","Completed"))</f>
        <v/>
      </c>
      <c r="P84" s="68">
        <f>IF(ISBLANK(A84),,IF(AND(COUNTA(F84)=1,S84&gt;0),"Profit",IF(AND(COUNTA(G84)=1,S84&lt;0),"Profit","Loss")))</f>
        <v/>
      </c>
      <c r="Q84" s="26">
        <f>IF(ISBLANK(T84),,IF(P84="Profit",IF(S84&lt;0,T84*-S84,T84*S84),IF(S84&gt;0,T84*-S84,T84*S84)))</f>
        <v/>
      </c>
      <c r="R84" s="59">
        <f>IF($Q84&gt;0, TRUE, FALSE)</f>
        <v/>
      </c>
      <c r="S84" s="59">
        <f>IF(ISBLANK(J84),,IF(ISBLANK(L84),N84-K84,M84-K84))</f>
        <v/>
      </c>
      <c r="T84" s="61">
        <f>IF(ISBLANK(J84),,ROUNDDOWN(T$1/K84,0))</f>
        <v/>
      </c>
      <c r="U84" s="62" t="n"/>
      <c r="V84" s="57" t="n"/>
      <c r="W84" s="57" t="n"/>
      <c r="X84" s="57" t="n"/>
      <c r="Y84" s="57" t="n"/>
      <c r="Z84" s="57" t="n"/>
      <c r="AA84" s="63" t="n"/>
    </row>
    <row r="85" hidden="1" ht="13.5" customHeight="1" s="56">
      <c r="A85" s="18" t="inlineStr">
        <is>
          <t>OXY</t>
        </is>
      </c>
      <c r="B85" s="19" t="n">
        <v>7</v>
      </c>
      <c r="C85" s="20" t="n">
        <v>621.3</v>
      </c>
      <c r="D85" s="20" t="n">
        <v>42.857</v>
      </c>
      <c r="E85" s="20" t="n">
        <v>5.552</v>
      </c>
      <c r="F85" s="66" t="n"/>
      <c r="G85" s="67" t="n">
        <v>45188</v>
      </c>
      <c r="H85" s="66" t="n"/>
      <c r="I85" s="67" t="n">
        <v>45196</v>
      </c>
      <c r="J85" s="23">
        <f>IF(ISBLANK(F85:G85),,IF(COUNTA(F85)=0,G85,F85))</f>
        <v/>
      </c>
      <c r="K85" s="6">
        <f>IFERROR(__xludf.DUMMYFUNCTION("if(isblank(J85),,index(googlefinance(A85,K$2,J85-1),2,2))"),66.32)</f>
        <v/>
      </c>
      <c r="L85" s="24">
        <f>IF(ISBLANK(H85:I85),,IF(COUNTA(H85)=0,I85,H85))</f>
        <v/>
      </c>
      <c r="M85" s="7">
        <f>IFERROR(__xludf.DUMMYFUNCTION("if(isblank(L85),, index(googlefinance(A85,M$2,L85-1),2,2))"),63.15)</f>
        <v/>
      </c>
      <c r="N85" s="8">
        <f>IFERROR(__xludf.DUMMYFUNCTION("if(isblank(A85),,googlefinance(A85))"),62.65)</f>
        <v/>
      </c>
      <c r="O85" s="59">
        <f>IF(ISBLANK(J85),,IF(ISBLANK(L85),"Ongoing","Completed"))</f>
        <v/>
      </c>
      <c r="P85" s="68">
        <f>IF(ISBLANK(A85),,IF(AND(COUNTA(F85)=1,S85&gt;0),"Profit",IF(AND(COUNTA(G85)=1,S85&lt;0),"Profit","Loss")))</f>
        <v/>
      </c>
      <c r="Q85" s="26">
        <f>IF(ISBLANK(T85),,IF(P85="Profit",IF(S85&lt;0,T85*-S85,T85*S85),IF(S85&gt;0,T85*-S85,T85*S85)))</f>
        <v/>
      </c>
      <c r="R85" s="59">
        <f>IF($Q85&gt;0, TRUE, FALSE)</f>
        <v/>
      </c>
      <c r="S85" s="59">
        <f>IF(ISBLANK(J85),,IF(ISBLANK(L85),N85-K85,M85-K85))</f>
        <v/>
      </c>
      <c r="T85" s="61">
        <f>IF(ISBLANK(J85),,ROUNDDOWN(T$1/K85,0))</f>
        <v/>
      </c>
      <c r="U85" s="62" t="n"/>
      <c r="V85" s="57" t="n"/>
      <c r="W85" s="57" t="n"/>
      <c r="X85" s="57" t="n"/>
      <c r="Y85" s="57" t="n"/>
      <c r="Z85" s="57" t="n"/>
      <c r="AA85" s="63" t="n"/>
    </row>
    <row r="86" hidden="1" ht="13.5" customHeight="1" s="56">
      <c r="A86" s="18" t="inlineStr">
        <is>
          <t>NRG</t>
        </is>
      </c>
      <c r="B86" s="19" t="n">
        <v>12</v>
      </c>
      <c r="C86" s="20" t="n">
        <v>108.61</v>
      </c>
      <c r="D86" s="20" t="n">
        <v>50</v>
      </c>
      <c r="E86" s="20" t="n">
        <v>2.915</v>
      </c>
      <c r="F86" s="66" t="n"/>
      <c r="G86" s="67" t="n">
        <v>45189</v>
      </c>
      <c r="H86" s="66" t="n"/>
      <c r="I86" s="67" t="n">
        <v>45194</v>
      </c>
      <c r="J86" s="23">
        <f>IF(ISBLANK(F86:G86),,IF(COUNTA(F86)=0,G86,F86))</f>
        <v/>
      </c>
      <c r="K86" s="6">
        <f>IFERROR(__xludf.DUMMYFUNCTION("if(isblank(J86),,index(googlefinance(A86,K$2,J86-1),2,2))"),39.19)</f>
        <v/>
      </c>
      <c r="L86" s="24">
        <f>IF(ISBLANK(H86:I86),,IF(COUNTA(H86)=0,I86,H86))</f>
        <v/>
      </c>
      <c r="M86" s="7">
        <f>IFERROR(__xludf.DUMMYFUNCTION("if(isblank(L86),, index(googlefinance(A86,M$2,L86-1),2,2))"),39.19)</f>
        <v/>
      </c>
      <c r="N86" s="8">
        <f>IFERROR(__xludf.DUMMYFUNCTION("if(isblank(A86),,googlefinance(A86))"),63.93)</f>
        <v/>
      </c>
      <c r="O86" s="59">
        <f>IF(ISBLANK(J86),,IF(ISBLANK(L86),"Ongoing","Completed"))</f>
        <v/>
      </c>
      <c r="P86" s="70">
        <f>IF(ISBLANK(A86),,IF(AND(COUNTA(F86)=1,S86&gt;0),"Profit",IF(AND(COUNTA(G86)=1,S86&lt;0),"Profit","Loss")))</f>
        <v/>
      </c>
      <c r="Q86" s="60">
        <f>IF(ISBLANK(T86),,IF(P86="Profit",IF(S86&lt;0,T86*-S86,T86*S86),IF(S86&gt;0,T86*-S86,T86*S86)))</f>
        <v/>
      </c>
      <c r="R86" s="59">
        <f>IF($Q86&gt;0, TRUE, FALSE)</f>
        <v/>
      </c>
      <c r="S86" s="59">
        <f>IF(ISBLANK(J86),,IF(ISBLANK(L86),N86-K86,M86-K86))</f>
        <v/>
      </c>
      <c r="T86" s="61">
        <f>IF(ISBLANK(J86),,ROUNDDOWN(T$1/K86,0))</f>
        <v/>
      </c>
      <c r="U86" s="62" t="n"/>
      <c r="V86" s="57" t="n"/>
      <c r="W86" s="57" t="n"/>
      <c r="X86" s="57" t="n"/>
      <c r="Y86" s="57" t="n"/>
      <c r="Z86" s="57" t="n"/>
      <c r="AA86" s="63" t="n"/>
    </row>
    <row r="87" hidden="1" ht="13.5" customHeight="1" s="56">
      <c r="A87" s="18" t="inlineStr">
        <is>
          <t>SLB</t>
        </is>
      </c>
      <c r="B87" s="19" t="n">
        <v>12</v>
      </c>
      <c r="C87" s="20" t="n">
        <v>356.9</v>
      </c>
      <c r="D87" s="20" t="n">
        <v>41.667</v>
      </c>
      <c r="E87" s="20" t="n">
        <v>2.496</v>
      </c>
      <c r="F87" s="66" t="n"/>
      <c r="G87" s="67" t="n">
        <v>45189</v>
      </c>
      <c r="H87" s="66" t="n"/>
      <c r="I87" s="67" t="n">
        <v>45195</v>
      </c>
      <c r="J87" s="23">
        <f>IF(ISBLANK(F87:G87),,IF(COUNTA(F87)=0,G87,F87))</f>
        <v/>
      </c>
      <c r="K87" s="6">
        <f>IFERROR(__xludf.DUMMYFUNCTION("if(isblank(J87),,index(googlefinance(A87,K$2,J87-1),2,2))"),60.43)</f>
        <v/>
      </c>
      <c r="L87" s="24">
        <f>IF(ISBLANK(H87:I87),,IF(COUNTA(H87)=0,I87,H87))</f>
        <v/>
      </c>
      <c r="M87" s="7">
        <f>IFERROR(__xludf.DUMMYFUNCTION("if(isblank(L87),, index(googlefinance(A87,M$2,L87-1),2,2))"),59.84)</f>
        <v/>
      </c>
      <c r="N87" s="8">
        <f>IFERROR(__xludf.DUMMYFUNCTION("if(isblank(A87),,googlefinance(A87))"),52.87)</f>
        <v/>
      </c>
      <c r="O87" s="59">
        <f>IF(ISBLANK(J87),,IF(ISBLANK(L87),"Ongoing","Completed"))</f>
        <v/>
      </c>
      <c r="P87" s="68">
        <f>IF(ISBLANK(A87),,IF(AND(COUNTA(F87)=1,S87&gt;0),"Profit",IF(AND(COUNTA(G87)=1,S87&lt;0),"Profit","Loss")))</f>
        <v/>
      </c>
      <c r="Q87" s="26">
        <f>IF(ISBLANK(T87),,IF(P87="Profit",IF(S87&lt;0,T87*-S87,T87*S87),IF(S87&gt;0,T87*-S87,T87*S87)))</f>
        <v/>
      </c>
      <c r="R87" s="59">
        <f>IF($Q87&gt;0, TRUE, FALSE)</f>
        <v/>
      </c>
      <c r="S87" s="59">
        <f>IF(ISBLANK(J87),,IF(ISBLANK(L87),N87-K87,M87-K87))</f>
        <v/>
      </c>
      <c r="T87" s="61">
        <f>IF(ISBLANK(J87),,ROUNDDOWN(T$1/K87,0))</f>
        <v/>
      </c>
      <c r="U87" s="62" t="n"/>
      <c r="V87" s="57" t="n"/>
      <c r="W87" s="57" t="n"/>
      <c r="X87" s="57" t="n"/>
      <c r="Y87" s="57" t="n"/>
      <c r="Z87" s="57" t="n"/>
      <c r="AA87" s="63" t="n"/>
    </row>
    <row r="88" hidden="1" ht="13.5" customHeight="1" s="56">
      <c r="A88" s="18" t="inlineStr">
        <is>
          <t>CRWD</t>
        </is>
      </c>
      <c r="B88" s="19" t="n">
        <v>12</v>
      </c>
      <c r="C88" s="20" t="n">
        <v>60.17</v>
      </c>
      <c r="D88" s="20" t="n">
        <v>25</v>
      </c>
      <c r="E88" s="20" t="n">
        <v>1.145</v>
      </c>
      <c r="F88" s="66" t="n"/>
      <c r="G88" s="67" t="n">
        <v>45190</v>
      </c>
      <c r="H88" s="66" t="n"/>
      <c r="I88" s="67" t="n">
        <v>45197</v>
      </c>
      <c r="J88" s="23">
        <f>IF(ISBLANK(F88:G88),,IF(COUNTA(F88)=0,G88,F88))</f>
        <v/>
      </c>
      <c r="K88" s="6">
        <f>IFERROR(__xludf.DUMMYFUNCTION("if(isblank(J88),,index(googlefinance(A88,K$2,J88-1),2,2))"),163.89)</f>
        <v/>
      </c>
      <c r="L88" s="24">
        <f>IF(ISBLANK(H88:I88),,IF(COUNTA(H88)=0,I88,H88))</f>
        <v/>
      </c>
      <c r="M88" s="7">
        <f>IFERROR(__xludf.DUMMYFUNCTION("if(isblank(L88),, index(googlefinance(A88,M$2,L88-1),2,2))"),163.04)</f>
        <v/>
      </c>
      <c r="N88" s="8">
        <f>IFERROR(__xludf.DUMMYFUNCTION("if(isblank(A88),,googlefinance(A88))"),315.65)</f>
        <v/>
      </c>
      <c r="O88" s="59">
        <f>IF(ISBLANK(J88),,IF(ISBLANK(L88),"Ongoing","Completed"))</f>
        <v/>
      </c>
      <c r="P88" s="68">
        <f>IF(ISBLANK(A88),,IF(AND(COUNTA(F88)=1,S88&gt;0),"Profit",IF(AND(COUNTA(G88)=1,S88&lt;0),"Profit","Loss")))</f>
        <v/>
      </c>
      <c r="Q88" s="26">
        <f>IF(ISBLANK(T88),,IF(P88="Profit",IF(S88&lt;0,T88*-S88,T88*S88),IF(S88&gt;0,T88*-S88,T88*S88)))</f>
        <v/>
      </c>
      <c r="R88" s="59">
        <f>IF($Q88&gt;0, TRUE, FALSE)</f>
        <v/>
      </c>
      <c r="S88" s="59">
        <f>IF(ISBLANK(J88),,IF(ISBLANK(L88),N88-K88,M88-K88))</f>
        <v/>
      </c>
      <c r="T88" s="61">
        <f>IF(ISBLANK(J88),,ROUNDDOWN(T$1/K88,0))</f>
        <v/>
      </c>
      <c r="U88" s="62" t="n"/>
      <c r="V88" s="57" t="n"/>
      <c r="W88" s="57" t="n"/>
      <c r="X88" s="57" t="n"/>
      <c r="Y88" s="57" t="n"/>
      <c r="Z88" s="57" t="n"/>
      <c r="AA88" s="63" t="n"/>
    </row>
    <row r="89" hidden="1" ht="13.5" customHeight="1" s="56">
      <c r="A89" s="18" t="inlineStr">
        <is>
          <t>HAL</t>
        </is>
      </c>
      <c r="B89" s="19" t="n">
        <v>15</v>
      </c>
      <c r="C89" s="20" t="n">
        <v>181.91</v>
      </c>
      <c r="D89" s="20" t="n">
        <v>26.667</v>
      </c>
      <c r="E89" s="20" t="n">
        <v>1.807</v>
      </c>
      <c r="F89" s="66" t="n"/>
      <c r="G89" s="67" t="n">
        <v>45190</v>
      </c>
      <c r="H89" s="66" t="n"/>
      <c r="I89" s="67" t="n">
        <v>45196</v>
      </c>
      <c r="J89" s="23">
        <f>IF(ISBLANK(F89:G89),,IF(COUNTA(F89)=0,G89,F89))</f>
        <v/>
      </c>
      <c r="K89" s="6">
        <f>IFERROR(__xludf.DUMMYFUNCTION("if(isblank(J89),,index(googlefinance(A89,K$2,J89-1),2,2))"),41.29)</f>
        <v/>
      </c>
      <c r="L89" s="24">
        <f>IF(ISBLANK(H89:I89),,IF(COUNTA(H89)=0,I89,H89))</f>
        <v/>
      </c>
      <c r="M89" s="7">
        <f>IFERROR(__xludf.DUMMYFUNCTION("if(isblank(L89),, index(googlefinance(A89,M$2,L89-1),2,2))"),40.79)</f>
        <v/>
      </c>
      <c r="N89" s="8">
        <f>IFERROR(__xludf.DUMMYFUNCTION("if(isblank(A89),,googlefinance(A89))"),37.73)</f>
        <v/>
      </c>
      <c r="O89" s="59">
        <f>IF(ISBLANK(J89),,IF(ISBLANK(L89),"Ongoing","Completed"))</f>
        <v/>
      </c>
      <c r="P89" s="68">
        <f>IF(ISBLANK(A89),,IF(AND(COUNTA(F89)=1,S89&gt;0),"Profit",IF(AND(COUNTA(G89)=1,S89&lt;0),"Profit","Loss")))</f>
        <v/>
      </c>
      <c r="Q89" s="26">
        <f>IF(ISBLANK(T89),,IF(P89="Profit",IF(S89&lt;0,T89*-S89,T89*S89),IF(S89&gt;0,T89*-S89,T89*S89)))</f>
        <v/>
      </c>
      <c r="R89" s="59">
        <f>IF($Q89&gt;0, TRUE, FALSE)</f>
        <v/>
      </c>
      <c r="S89" s="59">
        <f>IF(ISBLANK(J89),,IF(ISBLANK(L89),N89-K89,M89-K89))</f>
        <v/>
      </c>
      <c r="T89" s="61">
        <f>IF(ISBLANK(J89),,ROUNDDOWN(T$1/K89,0))</f>
        <v/>
      </c>
      <c r="U89" s="62" t="n"/>
      <c r="V89" s="57" t="n"/>
      <c r="W89" s="57" t="n"/>
      <c r="X89" s="57" t="n"/>
      <c r="Y89" s="57" t="n"/>
      <c r="Z89" s="57" t="n"/>
      <c r="AA89" s="63" t="n"/>
    </row>
    <row r="90" hidden="1" ht="13.5" customHeight="1" s="56">
      <c r="A90" s="18" t="inlineStr">
        <is>
          <t>PRU</t>
        </is>
      </c>
      <c r="B90" s="19" t="n">
        <v>9</v>
      </c>
      <c r="C90" s="20" t="n">
        <v>33.68</v>
      </c>
      <c r="D90" s="20" t="n">
        <v>55.556</v>
      </c>
      <c r="E90" s="20" t="n">
        <v>1.336</v>
      </c>
      <c r="F90" s="66" t="n"/>
      <c r="G90" s="67" t="n">
        <v>45191</v>
      </c>
      <c r="H90" s="66" t="n"/>
      <c r="I90" s="67" t="n">
        <v>45208</v>
      </c>
      <c r="J90" s="23">
        <f>IF(ISBLANK(F90:G90),,IF(COUNTA(F90)=0,G90,F90))</f>
        <v/>
      </c>
      <c r="K90" s="6">
        <f>IFERROR(__xludf.DUMMYFUNCTION("if(isblank(J90),,index(googlefinance(A90,K$2,J90-1),2,2))"),96.97)</f>
        <v/>
      </c>
      <c r="L90" s="24">
        <f>IF(ISBLANK(H90:I90),,IF(COUNTA(H90)=0,I90,H90))</f>
        <v/>
      </c>
      <c r="M90" s="7">
        <f>IFERROR(__xludf.DUMMYFUNCTION("if(isblank(L90),, index(googlefinance(A90,M$2,L90-1),2,2))"),93.41)</f>
        <v/>
      </c>
      <c r="N90" s="8">
        <f>IFERROR(__xludf.DUMMYFUNCTION("if(isblank(A90),,googlefinance(A90))"),112.84)</f>
        <v/>
      </c>
      <c r="O90" s="59">
        <f>IF(ISBLANK(J90),,IF(ISBLANK(L90),"Ongoing","Completed"))</f>
        <v/>
      </c>
      <c r="P90" s="68">
        <f>IF(ISBLANK(A90),,IF(AND(COUNTA(F90)=1,S90&gt;0),"Profit",IF(AND(COUNTA(G90)=1,S90&lt;0),"Profit","Loss")))</f>
        <v/>
      </c>
      <c r="Q90" s="26">
        <f>IF(ISBLANK(T90),,IF(P90="Profit",IF(S90&lt;0,T90*-S90,T90*S90),IF(S90&gt;0,T90*-S90,T90*S90)))</f>
        <v/>
      </c>
      <c r="R90" s="59">
        <f>IF($Q90&gt;0, TRUE, FALSE)</f>
        <v/>
      </c>
      <c r="S90" s="59">
        <f>IF(ISBLANK(J90),,IF(ISBLANK(L90),N90-K90,M90-K90))</f>
        <v/>
      </c>
      <c r="T90" s="61">
        <f>IF(ISBLANK(J90),,ROUNDDOWN(T$1/K90,0))</f>
        <v/>
      </c>
      <c r="U90" s="62" t="n"/>
      <c r="V90" s="57" t="n"/>
      <c r="W90" s="57" t="n"/>
      <c r="X90" s="57" t="n"/>
      <c r="Y90" s="57" t="n"/>
      <c r="Z90" s="57" t="n"/>
      <c r="AA90" s="63" t="n"/>
    </row>
    <row r="91" hidden="1" ht="13.5" customHeight="1" s="56">
      <c r="A91" s="18" t="inlineStr">
        <is>
          <t>AAPL</t>
        </is>
      </c>
      <c r="B91" s="19" t="n">
        <v>12</v>
      </c>
      <c r="C91" s="20" t="n">
        <v>7.262</v>
      </c>
      <c r="D91" s="20" t="n">
        <v>50</v>
      </c>
      <c r="E91" s="20" t="n">
        <v>1.049</v>
      </c>
      <c r="F91" s="67" t="n">
        <v>45194</v>
      </c>
      <c r="G91" s="66" t="n"/>
      <c r="H91" s="67" t="n">
        <v>45195</v>
      </c>
      <c r="I91" s="66" t="n"/>
      <c r="J91" s="28">
        <f>IF(ISBLANK(F91:G91),,IF(COUNTA(F91)=0,G91,F91))</f>
        <v/>
      </c>
      <c r="K91" s="6">
        <f>IFERROR(__xludf.DUMMYFUNCTION("if(isblank(J91),,index(googlefinance(A91,K$2,J91-1),2,2))"),176.08)</f>
        <v/>
      </c>
      <c r="L91" s="29">
        <f>IF(ISBLANK(H91:I91),,IF(COUNTA(H91)=0,I91,H91))</f>
        <v/>
      </c>
      <c r="M91" s="7">
        <f>IFERROR(__xludf.DUMMYFUNCTION("if(isblank(L91),, index(googlefinance(A91,M$2,L91-1),2,2))"),176.08)</f>
        <v/>
      </c>
      <c r="N91" s="8">
        <f>IFERROR(__xludf.DUMMYFUNCTION("if(isblank(A91),,googlefinance(A91))"),172.62)</f>
        <v/>
      </c>
      <c r="O91" s="59">
        <f>IF(ISBLANK(J91),,IF(ISBLANK(L91),"Ongoing","Completed"))</f>
        <v/>
      </c>
      <c r="P91" s="70">
        <f>IF(ISBLANK(A91),,IF(AND(COUNTA(F91)=1,S91&gt;0),"Profit",IF(AND(COUNTA(G91)=1,S91&lt;0),"Profit","Loss")))</f>
        <v/>
      </c>
      <c r="Q91" s="60">
        <f>IF(ISBLANK(T91),,IF(P91="Profit",IF(S91&lt;0,T91*-S91,T91*S91),IF(S91&gt;0,T91*-S91,T91*S91)))</f>
        <v/>
      </c>
      <c r="R91" s="59">
        <f>IF($Q91&gt;0, TRUE, FALSE)</f>
        <v/>
      </c>
      <c r="S91" s="59">
        <f>IF(ISBLANK(J91),,IF(ISBLANK(L91),N91-K91,M91-K91))</f>
        <v/>
      </c>
      <c r="T91" s="61">
        <f>IF(ISBLANK(J91),,ROUNDDOWN(T$1/K91,0))</f>
        <v/>
      </c>
      <c r="U91" s="62" t="n"/>
      <c r="V91" s="57" t="n"/>
      <c r="W91" s="57" t="n"/>
      <c r="X91" s="57" t="n"/>
      <c r="Y91" s="57" t="n"/>
      <c r="Z91" s="57" t="n"/>
      <c r="AA91" s="63" t="n"/>
    </row>
    <row r="92" hidden="1" ht="13.5" customHeight="1" s="56">
      <c r="A92" s="18" t="inlineStr">
        <is>
          <t>WRB</t>
        </is>
      </c>
      <c r="B92" s="19" t="n">
        <v>13</v>
      </c>
      <c r="C92" s="20" t="n">
        <v>85.59999999999999</v>
      </c>
      <c r="D92" s="20" t="n">
        <v>23.077</v>
      </c>
      <c r="E92" s="20" t="n">
        <v>1.471</v>
      </c>
      <c r="F92" s="66" t="n"/>
      <c r="G92" s="67" t="n">
        <v>45196</v>
      </c>
      <c r="H92" s="66" t="n"/>
      <c r="I92" s="67" t="n">
        <v>45203</v>
      </c>
      <c r="J92" s="23">
        <f>IF(ISBLANK(G92),,IF(COUNTA(G92)=0,#REF!,G92))</f>
        <v/>
      </c>
      <c r="K92" s="6">
        <f>IFERROR(__xludf.DUMMYFUNCTION("if(isblank(J92),,index(googlefinance(A92,K$2,J92-1),2,2))"),64.43)</f>
        <v/>
      </c>
      <c r="L92" s="24">
        <f>IF(ISBLANK(H92:I92),,IF(COUNTA(H92)=0,I92,H92))</f>
        <v/>
      </c>
      <c r="M92" s="7">
        <f>IFERROR(__xludf.DUMMYFUNCTION("if(isblank(L92),, index(googlefinance(A92,M$2,L92-1),2,2))"),62.44)</f>
        <v/>
      </c>
      <c r="N92" s="8">
        <f>IFERROR(__xludf.DUMMYFUNCTION("if(isblank(A92),,googlefinance(A92))"),85.51)</f>
        <v/>
      </c>
      <c r="O92" s="59">
        <f>IF(ISBLANK(J92),,IF(ISBLANK(L92),"Ongoing","Completed"))</f>
        <v/>
      </c>
      <c r="P92" s="68">
        <f>IF(ISBLANK(A92),,IF(AND(COUNTA(F92)=1,S92&gt;0),"Profit",IF(AND(COUNTA(G92)=1,S92&lt;0),"Profit","Loss")))</f>
        <v/>
      </c>
      <c r="Q92" s="26">
        <f>IF(ISBLANK(T92),,IF(P92="Profit",IF(S92&lt;0,T92*-S92,T92*S92),IF(S92&gt;0,T92*-S92,T92*S92)))</f>
        <v/>
      </c>
      <c r="R92" s="59">
        <f>IF($Q92&gt;0, TRUE, FALSE)</f>
        <v/>
      </c>
      <c r="S92" s="59">
        <f>IF(ISBLANK(J92),,IF(ISBLANK(L92),N92-K92,M92-K92))</f>
        <v/>
      </c>
      <c r="T92" s="61">
        <f>IF(ISBLANK(J92),,ROUNDDOWN(T$1/K92,0))</f>
        <v/>
      </c>
      <c r="U92" s="62" t="n"/>
      <c r="V92" s="57" t="n"/>
      <c r="W92" s="57" t="n"/>
      <c r="X92" s="57" t="n"/>
      <c r="Y92" s="57" t="n"/>
      <c r="Z92" s="57" t="n"/>
      <c r="AA92" s="63" t="n"/>
    </row>
    <row r="93" hidden="1" ht="13.5" customHeight="1" s="56">
      <c r="A93" s="18" t="inlineStr">
        <is>
          <t>MAR</t>
        </is>
      </c>
      <c r="B93" s="19" t="n">
        <v>11</v>
      </c>
      <c r="C93" s="20" t="n">
        <v>162.25</v>
      </c>
      <c r="D93" s="20" t="n">
        <v>27.273</v>
      </c>
      <c r="E93" s="20" t="n">
        <v>1.655</v>
      </c>
      <c r="F93" s="67" t="n">
        <v>45197</v>
      </c>
      <c r="G93" s="66" t="n"/>
      <c r="H93" s="67" t="n">
        <v>45201</v>
      </c>
      <c r="I93" s="66" t="n"/>
      <c r="J93" s="28">
        <f>IF(ISBLANK(F93:G93),,IF(COUNTA(F93)=0,G93,F93))</f>
        <v/>
      </c>
      <c r="K93" s="6">
        <f>IFERROR(__xludf.DUMMYFUNCTION("if(isblank(J93),,index(googlefinance(A93,K$2,J93-1),2,2))"),193.88)</f>
        <v/>
      </c>
      <c r="L93" s="29">
        <f>IF(ISBLANK(H93:I93),,IF(COUNTA(H93)=0,I93,H93))</f>
        <v/>
      </c>
      <c r="M93" s="7">
        <f>IFERROR(__xludf.DUMMYFUNCTION("if(isblank(L93),, index(googlefinance(A93,M$2,L93-1),2,2))"),193.75)</f>
        <v/>
      </c>
      <c r="N93" s="8">
        <f>IFERROR(__xludf.DUMMYFUNCTION("if(isblank(A93),,googlefinance(A93))"),244.07)</f>
        <v/>
      </c>
      <c r="O93" s="59">
        <f>IF(ISBLANK(J93),,IF(ISBLANK(L93),"Ongoing","Completed"))</f>
        <v/>
      </c>
      <c r="P93" s="70">
        <f>IF(ISBLANK(A93),,IF(AND(COUNTA(F93)=1,S93&gt;0),"Profit",IF(AND(COUNTA(G93)=1,S93&lt;0),"Profit","Loss")))</f>
        <v/>
      </c>
      <c r="Q93" s="31">
        <f>IF(ISBLANK(T93),,IF(P93="Profit",IF(S93&lt;0,T93*-S93,T93*S93),IF(S93&gt;0,T93*-S93,T93*S93)))</f>
        <v/>
      </c>
      <c r="R93" s="59">
        <f>IF($Q93&gt;0, TRUE, FALSE)</f>
        <v/>
      </c>
      <c r="S93" s="59">
        <f>IF(ISBLANK(J93),,IF(ISBLANK(L93),N93-K93,M93-K93))</f>
        <v/>
      </c>
      <c r="T93" s="61">
        <f>IF(ISBLANK(J93),,ROUNDDOWN(T$1/K93,0))</f>
        <v/>
      </c>
      <c r="U93" s="62" t="n"/>
      <c r="V93" s="57" t="n"/>
      <c r="W93" s="57" t="n"/>
      <c r="X93" s="57" t="n"/>
      <c r="Y93" s="57" t="n"/>
      <c r="Z93" s="57" t="n"/>
      <c r="AA93" s="63" t="n"/>
    </row>
    <row r="94" hidden="1" ht="13.5" customHeight="1" s="56">
      <c r="A94" s="18" t="inlineStr">
        <is>
          <t>VRSN</t>
        </is>
      </c>
      <c r="B94" s="19" t="n">
        <v>12</v>
      </c>
      <c r="C94" s="20" t="n">
        <v>387.62</v>
      </c>
      <c r="D94" s="20" t="n">
        <v>41.667</v>
      </c>
      <c r="E94" s="20" t="n">
        <v>3.387</v>
      </c>
      <c r="F94" s="67" t="n">
        <v>45197</v>
      </c>
      <c r="G94" s="66" t="n"/>
      <c r="H94" s="67" t="n">
        <v>45202</v>
      </c>
      <c r="I94" s="66" t="n"/>
      <c r="J94" s="28">
        <f>IF(ISBLANK(F94:G94),,IF(COUNTA(F94)=0,G94,F94))</f>
        <v/>
      </c>
      <c r="K94" s="6">
        <f>IFERROR(__xludf.DUMMYFUNCTION("if(isblank(J94),,index(googlefinance(A94,K$2,J94-1),2,2))"),200.47)</f>
        <v/>
      </c>
      <c r="L94" s="29">
        <f>IF(ISBLANK(H94:I94),,IF(COUNTA(H94)=0,I94,H94))</f>
        <v/>
      </c>
      <c r="M94" s="7">
        <f>IFERROR(__xludf.DUMMYFUNCTION("if(isblank(L94),, index(googlefinance(A94,M$2,L94-1),2,2))"),202.34)</f>
        <v/>
      </c>
      <c r="N94" s="8">
        <f>IFERROR(__xludf.DUMMYFUNCTION("if(isblank(A94),,googlefinance(A94))"),190.25)</f>
        <v/>
      </c>
      <c r="O94" s="59">
        <f>IF(ISBLANK(J94),,IF(ISBLANK(L94),"Ongoing","Completed"))</f>
        <v/>
      </c>
      <c r="P94" s="68">
        <f>IF(ISBLANK(A94),,IF(AND(COUNTA(F94)=1,S94&gt;0),"Profit",IF(AND(COUNTA(G94)=1,S94&lt;0),"Profit","Loss")))</f>
        <v/>
      </c>
      <c r="Q94" s="26">
        <f>IF(ISBLANK(T94),,IF(P94="Profit",IF(S94&lt;0,T94*-S94,T94*S94),IF(S94&gt;0,T94*-S94,T94*S94)))</f>
        <v/>
      </c>
      <c r="R94" s="59">
        <f>IF($Q94&gt;0, TRUE, FALSE)</f>
        <v/>
      </c>
      <c r="S94" s="59">
        <f>IF(ISBLANK(J94),,IF(ISBLANK(L94),N94-K94,M94-K94))</f>
        <v/>
      </c>
      <c r="T94" s="61">
        <f>IF(ISBLANK(J94),,ROUNDDOWN(T$1/K94,0))</f>
        <v/>
      </c>
      <c r="U94" s="62" t="n"/>
      <c r="V94" s="57" t="n"/>
      <c r="W94" s="57" t="n"/>
      <c r="X94" s="57" t="n"/>
      <c r="Y94" s="57" t="n"/>
      <c r="Z94" s="57" t="n"/>
      <c r="AA94" s="63" t="n"/>
    </row>
    <row r="95" hidden="1" ht="13.5" customHeight="1" s="56">
      <c r="A95" s="57" t="inlineStr">
        <is>
          <t>ABBV</t>
        </is>
      </c>
      <c r="B95" s="69" t="n">
        <v>10</v>
      </c>
      <c r="C95" s="61" t="n">
        <v>311.94</v>
      </c>
      <c r="D95" s="61" t="n">
        <v>60</v>
      </c>
      <c r="E95" s="61" t="n">
        <v>5.412</v>
      </c>
      <c r="F95" s="66" t="n"/>
      <c r="G95" s="67" t="n">
        <v>45198</v>
      </c>
      <c r="H95" s="66" t="n"/>
      <c r="I95" s="67" t="n">
        <v>45210</v>
      </c>
      <c r="J95" s="23">
        <f>IF(ISBLANK(F95:G95),,IF(COUNTA(F95)=0,G95,F95))</f>
        <v/>
      </c>
      <c r="K95" s="6">
        <f>IFERROR(__xludf.DUMMYFUNCTION("if(isblank(J95),,index(googlefinance(A95,K$2,J95-1),2,2))"),152.25)</f>
        <v/>
      </c>
      <c r="L95" s="24">
        <f>IF(ISBLANK(H95:I95),,IF(COUNTA(H95)=0,I95,H95))</f>
        <v/>
      </c>
      <c r="M95" s="7">
        <f>IFERROR(__xludf.DUMMYFUNCTION("if(isblank(L95),, index(googlefinance(A95,M$2,L95-1),2,2))"),148.89)</f>
        <v/>
      </c>
      <c r="N95" s="8">
        <f>IFERROR(__xludf.DUMMYFUNCTION("if(isblank(A95),,googlefinance(A95))"),177.88)</f>
        <v/>
      </c>
      <c r="O95" s="59">
        <f>IF(ISBLANK(J95),,IF(ISBLANK(L95),"Ongoing","Completed"))</f>
        <v/>
      </c>
      <c r="P95" s="68">
        <f>IF(ISBLANK(A95),,IF(AND(COUNTA(F95)=1,S95&gt;0),"Profit",IF(AND(COUNTA(G95)=1,S95&lt;0),"Profit","Loss")))</f>
        <v/>
      </c>
      <c r="Q95" s="26">
        <f>IF(ISBLANK(T95),,IF(P95="Profit",IF(S95&lt;0,T95*-S95,T95*S95),IF(S95&gt;0,T95*-S95,T95*S95)))</f>
        <v/>
      </c>
      <c r="R95" s="59">
        <f>IF($Q95&gt;0, TRUE, FALSE)</f>
        <v/>
      </c>
      <c r="S95" s="59">
        <f>IF(ISBLANK(J95),,IF(ISBLANK(L95),N95-K95,M95-K95))</f>
        <v/>
      </c>
      <c r="T95" s="61">
        <f>IF(ISBLANK(J95),,ROUNDDOWN(T$1/K95,0))</f>
        <v/>
      </c>
      <c r="U95" s="62" t="n"/>
      <c r="V95" s="57" t="n"/>
      <c r="W95" s="57" t="n"/>
      <c r="X95" s="57" t="n"/>
      <c r="Y95" s="57" t="n"/>
      <c r="Z95" s="57" t="n"/>
      <c r="AA95" s="63" t="n"/>
    </row>
    <row r="96" hidden="1" ht="13.5" customHeight="1" s="56">
      <c r="A96" s="57" t="inlineStr">
        <is>
          <t>MOH</t>
        </is>
      </c>
      <c r="B96" s="69" t="n">
        <v>11</v>
      </c>
      <c r="C96" s="61" t="n">
        <v>213.94</v>
      </c>
      <c r="D96" s="61" t="n">
        <v>36.364</v>
      </c>
      <c r="E96" s="61" t="n">
        <v>2.429</v>
      </c>
      <c r="F96" s="66" t="n"/>
      <c r="G96" s="67" t="n">
        <v>45198</v>
      </c>
      <c r="H96" s="66" t="n"/>
      <c r="I96" s="67" t="n">
        <v>45204</v>
      </c>
      <c r="J96" s="23">
        <f>IF(ISBLANK(F96:G96),,IF(COUNTA(F96)=0,G96,F96))</f>
        <v/>
      </c>
      <c r="K96" s="6">
        <f>IFERROR(__xludf.DUMMYFUNCTION("if(isblank(J96),,index(googlefinance(A96,K$2,J96-1),2,2))"),333.32)</f>
        <v/>
      </c>
      <c r="L96" s="24">
        <f>IF(ISBLANK(H96:I96),,IF(COUNTA(H96)=0,I96,H96))</f>
        <v/>
      </c>
      <c r="M96" s="7">
        <f>IFERROR(__xludf.DUMMYFUNCTION("if(isblank(L96),, index(googlefinance(A96,M$2,L96-1),2,2))"),328.0)</f>
        <v/>
      </c>
      <c r="N96" s="8">
        <f>IFERROR(__xludf.DUMMYFUNCTION("if(isblank(A96),,googlefinance(A96))"),404.45)</f>
        <v/>
      </c>
      <c r="O96" s="59">
        <f>IF(ISBLANK(J96),,IF(ISBLANK(L96),"Ongoing","Completed"))</f>
        <v/>
      </c>
      <c r="P96" s="68">
        <f>IF(ISBLANK(A96),,IF(AND(COUNTA(F96)=1,S96&gt;0),"Profit",IF(AND(COUNTA(G96)=1,S96&lt;0),"Profit","Loss")))</f>
        <v/>
      </c>
      <c r="Q96" s="26">
        <f>IF(ISBLANK(T96),,IF(P96="Profit",IF(S96&lt;0,T96*-S96,T96*S96),IF(S96&gt;0,T96*-S96,T96*S96)))</f>
        <v/>
      </c>
      <c r="R96" s="59">
        <f>IF($Q96&gt;0, TRUE, FALSE)</f>
        <v/>
      </c>
      <c r="S96" s="59">
        <f>IF(ISBLANK(J96),,IF(ISBLANK(L96),N96-K96,M96-K96))</f>
        <v/>
      </c>
      <c r="T96" s="61">
        <f>IF(ISBLANK(J96),,ROUNDDOWN(T$1/K96,0))</f>
        <v/>
      </c>
      <c r="U96" s="62" t="n"/>
      <c r="V96" s="57" t="n"/>
      <c r="W96" s="57" t="n"/>
      <c r="X96" s="57" t="n"/>
      <c r="Y96" s="57" t="n"/>
      <c r="Z96" s="57" t="n"/>
      <c r="AA96" s="63" t="n"/>
    </row>
    <row r="97" hidden="1" ht="13.5" customHeight="1" s="56">
      <c r="A97" s="57" t="inlineStr">
        <is>
          <t>PAYX</t>
        </is>
      </c>
      <c r="B97" s="69" t="n">
        <v>14</v>
      </c>
      <c r="C97" s="61" t="n">
        <v>28.44</v>
      </c>
      <c r="D97" s="61" t="n">
        <v>35.714</v>
      </c>
      <c r="E97" s="61" t="n">
        <v>1.149</v>
      </c>
      <c r="F97" s="67" t="n">
        <v>45198</v>
      </c>
      <c r="G97" s="66" t="n"/>
      <c r="H97" s="67" t="n">
        <v>45219</v>
      </c>
      <c r="I97" s="66" t="n"/>
      <c r="J97" s="28">
        <f>IF(ISBLANK(F97:G97),,IF(COUNTA(F97)=0,G97,F97))</f>
        <v/>
      </c>
      <c r="K97" s="6">
        <f>IFERROR(__xludf.DUMMYFUNCTION("if(isblank(J97),,index(googlefinance(A97,K$2,J97-1),2,2))"),117.12)</f>
        <v/>
      </c>
      <c r="L97" s="29">
        <f>IF(ISBLANK(H97:I97),,IF(COUNTA(H97)=0,I97,H97))</f>
        <v/>
      </c>
      <c r="M97" s="7">
        <f>IFERROR(__xludf.DUMMYFUNCTION("if(isblank(L97),, index(googlefinance(A97,M$2,L97-1),2,2))"),118.19)</f>
        <v/>
      </c>
      <c r="N97" s="8">
        <f>IFERROR(__xludf.DUMMYFUNCTION("if(isblank(A97),,googlefinance(A97))"),120.28)</f>
        <v/>
      </c>
      <c r="O97" s="59">
        <f>IF(ISBLANK(J97),,IF(ISBLANK(L97),"Ongoing","Completed"))</f>
        <v/>
      </c>
      <c r="P97" s="68">
        <f>IF(ISBLANK(A97),,IF(AND(COUNTA(F97)=1,S97&gt;0),"Profit",IF(AND(COUNTA(G97)=1,S97&lt;0),"Profit","Loss")))</f>
        <v/>
      </c>
      <c r="Q97" s="26">
        <f>IF(ISBLANK(T97),,IF(P97="Profit",IF(S97&lt;0,T97*-S97,T97*S97),IF(S97&gt;0,T97*-S97,T97*S97)))</f>
        <v/>
      </c>
      <c r="R97" s="59">
        <f>IF($Q97&gt;0, TRUE, FALSE)</f>
        <v/>
      </c>
      <c r="S97" s="59">
        <f>IF(ISBLANK(J97),,IF(ISBLANK(L97),N97-K97,M97-K97))</f>
        <v/>
      </c>
      <c r="T97" s="61">
        <f>IF(ISBLANK(J97),,ROUNDDOWN(T$1/K97,0))</f>
        <v/>
      </c>
      <c r="U97" s="62" t="n"/>
      <c r="V97" s="57" t="n"/>
      <c r="W97" s="57" t="n"/>
      <c r="X97" s="57" t="n"/>
      <c r="Y97" s="57" t="n"/>
      <c r="Z97" s="57" t="n"/>
      <c r="AA97" s="63" t="n"/>
    </row>
    <row r="98" hidden="1" ht="13.5" customHeight="1" s="56">
      <c r="A98" s="57" t="inlineStr">
        <is>
          <t>TRMB</t>
        </is>
      </c>
      <c r="B98" s="69" t="n">
        <v>12</v>
      </c>
      <c r="C98" s="61" t="n">
        <v>250.63</v>
      </c>
      <c r="D98" s="61" t="n">
        <v>25</v>
      </c>
      <c r="E98" s="61" t="n">
        <v>2.261</v>
      </c>
      <c r="F98" s="67" t="n">
        <v>45198</v>
      </c>
      <c r="G98" s="66" t="n"/>
      <c r="H98" s="67" t="n">
        <v>45203</v>
      </c>
      <c r="I98" s="66" t="n"/>
      <c r="J98" s="28">
        <f>IF(ISBLANK(F98:G98),,IF(COUNTA(F98)=0,G98,F98))</f>
        <v/>
      </c>
      <c r="K98" s="6">
        <f>IFERROR(__xludf.DUMMYFUNCTION("if(isblank(J98),,index(googlefinance(A98,K$2,J98-1),2,2))"),52.41)</f>
        <v/>
      </c>
      <c r="L98" s="29">
        <f>IF(ISBLANK(H98:I98),,IF(COUNTA(H98)=0,I98,H98))</f>
        <v/>
      </c>
      <c r="M98" s="7">
        <f>IFERROR(__xludf.DUMMYFUNCTION("if(isblank(L98),, index(googlefinance(A98,M$2,L98-1),2,2))"),51.75)</f>
        <v/>
      </c>
      <c r="N98" s="8">
        <f>IFERROR(__xludf.DUMMYFUNCTION("if(isblank(A98),,googlefinance(A98))"),62.07)</f>
        <v/>
      </c>
      <c r="O98" s="59">
        <f>IF(ISBLANK(J98),,IF(ISBLANK(L98),"Ongoing","Completed"))</f>
        <v/>
      </c>
      <c r="P98" s="70">
        <f>IF(ISBLANK(A98),,IF(AND(COUNTA(F98)=1,S98&gt;0),"Profit",IF(AND(COUNTA(G98)=1,S98&lt;0),"Profit","Loss")))</f>
        <v/>
      </c>
      <c r="Q98" s="31">
        <f>IF(ISBLANK(T98),,IF(P98="Profit",IF(S98&lt;0,T98*-S98,T98*S98),IF(S98&gt;0,T98*-S98,T98*S98)))</f>
        <v/>
      </c>
      <c r="R98" s="59">
        <f>IF($Q98&gt;0, TRUE, FALSE)</f>
        <v/>
      </c>
      <c r="S98" s="59">
        <f>IF(ISBLANK(J98),,IF(ISBLANK(L98),N98-K98,M98-K98))</f>
        <v/>
      </c>
      <c r="T98" s="61">
        <f>IF(ISBLANK(J98),,ROUNDDOWN(T$1/K98,0))</f>
        <v/>
      </c>
      <c r="U98" s="62" t="n"/>
      <c r="V98" s="57" t="n"/>
      <c r="W98" s="57" t="n"/>
      <c r="X98" s="57" t="n"/>
      <c r="Y98" s="57" t="n"/>
      <c r="Z98" s="57" t="n"/>
      <c r="AA98" s="63" t="n"/>
    </row>
    <row r="99" hidden="1" ht="13.5" customHeight="1" s="56">
      <c r="A99" s="57" t="inlineStr">
        <is>
          <t>CVX</t>
        </is>
      </c>
      <c r="B99" s="69" t="n">
        <v>9</v>
      </c>
      <c r="C99" s="61" t="n">
        <v>408.84</v>
      </c>
      <c r="D99" s="61" t="n">
        <v>44.444</v>
      </c>
      <c r="E99" s="61" t="n">
        <v>4.472</v>
      </c>
      <c r="F99" s="66" t="n"/>
      <c r="G99" s="67" t="n">
        <v>45202</v>
      </c>
      <c r="H99" s="66" t="n"/>
      <c r="I99" s="67" t="n">
        <v>45208</v>
      </c>
      <c r="J99" s="23">
        <f>IF(ISBLANK(F99:G99),,IF(COUNTA(F99)=0,G99,F99))</f>
        <v/>
      </c>
      <c r="K99" s="6">
        <f>IFERROR(__xludf.DUMMYFUNCTION("if(isblank(J99),,index(googlefinance(A99,K$2,J99-1),2,2))"),166.54)</f>
        <v/>
      </c>
      <c r="L99" s="24">
        <f>IF(ISBLANK(H99:I99),,IF(COUNTA(H99)=0,I99,H99))</f>
        <v/>
      </c>
      <c r="M99" s="7">
        <f>IFERROR(__xludf.DUMMYFUNCTION("if(isblank(L99),, index(googlefinance(A99,M$2,L99-1),2,2))"),166.72)</f>
        <v/>
      </c>
      <c r="N99" s="8">
        <f>IFERROR(__xludf.DUMMYFUNCTION("if(isblank(A99),,googlefinance(A99))"),155.55)</f>
        <v/>
      </c>
      <c r="O99" s="59">
        <f>IF(ISBLANK(J99),,IF(ISBLANK(L99),"Ongoing","Completed"))</f>
        <v/>
      </c>
      <c r="P99" s="70">
        <f>IF(ISBLANK(A99),,IF(AND(COUNTA(F99)=1,S99&gt;0),"Profit",IF(AND(COUNTA(G99)=1,S99&lt;0),"Profit","Loss")))</f>
        <v/>
      </c>
      <c r="Q99" s="31">
        <f>IF(ISBLANK(T99),,IF(P99="Profit",IF(S99&lt;0,T99*-S99,T99*S99),IF(S99&gt;0,T99*-S99,T99*S99)))</f>
        <v/>
      </c>
      <c r="R99" s="59">
        <f>IF($Q99&gt;0, TRUE, FALSE)</f>
        <v/>
      </c>
      <c r="S99" s="59">
        <f>IF(ISBLANK(J99),,IF(ISBLANK(L99),N99-K99,M99-K99))</f>
        <v/>
      </c>
      <c r="T99" s="61">
        <f>IF(ISBLANK(J99),,ROUNDDOWN(T$1/K99,0))</f>
        <v/>
      </c>
      <c r="U99" s="62" t="n"/>
      <c r="V99" s="57" t="n"/>
      <c r="W99" s="57" t="n"/>
      <c r="X99" s="57" t="n"/>
      <c r="Y99" s="57" t="n"/>
      <c r="Z99" s="57" t="n"/>
      <c r="AA99" s="63" t="n"/>
    </row>
    <row r="100" hidden="1" ht="13.5" customHeight="1" s="56">
      <c r="A100" s="57" t="inlineStr">
        <is>
          <t>PEG</t>
        </is>
      </c>
      <c r="B100" s="69" t="n">
        <v>10</v>
      </c>
      <c r="C100" s="61" t="n">
        <v>114.54</v>
      </c>
      <c r="D100" s="61" t="n">
        <v>40</v>
      </c>
      <c r="E100" s="61" t="n">
        <v>2.623</v>
      </c>
      <c r="F100" s="67" t="n">
        <v>45203</v>
      </c>
      <c r="G100" s="66" t="n"/>
      <c r="H100" s="67" t="n">
        <v>45219</v>
      </c>
      <c r="I100" s="66" t="n"/>
      <c r="J100" s="28">
        <f>IF(ISBLANK(F100:G100),,IF(COUNTA(F100)=0,G100,F100))</f>
        <v/>
      </c>
      <c r="K100" s="6">
        <f>IFERROR(__xludf.DUMMYFUNCTION("if(isblank(J100),,index(googlefinance(A100,K$2,J100-1),2,2))"),55.53)</f>
        <v/>
      </c>
      <c r="L100" s="29">
        <f>IF(ISBLANK(H100:I100),,IF(COUNTA(H100)=0,I100,H100))</f>
        <v/>
      </c>
      <c r="M100" s="7">
        <f>IFERROR(__xludf.DUMMYFUNCTION("if(isblank(L100),, index(googlefinance(A100,M$2,L100-1),2,2))"),59.83)</f>
        <v/>
      </c>
      <c r="N100" s="8">
        <f>IFERROR(__xludf.DUMMYFUNCTION("if(isblank(A100),,googlefinance(A100))"),63.78)</f>
        <v/>
      </c>
      <c r="O100" s="59">
        <f>IF(ISBLANK(J100),,IF(ISBLANK(L100),"Ongoing","Completed"))</f>
        <v/>
      </c>
      <c r="P100" s="68">
        <f>IF(ISBLANK(A100),,IF(AND(COUNTA(F100)=1,S100&gt;0),"Profit",IF(AND(COUNTA(G100)=1,S100&lt;0),"Profit","Loss")))</f>
        <v/>
      </c>
      <c r="Q100" s="26">
        <f>IF(ISBLANK(T100),,IF(P100="Profit",IF(S100&lt;0,T100*-S100,T100*S100),IF(S100&gt;0,T100*-S100,T100*S100)))</f>
        <v/>
      </c>
      <c r="R100" s="59">
        <f>IF($Q100&gt;0, TRUE, FALSE)</f>
        <v/>
      </c>
      <c r="S100" s="59">
        <f>IF(ISBLANK(J100),,IF(ISBLANK(L100),N100-K100,M100-K100))</f>
        <v/>
      </c>
      <c r="T100" s="61">
        <f>IF(ISBLANK(J100),,ROUNDDOWN(T$1/K100,0))</f>
        <v/>
      </c>
      <c r="U100" s="62" t="n"/>
      <c r="V100" s="57" t="n"/>
      <c r="W100" s="57" t="n"/>
      <c r="X100" s="57" t="n"/>
      <c r="Y100" s="57" t="n"/>
      <c r="Z100" s="57" t="n"/>
      <c r="AA100" s="63" t="n"/>
    </row>
    <row r="101" hidden="1" ht="13.5" customHeight="1" s="56">
      <c r="A101" s="57" t="inlineStr">
        <is>
          <t>CRM</t>
        </is>
      </c>
      <c r="B101" s="69" t="n">
        <v>13</v>
      </c>
      <c r="C101" s="61" t="n">
        <v>139.17</v>
      </c>
      <c r="D101" s="61" t="n">
        <v>38.462</v>
      </c>
      <c r="E101" s="61" t="n">
        <v>1.479</v>
      </c>
      <c r="F101" s="67" t="n">
        <v>45208</v>
      </c>
      <c r="G101" s="66" t="n"/>
      <c r="H101" s="67" t="n">
        <v>45212</v>
      </c>
      <c r="I101" s="66" t="n"/>
      <c r="J101" s="28">
        <f>IF(ISBLANK(F101:G101),,IF(COUNTA(F101)=0,G101,F101))</f>
        <v/>
      </c>
      <c r="K101" s="6">
        <f>IFERROR(__xludf.DUMMYFUNCTION("if(isblank(J101),,index(googlefinance(A101,K$2,J101-1),2,2))"),207.22)</f>
        <v/>
      </c>
      <c r="L101" s="29">
        <f>IF(ISBLANK(H101:I101),,IF(COUNTA(H101)=0,I101,H101))</f>
        <v/>
      </c>
      <c r="M101" s="7">
        <f>IFERROR(__xludf.DUMMYFUNCTION("if(isblank(L101),, index(googlefinance(A101,M$2,L101-1),2,2))"),205.68)</f>
        <v/>
      </c>
      <c r="N101" s="8">
        <f>IFERROR(__xludf.DUMMYFUNCTION("if(isblank(A101),,googlefinance(A101))"),294.33)</f>
        <v/>
      </c>
      <c r="O101" s="59">
        <f>IF(ISBLANK(J101),,IF(ISBLANK(L101),"Ongoing","Completed"))</f>
        <v/>
      </c>
      <c r="P101" s="70">
        <f>IF(ISBLANK(A101),,IF(AND(COUNTA(F101)=1,S101&gt;0),"Profit",IF(AND(COUNTA(G101)=1,S101&lt;0),"Profit","Loss")))</f>
        <v/>
      </c>
      <c r="Q101" s="31">
        <f>IF(ISBLANK(T101),,IF(P101="Profit",IF(S101&lt;0,T101*-S101,T101*S101),IF(S101&gt;0,T101*-S101,T101*S101)))</f>
        <v/>
      </c>
      <c r="R101" s="59">
        <f>IF($Q101&gt;0, TRUE, FALSE)</f>
        <v/>
      </c>
      <c r="S101" s="59">
        <f>IF(ISBLANK(J101),,IF(ISBLANK(L101),N101-K101,M101-K101))</f>
        <v/>
      </c>
      <c r="T101" s="61">
        <f>IF(ISBLANK(J101),,ROUNDDOWN(T$1/K101,0))</f>
        <v/>
      </c>
      <c r="U101" s="62" t="n"/>
      <c r="V101" s="57" t="n"/>
      <c r="W101" s="57" t="n"/>
      <c r="X101" s="57" t="n"/>
      <c r="Y101" s="57" t="n"/>
      <c r="Z101" s="57" t="n"/>
      <c r="AA101" s="63" t="n"/>
    </row>
    <row r="102" hidden="1" ht="13.5" customHeight="1" s="56">
      <c r="A102" s="57" t="inlineStr">
        <is>
          <t>LHX</t>
        </is>
      </c>
      <c r="B102" s="69" t="n">
        <v>10</v>
      </c>
      <c r="C102" s="61" t="n">
        <v>196</v>
      </c>
      <c r="D102" s="61" t="n">
        <v>50</v>
      </c>
      <c r="E102" s="61" t="n">
        <v>6.532</v>
      </c>
      <c r="F102" s="67" t="n">
        <v>45208</v>
      </c>
      <c r="G102" s="66" t="n"/>
      <c r="H102" s="67" t="n">
        <v>45219</v>
      </c>
      <c r="I102" s="66" t="n"/>
      <c r="J102" s="28">
        <f>IF(ISBLANK(F102:G102),,IF(COUNTA(F102)=0,G102,F102))</f>
        <v/>
      </c>
      <c r="K102" s="6">
        <f>IFERROR(__xludf.DUMMYFUNCTION("if(isblank(J102),,index(googlefinance(A102,K$2,J102-1),2,2))"),180.21)</f>
        <v/>
      </c>
      <c r="L102" s="29">
        <f>IF(ISBLANK(H102:I102),,IF(COUNTA(H102)=0,I102,H102))</f>
        <v/>
      </c>
      <c r="M102" s="7">
        <f>IFERROR(__xludf.DUMMYFUNCTION("if(isblank(L102),, index(googlefinance(A102,M$2,L102-1),2,2))"),177.9)</f>
        <v/>
      </c>
      <c r="N102" s="8">
        <f>IFERROR(__xludf.DUMMYFUNCTION("if(isblank(A102),,googlefinance(A102))"),212.86)</f>
        <v/>
      </c>
      <c r="O102" s="59">
        <f>IF(ISBLANK(J102),,IF(ISBLANK(L102),"Ongoing","Completed"))</f>
        <v/>
      </c>
      <c r="P102" s="70">
        <f>IF(ISBLANK(A102),,IF(AND(COUNTA(F102)=1,S102&gt;0),"Profit",IF(AND(COUNTA(G102)=1,S102&lt;0),"Profit","Loss")))</f>
        <v/>
      </c>
      <c r="Q102" s="31">
        <f>IF(ISBLANK(T102),,IF(P102="Profit",IF(S102&lt;0,T102*-S102,T102*S102),IF(S102&gt;0,T102*-S102,T102*S102)))</f>
        <v/>
      </c>
      <c r="R102" s="59">
        <f>IF($Q102&gt;0, TRUE, FALSE)</f>
        <v/>
      </c>
      <c r="S102" s="59">
        <f>IF(ISBLANK(J102),,IF(ISBLANK(L102),N102-K102,M102-K102))</f>
        <v/>
      </c>
      <c r="T102" s="61">
        <f>IF(ISBLANK(J102),,ROUNDDOWN(T$1/K102,0))</f>
        <v/>
      </c>
      <c r="U102" s="62" t="n"/>
      <c r="V102" s="57" t="n"/>
      <c r="W102" s="57" t="n"/>
      <c r="X102" s="57" t="n"/>
      <c r="Y102" s="57" t="n"/>
      <c r="Z102" s="57" t="n"/>
      <c r="AA102" s="63" t="n"/>
    </row>
    <row r="103" hidden="1" ht="13.5" customHeight="1" s="56">
      <c r="A103" s="57" t="inlineStr">
        <is>
          <t>MO</t>
        </is>
      </c>
      <c r="B103" s="69" t="n">
        <v>12</v>
      </c>
      <c r="C103" s="61" t="n">
        <v>101.13</v>
      </c>
      <c r="D103" s="61" t="n">
        <v>41.667</v>
      </c>
      <c r="E103" s="61" t="n">
        <v>1.923</v>
      </c>
      <c r="F103" s="67" t="n">
        <v>45208</v>
      </c>
      <c r="G103" s="66" t="n"/>
      <c r="H103" s="67" t="n">
        <v>45218</v>
      </c>
      <c r="I103" s="66" t="n"/>
      <c r="J103" s="28">
        <f>IF(ISBLANK(F103:G103),,IF(COUNTA(F103)=0,G103,F103))</f>
        <v/>
      </c>
      <c r="K103" s="6">
        <f>IFERROR(__xludf.DUMMYFUNCTION("if(isblank(J103),,index(googlefinance(A103,K$2,J103-1),2,2))"),42.7)</f>
        <v/>
      </c>
      <c r="L103" s="29">
        <f>IF(ISBLANK(H103:I103),,IF(COUNTA(H103)=0,I103,H103))</f>
        <v/>
      </c>
      <c r="M103" s="7">
        <f>IFERROR(__xludf.DUMMYFUNCTION("if(isblank(L103),, index(googlefinance(A103,M$2,L103-1),2,2))"),43.12)</f>
        <v/>
      </c>
      <c r="N103" s="8">
        <f>IFERROR(__xludf.DUMMYFUNCTION("if(isblank(A103),,googlefinance(A103))"),43.87)</f>
        <v/>
      </c>
      <c r="O103" s="59">
        <f>IF(ISBLANK(J103),,IF(ISBLANK(L103),"Ongoing","Completed"))</f>
        <v/>
      </c>
      <c r="P103" s="68">
        <f>IF(ISBLANK(A103),,IF(AND(COUNTA(F103)=1,S103&gt;0),"Profit",IF(AND(COUNTA(G103)=1,S103&lt;0),"Profit","Loss")))</f>
        <v/>
      </c>
      <c r="Q103" s="26">
        <f>IF(ISBLANK(T103),,IF(P103="Profit",IF(S103&lt;0,T103*-S103,T103*S103),IF(S103&gt;0,T103*-S103,T103*S103)))</f>
        <v/>
      </c>
      <c r="R103" s="59">
        <f>IF($Q103&gt;0, TRUE, FALSE)</f>
        <v/>
      </c>
      <c r="S103" s="59">
        <f>IF(ISBLANK(J103),,IF(ISBLANK(L103),N103-K103,M103-K103))</f>
        <v/>
      </c>
      <c r="T103" s="61">
        <f>IF(ISBLANK(J103),,ROUNDDOWN(T$1/K103,0))</f>
        <v/>
      </c>
      <c r="U103" s="62" t="n"/>
      <c r="V103" s="57" t="n"/>
      <c r="W103" s="57" t="n"/>
      <c r="X103" s="57" t="n"/>
      <c r="Y103" s="57" t="n"/>
      <c r="Z103" s="57" t="n"/>
      <c r="AA103" s="63" t="n"/>
    </row>
    <row r="104" hidden="1" ht="13.5" customHeight="1" s="56">
      <c r="A104" s="57" t="inlineStr">
        <is>
          <t>MRK</t>
        </is>
      </c>
      <c r="B104" s="69" t="n">
        <v>9</v>
      </c>
      <c r="C104" s="61" t="n">
        <v>169.535</v>
      </c>
      <c r="D104" s="61" t="n">
        <v>44.444</v>
      </c>
      <c r="E104" s="61" t="n">
        <v>3.177</v>
      </c>
      <c r="F104" s="67" t="n">
        <v>45208</v>
      </c>
      <c r="G104" s="66" t="n"/>
      <c r="H104" s="67" t="n">
        <v>45217</v>
      </c>
      <c r="I104" s="66" t="n"/>
      <c r="J104" s="28">
        <f>IF(ISBLANK(F104:G104),,IF(COUNTA(F104)=0,G104,F104))</f>
        <v/>
      </c>
      <c r="K104" s="6">
        <f>IFERROR(__xludf.DUMMYFUNCTION("if(isblank(J104),,index(googlefinance(A104,K$2,J104-1),2,2))"),104.5)</f>
        <v/>
      </c>
      <c r="L104" s="29">
        <f>IF(ISBLANK(H104:I104),,IF(COUNTA(H104)=0,I104,H104))</f>
        <v/>
      </c>
      <c r="M104" s="7">
        <f>IFERROR(__xludf.DUMMYFUNCTION("if(isblank(L104),, index(googlefinance(A104,M$2,L104-1),2,2))"),104.17)</f>
        <v/>
      </c>
      <c r="N104" s="8">
        <f>IFERROR(__xludf.DUMMYFUNCTION("if(isblank(A104),,googlefinance(A104))"),121.52)</f>
        <v/>
      </c>
      <c r="O104" s="59">
        <f>IF(ISBLANK(J104),,IF(ISBLANK(L104),"Ongoing","Completed"))</f>
        <v/>
      </c>
      <c r="P104" s="70">
        <f>IF(ISBLANK(A104),,IF(AND(COUNTA(F104)=1,S104&gt;0),"Profit",IF(AND(COUNTA(G104)=1,S104&lt;0),"Profit","Loss")))</f>
        <v/>
      </c>
      <c r="Q104" s="31">
        <f>IF(ISBLANK(T104),,IF(P104="Profit",IF(S104&lt;0,T104*-S104,T104*S104),IF(S104&gt;0,T104*-S104,T104*S104)))</f>
        <v/>
      </c>
      <c r="R104" s="59">
        <f>IF($Q104&gt;0, TRUE, FALSE)</f>
        <v/>
      </c>
      <c r="S104" s="59">
        <f>IF(ISBLANK(J104),,IF(ISBLANK(L104),N104-K104,M104-K104))</f>
        <v/>
      </c>
      <c r="T104" s="61">
        <f>IF(ISBLANK(J104),,ROUNDDOWN(T$1/K104,0))</f>
        <v/>
      </c>
      <c r="U104" s="62" t="n"/>
      <c r="V104" s="57" t="n"/>
      <c r="W104" s="57" t="n"/>
      <c r="X104" s="57" t="n"/>
      <c r="Y104" s="57" t="n"/>
      <c r="Z104" s="57" t="n"/>
      <c r="AA104" s="63" t="n"/>
    </row>
    <row r="105" hidden="1" ht="13.5" customHeight="1" s="56">
      <c r="A105" s="57" t="inlineStr">
        <is>
          <t>CAG</t>
        </is>
      </c>
      <c r="B105" s="69" t="n">
        <v>13</v>
      </c>
      <c r="C105" s="61" t="n">
        <v>132.82</v>
      </c>
      <c r="D105" s="61" t="n">
        <v>53.846</v>
      </c>
      <c r="E105" s="61" t="n">
        <v>1.966</v>
      </c>
      <c r="F105" s="67" t="n">
        <v>45209</v>
      </c>
      <c r="G105" s="66" t="n"/>
      <c r="H105" s="67" t="n">
        <v>45257</v>
      </c>
      <c r="I105" s="66" t="n"/>
      <c r="J105" s="28">
        <f>IF(ISBLANK(F105:G105),,IF(COUNTA(F105)=0,G105,F105))</f>
        <v/>
      </c>
      <c r="K105" s="6">
        <f>IFERROR(__xludf.DUMMYFUNCTION("if(isblank(J105),,index(googlefinance(A105,K$2,J105-1),2,2))"),27.59)</f>
        <v/>
      </c>
      <c r="L105" s="29">
        <f>IF(ISBLANK(H105:I105),,IF(COUNTA(H105)=0,I105,H105))</f>
        <v/>
      </c>
      <c r="M105" s="7">
        <f>IFERROR(__xludf.DUMMYFUNCTION("if(isblank(L105),, index(googlefinance(A105,M$2,L105-1),2,2))"),28.19)</f>
        <v/>
      </c>
      <c r="N105" s="8">
        <f>IFERROR(__xludf.DUMMYFUNCTION("if(isblank(A105),,googlefinance(A105))"),28.07)</f>
        <v/>
      </c>
      <c r="O105" s="59">
        <f>IF(ISBLANK(J105),,IF(ISBLANK(L105),"Ongoing","Completed"))</f>
        <v/>
      </c>
      <c r="P105" s="68">
        <f>IF(ISBLANK(A105),,IF(AND(COUNTA(F105)=1,S105&gt;0),"Profit",IF(AND(COUNTA(G105)=1,S105&lt;0),"Profit","Loss")))</f>
        <v/>
      </c>
      <c r="Q105" s="26">
        <f>IF(ISBLANK(T105),,IF(P105="Profit",IF(S105&lt;0,T105*-S105,T105*S105),IF(S105&gt;0,T105*-S105,T105*S105)))</f>
        <v/>
      </c>
      <c r="R105" s="59">
        <f>IF($Q105&gt;0, TRUE, FALSE)</f>
        <v/>
      </c>
      <c r="S105" s="59">
        <f>IF(ISBLANK(J105),,IF(ISBLANK(L105),N105-K105,M105-K105))</f>
        <v/>
      </c>
      <c r="T105" s="61">
        <f>IF(ISBLANK(J105),,ROUNDDOWN(T$1/K105,0))</f>
        <v/>
      </c>
      <c r="U105" s="62" t="n"/>
      <c r="V105" s="57" t="n"/>
      <c r="W105" s="57" t="n"/>
      <c r="X105" s="57" t="n"/>
      <c r="Y105" s="57" t="n"/>
      <c r="Z105" s="57" t="n"/>
      <c r="AA105" s="63" t="n"/>
    </row>
    <row r="106" hidden="1" ht="13.5" customHeight="1" s="56">
      <c r="A106" s="57" t="inlineStr">
        <is>
          <t>CCI</t>
        </is>
      </c>
      <c r="B106" s="69" t="n">
        <v>9</v>
      </c>
      <c r="C106" s="61" t="n">
        <v>61.58</v>
      </c>
      <c r="D106" s="61" t="n">
        <v>44.444</v>
      </c>
      <c r="E106" s="61" t="n">
        <v>1.377</v>
      </c>
      <c r="F106" s="67" t="n">
        <v>45209</v>
      </c>
      <c r="G106" s="66" t="n"/>
      <c r="H106" s="67" t="n">
        <v>45217</v>
      </c>
      <c r="I106" s="66" t="n"/>
      <c r="J106" s="28">
        <f>IF(ISBLANK(F106:G106),,IF(COUNTA(F106)=0,G106,F106))</f>
        <v/>
      </c>
      <c r="K106" s="6">
        <f>IFERROR(__xludf.DUMMYFUNCTION("if(isblank(J106),,index(googlefinance(A106,K$2,J106-1),2,2))"),93.18)</f>
        <v/>
      </c>
      <c r="L106" s="29">
        <f>IF(ISBLANK(H106:I106),,IF(COUNTA(H106)=0,I106,H106))</f>
        <v/>
      </c>
      <c r="M106" s="7">
        <f>IFERROR(__xludf.DUMMYFUNCTION("if(isblank(L106),, index(googlefinance(A106,M$2,L106-1),2,2))"),93.4)</f>
        <v/>
      </c>
      <c r="N106" s="8">
        <f>IFERROR(__xludf.DUMMYFUNCTION("if(isblank(A106),,googlefinance(A106))"),105.77)</f>
        <v/>
      </c>
      <c r="O106" s="59">
        <f>IF(ISBLANK(J106),,IF(ISBLANK(L106),"Ongoing","Completed"))</f>
        <v/>
      </c>
      <c r="P106" s="68">
        <f>IF(ISBLANK(A106),,IF(AND(COUNTA(F106)=1,S106&gt;0),"Profit",IF(AND(COUNTA(G106)=1,S106&lt;0),"Profit","Loss")))</f>
        <v/>
      </c>
      <c r="Q106" s="26">
        <f>IF(ISBLANK(T106),,IF(P106="Profit",IF(S106&lt;0,T106*-S106,T106*S106),IF(S106&gt;0,T106*-S106,T106*S106)))</f>
        <v/>
      </c>
      <c r="R106" s="59">
        <f>IF($Q106&gt;0, TRUE, FALSE)</f>
        <v/>
      </c>
      <c r="S106" s="59">
        <f>IF(ISBLANK(J106),,IF(ISBLANK(L106),N106-K106,M106-K106))</f>
        <v/>
      </c>
      <c r="T106" s="61">
        <f>IF(ISBLANK(J106),,ROUNDDOWN(T$1/K106,0))</f>
        <v/>
      </c>
      <c r="U106" s="62" t="n"/>
      <c r="V106" s="57" t="n"/>
      <c r="W106" s="57" t="n"/>
      <c r="X106" s="57" t="n"/>
      <c r="Y106" s="57" t="n"/>
      <c r="Z106" s="57" t="n"/>
      <c r="AA106" s="63" t="n"/>
    </row>
    <row r="107" hidden="1" ht="13.5" customHeight="1" s="56">
      <c r="A107" s="57" t="inlineStr">
        <is>
          <t>CMCSA</t>
        </is>
      </c>
      <c r="B107" s="69" t="n">
        <v>9</v>
      </c>
      <c r="C107" s="61" t="n">
        <v>187.86</v>
      </c>
      <c r="D107" s="61" t="n">
        <v>55.556</v>
      </c>
      <c r="E107" s="61" t="n">
        <v>3.621</v>
      </c>
      <c r="F107" s="67" t="n">
        <v>45209</v>
      </c>
      <c r="G107" s="66" t="n"/>
      <c r="H107" s="67" t="n">
        <v>45218</v>
      </c>
      <c r="I107" s="66" t="n"/>
      <c r="J107" s="28">
        <f>IF(ISBLANK(F107:G107),,IF(COUNTA(F107)=0,G107,F107))</f>
        <v/>
      </c>
      <c r="K107" s="6">
        <f>IFERROR(__xludf.DUMMYFUNCTION("if(isblank(J107),,index(googlefinance(A107,K$2,J107-1),2,2))"),44.09)</f>
        <v/>
      </c>
      <c r="L107" s="29">
        <f>IF(ISBLANK(H107:I107),,IF(COUNTA(H107)=0,I107,H107))</f>
        <v/>
      </c>
      <c r="M107" s="7">
        <f>IFERROR(__xludf.DUMMYFUNCTION("if(isblank(L107),, index(googlefinance(A107,M$2,L107-1),2,2))"),44.02)</f>
        <v/>
      </c>
      <c r="N107" s="8">
        <f>IFERROR(__xludf.DUMMYFUNCTION("if(isblank(A107),,googlefinance(A107))"),42.77)</f>
        <v/>
      </c>
      <c r="O107" s="59">
        <f>IF(ISBLANK(J107),,IF(ISBLANK(L107),"Ongoing","Completed"))</f>
        <v/>
      </c>
      <c r="P107" s="70">
        <f>IF(ISBLANK(A107),,IF(AND(COUNTA(F107)=1,S107&gt;0),"Profit",IF(AND(COUNTA(G107)=1,S107&lt;0),"Profit","Loss")))</f>
        <v/>
      </c>
      <c r="Q107" s="31">
        <f>IF(ISBLANK(T107),,IF(P107="Profit",IF(S107&lt;0,T107*-S107,T107*S107),IF(S107&gt;0,T107*-S107,T107*S107)))</f>
        <v/>
      </c>
      <c r="R107" s="59">
        <f>IF($Q107&gt;0, TRUE, FALSE)</f>
        <v/>
      </c>
      <c r="S107" s="59">
        <f>IF(ISBLANK(J107),,IF(ISBLANK(L107),N107-K107,M107-K107))</f>
        <v/>
      </c>
      <c r="T107" s="61">
        <f>IF(ISBLANK(J107),,ROUNDDOWN(T$1/K107,0))</f>
        <v/>
      </c>
      <c r="U107" s="62" t="n"/>
      <c r="V107" s="57" t="n"/>
      <c r="W107" s="57" t="n"/>
      <c r="X107" s="57" t="n"/>
      <c r="Y107" s="57" t="n"/>
      <c r="Z107" s="57" t="n"/>
      <c r="AA107" s="63" t="n"/>
    </row>
    <row r="108" hidden="1" ht="13.5" customHeight="1" s="56">
      <c r="A108" s="57" t="inlineStr">
        <is>
          <t>DLR</t>
        </is>
      </c>
      <c r="B108" s="69" t="n">
        <v>13</v>
      </c>
      <c r="C108" s="61" t="n">
        <v>35.26</v>
      </c>
      <c r="D108" s="61" t="n">
        <v>46.154</v>
      </c>
      <c r="E108" s="61" t="n">
        <v>1.179</v>
      </c>
      <c r="F108" s="67" t="n">
        <v>45209</v>
      </c>
      <c r="G108" s="66" t="n"/>
      <c r="H108" s="67" t="n">
        <v>45217</v>
      </c>
      <c r="I108" s="66" t="n"/>
      <c r="J108" s="28">
        <f>IF(ISBLANK(F108:G108),,IF(COUNTA(F108)=0,G108,F108))</f>
        <v/>
      </c>
      <c r="K108" s="6">
        <f>IFERROR(__xludf.DUMMYFUNCTION("if(isblank(J108),,index(googlefinance(A108,K$2,J108-1),2,2))"),119.05)</f>
        <v/>
      </c>
      <c r="L108" s="29">
        <f>IF(ISBLANK(H108:I108),,IF(COUNTA(H108)=0,I108,H108))</f>
        <v/>
      </c>
      <c r="M108" s="7">
        <f>IFERROR(__xludf.DUMMYFUNCTION("if(isblank(L108),, index(googlefinance(A108,M$2,L108-1),2,2))"),123.29)</f>
        <v/>
      </c>
      <c r="N108" s="8">
        <f>IFERROR(__xludf.DUMMYFUNCTION("if(isblank(A108),,googlefinance(A108))"),140.86)</f>
        <v/>
      </c>
      <c r="O108" s="59">
        <f>IF(ISBLANK(J108),,IF(ISBLANK(L108),"Ongoing","Completed"))</f>
        <v/>
      </c>
      <c r="P108" s="68">
        <f>IF(ISBLANK(A108),,IF(AND(COUNTA(F108)=1,S108&gt;0),"Profit",IF(AND(COUNTA(G108)=1,S108&lt;0),"Profit","Loss")))</f>
        <v/>
      </c>
      <c r="Q108" s="26">
        <f>IF(ISBLANK(T108),,IF(P108="Profit",IF(S108&lt;0,T108*-S108,T108*S108),IF(S108&gt;0,T108*-S108,T108*S108)))</f>
        <v/>
      </c>
      <c r="R108" s="59">
        <f>IF($Q108&gt;0, TRUE, FALSE)</f>
        <v/>
      </c>
      <c r="S108" s="59">
        <f>IF(ISBLANK(J108),,IF(ISBLANK(L108),N108-K108,M108-K108))</f>
        <v/>
      </c>
      <c r="T108" s="61">
        <f>IF(ISBLANK(J108),,ROUNDDOWN(T$1/K108,0))</f>
        <v/>
      </c>
      <c r="U108" s="62" t="n"/>
      <c r="V108" s="57" t="n"/>
      <c r="W108" s="57" t="n"/>
      <c r="X108" s="57" t="n"/>
      <c r="Y108" s="57" t="n"/>
      <c r="Z108" s="57" t="n"/>
      <c r="AA108" s="63" t="n"/>
    </row>
    <row r="109" hidden="1" ht="13.5" customHeight="1" s="56">
      <c r="A109" s="57" t="inlineStr">
        <is>
          <t>ES</t>
        </is>
      </c>
      <c r="B109" s="69" t="n">
        <v>12</v>
      </c>
      <c r="C109" s="61" t="n">
        <v>138.07</v>
      </c>
      <c r="D109" s="61" t="n">
        <v>41.667</v>
      </c>
      <c r="E109" s="61" t="n">
        <v>2.606</v>
      </c>
      <c r="F109" s="67" t="n">
        <v>45209</v>
      </c>
      <c r="G109" s="66" t="n"/>
      <c r="H109" s="67" t="n">
        <v>45211</v>
      </c>
      <c r="I109" s="66" t="n"/>
      <c r="J109" s="28">
        <f>IF(ISBLANK(F109:G109),,IF(COUNTA(F109)=0,G109,F109))</f>
        <v/>
      </c>
      <c r="K109" s="6">
        <f>IFERROR(__xludf.DUMMYFUNCTION("if(isblank(J109),,index(googlefinance(A109,K$2,J109-1),2,2))"),57.24)</f>
        <v/>
      </c>
      <c r="L109" s="29">
        <f>IF(ISBLANK(H109:I109),,IF(COUNTA(H109)=0,I109,H109))</f>
        <v/>
      </c>
      <c r="M109" s="7">
        <f>IFERROR(__xludf.DUMMYFUNCTION("if(isblank(L109),, index(googlefinance(A109,M$2,L109-1),2,2))"),58.97)</f>
        <v/>
      </c>
      <c r="N109" s="8">
        <f>IFERROR(__xludf.DUMMYFUNCTION("if(isblank(A109),,googlefinance(A109))"),58.92)</f>
        <v/>
      </c>
      <c r="O109" s="59">
        <f>IF(ISBLANK(J109),,IF(ISBLANK(L109),"Ongoing","Completed"))</f>
        <v/>
      </c>
      <c r="P109" s="68">
        <f>IF(ISBLANK(A109),,IF(AND(COUNTA(F109)=1,S109&gt;0),"Profit",IF(AND(COUNTA(G109)=1,S109&lt;0),"Profit","Loss")))</f>
        <v/>
      </c>
      <c r="Q109" s="26">
        <f>IF(ISBLANK(T109),,IF(P109="Profit",IF(S109&lt;0,T109*-S109,T109*S109),IF(S109&gt;0,T109*-S109,T109*S109)))</f>
        <v/>
      </c>
      <c r="R109" s="59">
        <f>IF($Q109&gt;0, TRUE, FALSE)</f>
        <v/>
      </c>
      <c r="S109" s="59">
        <f>IF(ISBLANK(J109),,IF(ISBLANK(L109),N109-K109,M109-K109))</f>
        <v/>
      </c>
      <c r="T109" s="61">
        <f>IF(ISBLANK(J109),,ROUNDDOWN(T$1/K109,0))</f>
        <v/>
      </c>
      <c r="U109" s="62" t="n"/>
      <c r="V109" s="57" t="n"/>
      <c r="W109" s="57" t="n"/>
      <c r="X109" s="57" t="n"/>
      <c r="Y109" s="57" t="n"/>
      <c r="Z109" s="57" t="n"/>
      <c r="AA109" s="63" t="n"/>
    </row>
    <row r="110" hidden="1" ht="13.5" customHeight="1" s="56">
      <c r="A110" s="57" t="inlineStr">
        <is>
          <t>LMT</t>
        </is>
      </c>
      <c r="B110" s="69" t="n">
        <v>11</v>
      </c>
      <c r="C110" s="61" t="n">
        <v>61.46</v>
      </c>
      <c r="D110" s="61" t="n">
        <v>18.182</v>
      </c>
      <c r="E110" s="61" t="n">
        <v>1.654</v>
      </c>
      <c r="F110" s="67" t="n">
        <v>45209</v>
      </c>
      <c r="G110" s="66" t="n"/>
      <c r="H110" s="67" t="n">
        <v>45236</v>
      </c>
      <c r="I110" s="66" t="n"/>
      <c r="J110" s="28">
        <f>IF(ISBLANK(F110:G110),,IF(COUNTA(F110)=0,G110,F110))</f>
        <v/>
      </c>
      <c r="K110" s="6">
        <f>IFERROR(__xludf.DUMMYFUNCTION("if(isblank(J110),,index(googlefinance(A110,K$2,J110-1),2,2))"),436.53)</f>
        <v/>
      </c>
      <c r="L110" s="29">
        <f>IF(ISBLANK(H110:I110),,IF(COUNTA(H110)=0,I110,H110))</f>
        <v/>
      </c>
      <c r="M110" s="7">
        <f>IFERROR(__xludf.DUMMYFUNCTION("if(isblank(L110),, index(googlefinance(A110,M$2,L110-1),2,2))"),451.16)</f>
        <v/>
      </c>
      <c r="N110" s="8">
        <f>IFERROR(__xludf.DUMMYFUNCTION("if(isblank(A110),,googlefinance(A110))"),435.82)</f>
        <v/>
      </c>
      <c r="O110" s="59">
        <f>IF(ISBLANK(J110),,IF(ISBLANK(L110),"Ongoing","Completed"))</f>
        <v/>
      </c>
      <c r="P110" s="68">
        <f>IF(ISBLANK(A110),,IF(AND(COUNTA(F110)=1,S110&gt;0),"Profit",IF(AND(COUNTA(G110)=1,S110&lt;0),"Profit","Loss")))</f>
        <v/>
      </c>
      <c r="Q110" s="26">
        <f>IF(ISBLANK(T110),,IF(P110="Profit",IF(S110&lt;0,T110*-S110,T110*S110),IF(S110&gt;0,T110*-S110,T110*S110)))</f>
        <v/>
      </c>
      <c r="R110" s="59">
        <f>IF($Q110&gt;0, TRUE, FALSE)</f>
        <v/>
      </c>
      <c r="S110" s="59">
        <f>IF(ISBLANK(J110),,IF(ISBLANK(L110),N110-K110,M110-K110))</f>
        <v/>
      </c>
      <c r="T110" s="61">
        <f>IF(ISBLANK(J110),,ROUNDDOWN(T$1/K110,0))</f>
        <v/>
      </c>
      <c r="U110" s="62" t="n"/>
      <c r="V110" s="57" t="n"/>
      <c r="W110" s="57" t="n"/>
      <c r="X110" s="57" t="n"/>
      <c r="Y110" s="57" t="n"/>
      <c r="Z110" s="57" t="n"/>
      <c r="AA110" s="63" t="n"/>
    </row>
    <row r="111" hidden="1" ht="13.5" customHeight="1" s="56">
      <c r="A111" s="57" t="inlineStr">
        <is>
          <t>VTR</t>
        </is>
      </c>
      <c r="B111" s="69" t="n">
        <v>13</v>
      </c>
      <c r="C111" s="61" t="n">
        <v>26.65</v>
      </c>
      <c r="D111" s="61" t="n">
        <v>23.077</v>
      </c>
      <c r="E111" s="61" t="n">
        <v>1.058</v>
      </c>
      <c r="F111" s="67" t="n">
        <v>45209</v>
      </c>
      <c r="G111" s="66" t="n"/>
      <c r="H111" s="67" t="n">
        <v>45219</v>
      </c>
      <c r="I111" s="66" t="n"/>
      <c r="J111" s="28">
        <f>IF(ISBLANK(F111:G111),,IF(COUNTA(F111)=0,G111,F111))</f>
        <v/>
      </c>
      <c r="K111" s="6">
        <f>IFERROR(__xludf.DUMMYFUNCTION("if(isblank(J111),,index(googlefinance(A111,K$2,J111-1),2,2))"),40.71)</f>
        <v/>
      </c>
      <c r="L111" s="29">
        <f>IF(ISBLANK(H111:I111),,IF(COUNTA(H111)=0,I111,H111))</f>
        <v/>
      </c>
      <c r="M111" s="7">
        <f>IFERROR(__xludf.DUMMYFUNCTION("if(isblank(L111),, index(googlefinance(A111,M$2,L111-1),2,2))"),41.83)</f>
        <v/>
      </c>
      <c r="N111" s="8">
        <f>IFERROR(__xludf.DUMMYFUNCTION("if(isblank(A111),,googlefinance(A111))"),42.48)</f>
        <v/>
      </c>
      <c r="O111" s="59">
        <f>IF(ISBLANK(J111),,IF(ISBLANK(L111),"Ongoing","Completed"))</f>
        <v/>
      </c>
      <c r="P111" s="68">
        <f>IF(ISBLANK(A111),,IF(AND(COUNTA(F111)=1,S111&gt;0),"Profit",IF(AND(COUNTA(G111)=1,S111&lt;0),"Profit","Loss")))</f>
        <v/>
      </c>
      <c r="Q111" s="26">
        <f>IF(ISBLANK(T111),,IF(P111="Profit",IF(S111&lt;0,T111*-S111,T111*S111),IF(S111&gt;0,T111*-S111,T111*S111)))</f>
        <v/>
      </c>
      <c r="R111" s="59">
        <f>IF($Q111&gt;0, TRUE, FALSE)</f>
        <v/>
      </c>
      <c r="S111" s="59">
        <f>IF(ISBLANK(J111),,IF(ISBLANK(L111),N111-K111,M111-K111))</f>
        <v/>
      </c>
      <c r="T111" s="61">
        <f>IF(ISBLANK(J111),,ROUNDDOWN(T$1/K111,0))</f>
        <v/>
      </c>
      <c r="U111" s="62" t="n"/>
      <c r="V111" s="57" t="n"/>
      <c r="W111" s="57" t="n"/>
      <c r="X111" s="57" t="n"/>
      <c r="Y111" s="57" t="n"/>
      <c r="Z111" s="57" t="n"/>
      <c r="AA111" s="63" t="n"/>
    </row>
    <row r="112" hidden="1" ht="13.5" customHeight="1" s="56">
      <c r="A112" s="57" t="inlineStr">
        <is>
          <t>WFC</t>
        </is>
      </c>
      <c r="B112" s="69" t="n">
        <v>8</v>
      </c>
      <c r="C112" s="61" t="n">
        <v>113.8</v>
      </c>
      <c r="D112" s="61" t="n">
        <v>37.5</v>
      </c>
      <c r="E112" s="61" t="n">
        <v>1.809</v>
      </c>
      <c r="F112" s="67" t="n">
        <v>45209</v>
      </c>
      <c r="G112" s="66" t="n"/>
      <c r="H112" s="67" t="n">
        <v>45219</v>
      </c>
      <c r="I112" s="66" t="n"/>
      <c r="J112" s="28">
        <f>IF(ISBLANK(F112:G112),,IF(COUNTA(F112)=0,G112,F112))</f>
        <v/>
      </c>
      <c r="K112" s="6">
        <f>IFERROR(__xludf.DUMMYFUNCTION("if(isblank(J112),,index(googlefinance(A112,K$2,J112-1),2,2))"),39.7)</f>
        <v/>
      </c>
      <c r="L112" s="29">
        <f>IF(ISBLANK(H112:I112),,IF(COUNTA(H112)=0,I112,H112))</f>
        <v/>
      </c>
      <c r="M112" s="7">
        <f>IFERROR(__xludf.DUMMYFUNCTION("if(isblank(L112),, index(googlefinance(A112,M$2,L112-1),2,2))"),41.18)</f>
        <v/>
      </c>
      <c r="N112" s="8">
        <f>IFERROR(__xludf.DUMMYFUNCTION("if(isblank(A112),,googlefinance(A112))"),57.51)</f>
        <v/>
      </c>
      <c r="O112" s="59">
        <f>IF(ISBLANK(J112),,IF(ISBLANK(L112),"Ongoing","Completed"))</f>
        <v/>
      </c>
      <c r="P112" s="68">
        <f>IF(ISBLANK(A112),,IF(AND(COUNTA(F112)=1,S112&gt;0),"Profit",IF(AND(COUNTA(G112)=1,S112&lt;0),"Profit","Loss")))</f>
        <v/>
      </c>
      <c r="Q112" s="26">
        <f>IF(ISBLANK(T112),,IF(P112="Profit",IF(S112&lt;0,T112*-S112,T112*S112),IF(S112&gt;0,T112*-S112,T112*S112)))</f>
        <v/>
      </c>
      <c r="R112" s="59">
        <f>IF($Q112&gt;0, TRUE, FALSE)</f>
        <v/>
      </c>
      <c r="S112" s="59">
        <f>IF(ISBLANK(J112),,IF(ISBLANK(L112),N112-K112,M112-K112))</f>
        <v/>
      </c>
      <c r="T112" s="61">
        <f>IF(ISBLANK(J112),,ROUNDDOWN(T$1/K112,0))</f>
        <v/>
      </c>
      <c r="U112" s="62" t="n"/>
      <c r="V112" s="57" t="n"/>
      <c r="W112" s="57" t="n"/>
      <c r="X112" s="57" t="n"/>
      <c r="Y112" s="57" t="n"/>
      <c r="Z112" s="57" t="n"/>
      <c r="AA112" s="63" t="n"/>
    </row>
    <row r="113" hidden="1" ht="13.5" customHeight="1" s="56">
      <c r="A113" s="57" t="inlineStr">
        <is>
          <t>DVN</t>
        </is>
      </c>
      <c r="B113" s="69" t="n">
        <v>8</v>
      </c>
      <c r="C113" s="61" t="n">
        <v>235.18</v>
      </c>
      <c r="D113" s="61" t="n">
        <v>25</v>
      </c>
      <c r="E113" s="61" t="n">
        <v>2.602</v>
      </c>
      <c r="F113" s="67" t="n">
        <v>45210</v>
      </c>
      <c r="G113" s="66" t="n"/>
      <c r="H113" s="67" t="n">
        <v>45222</v>
      </c>
      <c r="I113" s="66" t="n"/>
      <c r="J113" s="28">
        <f>IF(ISBLANK(F113:G113),,IF(COUNTA(F113)=0,G113,F113))</f>
        <v/>
      </c>
      <c r="K113" s="6">
        <f>IFERROR(__xludf.DUMMYFUNCTION("if(isblank(J113),,index(googlefinance(A113,K$2,J113-1),2,2))"),46.07)</f>
        <v/>
      </c>
      <c r="L113" s="29">
        <f>IF(ISBLANK(H113:I113),,IF(COUNTA(H113)=0,I113,H113))</f>
        <v/>
      </c>
      <c r="M113" s="7">
        <f>IFERROR(__xludf.DUMMYFUNCTION("if(isblank(L113),, index(googlefinance(A113,M$2,L113-1),2,2))"),47.71)</f>
        <v/>
      </c>
      <c r="N113" s="8">
        <f>IFERROR(__xludf.DUMMYFUNCTION("if(isblank(A113),,googlefinance(A113))"),47.62)</f>
        <v/>
      </c>
      <c r="O113" s="59">
        <f>IF(ISBLANK(J113),,IF(ISBLANK(L113),"Ongoing","Completed"))</f>
        <v/>
      </c>
      <c r="P113" s="68">
        <f>IF(ISBLANK(A113),,IF(AND(COUNTA(F113)=1,S113&gt;0),"Profit",IF(AND(COUNTA(G113)=1,S113&lt;0),"Profit","Loss")))</f>
        <v/>
      </c>
      <c r="Q113" s="26">
        <f>IF(ISBLANK(T113),,IF(P113="Profit",IF(S113&lt;0,T113*-S113,T113*S113),IF(S113&gt;0,T113*-S113,T113*S113)))</f>
        <v/>
      </c>
      <c r="R113" s="59">
        <f>IF($Q113&gt;0, TRUE, FALSE)</f>
        <v/>
      </c>
      <c r="S113" s="59">
        <f>IF(ISBLANK(J113),,IF(ISBLANK(L113),N113-K113,M113-K113))</f>
        <v/>
      </c>
      <c r="T113" s="61">
        <f>IF(ISBLANK(J113),,ROUNDDOWN(T$1/K113,0))</f>
        <v/>
      </c>
      <c r="U113" s="62" t="n"/>
      <c r="V113" s="57" t="n"/>
      <c r="W113" s="57" t="n"/>
      <c r="X113" s="57" t="n"/>
      <c r="Y113" s="57" t="n"/>
      <c r="Z113" s="57" t="n"/>
      <c r="AA113" s="63" t="n"/>
    </row>
    <row r="114" hidden="1" ht="13.5" customHeight="1" s="56">
      <c r="A114" s="57" t="inlineStr">
        <is>
          <t>EXR</t>
        </is>
      </c>
      <c r="B114" s="69" t="n">
        <v>16</v>
      </c>
      <c r="C114" s="61" t="n">
        <v>257.55</v>
      </c>
      <c r="D114" s="61" t="n">
        <v>31.25</v>
      </c>
      <c r="E114" s="61" t="n">
        <v>2.667</v>
      </c>
      <c r="F114" s="67" t="n">
        <v>45210</v>
      </c>
      <c r="G114" s="66" t="n"/>
      <c r="H114" s="67" t="n">
        <v>45212</v>
      </c>
      <c r="I114" s="66" t="n"/>
      <c r="J114" s="28">
        <f>IF(ISBLANK(F114:G114),,IF(COUNTA(F114)=0,G114,F114))</f>
        <v/>
      </c>
      <c r="K114" s="6">
        <f>IFERROR(__xludf.DUMMYFUNCTION("if(isblank(J114),,index(googlefinance(A114,K$2,J114-1),2,2))"),121.23)</f>
        <v/>
      </c>
      <c r="L114" s="29">
        <f>IF(ISBLANK(H114:I114),,IF(COUNTA(H114)=0,I114,H114))</f>
        <v/>
      </c>
      <c r="M114" s="7">
        <f>IFERROR(__xludf.DUMMYFUNCTION("if(isblank(L114),, index(googlefinance(A114,M$2,L114-1),2,2))"),120.11)</f>
        <v/>
      </c>
      <c r="N114" s="8">
        <f>IFERROR(__xludf.DUMMYFUNCTION("if(isblank(A114),,googlefinance(A114))"),139.33)</f>
        <v/>
      </c>
      <c r="O114" s="59">
        <f>IF(ISBLANK(J114),,IF(ISBLANK(L114),"Ongoing","Completed"))</f>
        <v/>
      </c>
      <c r="P114" s="70">
        <f>IF(ISBLANK(A114),,IF(AND(COUNTA(F114)=1,S114&gt;0),"Profit",IF(AND(COUNTA(G114)=1,S114&lt;0),"Profit","Loss")))</f>
        <v/>
      </c>
      <c r="Q114" s="31">
        <f>IF(ISBLANK(T114),,IF(P114="Profit",IF(S114&lt;0,T114*-S114,T114*S114),IF(S114&gt;0,T114*-S114,T114*S114)))</f>
        <v/>
      </c>
      <c r="R114" s="59">
        <f>IF($Q114&gt;0, TRUE, FALSE)</f>
        <v/>
      </c>
      <c r="S114" s="59">
        <f>IF(ISBLANK(J114),,IF(ISBLANK(L114),N114-K114,M114-K114))</f>
        <v/>
      </c>
      <c r="T114" s="61">
        <f>IF(ISBLANK(J114),,ROUNDDOWN(T$1/K114,0))</f>
        <v/>
      </c>
      <c r="U114" s="62" t="n"/>
      <c r="V114" s="57" t="n"/>
      <c r="W114" s="57" t="n"/>
      <c r="X114" s="57" t="n"/>
      <c r="Y114" s="57" t="n"/>
      <c r="Z114" s="57" t="n"/>
      <c r="AA114" s="63" t="n"/>
    </row>
    <row r="115" hidden="1" ht="13.5" customHeight="1" s="56">
      <c r="A115" s="57" t="inlineStr">
        <is>
          <t>GIS</t>
        </is>
      </c>
      <c r="B115" s="69" t="n">
        <v>7</v>
      </c>
      <c r="C115" s="61" t="n">
        <v>189.88</v>
      </c>
      <c r="D115" s="61" t="n">
        <v>71.429</v>
      </c>
      <c r="E115" s="61" t="n">
        <v>11.888</v>
      </c>
      <c r="F115" s="67" t="n">
        <v>45210</v>
      </c>
      <c r="G115" s="66" t="n"/>
      <c r="H115" s="67" t="n">
        <v>45211</v>
      </c>
      <c r="I115" s="66" t="n"/>
      <c r="J115" s="28">
        <f>IF(ISBLANK(F115:G115),,IF(COUNTA(F115)=0,G115,F115))</f>
        <v/>
      </c>
      <c r="K115" s="6">
        <f>IFERROR(__xludf.DUMMYFUNCTION("if(isblank(J115),,index(googlefinance(A115,K$2,J115-1),2,2))"),63.26)</f>
        <v/>
      </c>
      <c r="L115" s="29">
        <f>IF(ISBLANK(H115:I115),,IF(COUNTA(H115)=0,I115,H115))</f>
        <v/>
      </c>
      <c r="M115" s="7">
        <f>IFERROR(__xludf.DUMMYFUNCTION("if(isblank(L115),, index(googlefinance(A115,M$2,L115-1),2,2))"),62.73)</f>
        <v/>
      </c>
      <c r="N115" s="8">
        <f>IFERROR(__xludf.DUMMYFUNCTION("if(isblank(A115),,googlefinance(A115))"),66.76)</f>
        <v/>
      </c>
      <c r="O115" s="59">
        <f>IF(ISBLANK(J115),,IF(ISBLANK(L115),"Ongoing","Completed"))</f>
        <v/>
      </c>
      <c r="P115" s="70">
        <f>IF(ISBLANK(A115),,IF(AND(COUNTA(F115)=1,S115&gt;0),"Profit",IF(AND(COUNTA(G115)=1,S115&lt;0),"Profit","Loss")))</f>
        <v/>
      </c>
      <c r="Q115" s="31">
        <f>IF(ISBLANK(T115),,IF(P115="Profit",IF(S115&lt;0,T115*-S115,T115*S115),IF(S115&gt;0,T115*-S115,T115*S115)))</f>
        <v/>
      </c>
      <c r="R115" s="59">
        <f>IF($Q115&gt;0, TRUE, FALSE)</f>
        <v/>
      </c>
      <c r="S115" s="59">
        <f>IF(ISBLANK(J115),,IF(ISBLANK(L115),N115-K115,M115-K115))</f>
        <v/>
      </c>
      <c r="T115" s="61">
        <f>IF(ISBLANK(J115),,ROUNDDOWN(T$1/K115,0))</f>
        <v/>
      </c>
      <c r="U115" s="62" t="n"/>
      <c r="V115" s="57" t="n"/>
      <c r="W115" s="57" t="n"/>
      <c r="X115" s="57" t="n"/>
      <c r="Y115" s="57" t="n"/>
      <c r="Z115" s="57" t="n"/>
      <c r="AA115" s="63" t="n"/>
    </row>
    <row r="116" hidden="1" ht="13.5" customHeight="1" s="56">
      <c r="A116" s="57" t="inlineStr">
        <is>
          <t>SPG</t>
        </is>
      </c>
      <c r="B116" s="69" t="n">
        <v>15</v>
      </c>
      <c r="C116" s="61" t="n">
        <v>109.92</v>
      </c>
      <c r="D116" s="61" t="n">
        <v>33.333</v>
      </c>
      <c r="E116" s="61" t="n">
        <v>1.404</v>
      </c>
      <c r="F116" s="67" t="n">
        <v>45210</v>
      </c>
      <c r="G116" s="66" t="n"/>
      <c r="H116" s="67" t="n">
        <v>45218</v>
      </c>
      <c r="I116" s="66" t="n"/>
      <c r="J116" s="28">
        <f>IF(ISBLANK(F116:G116),,IF(COUNTA(F116)=0,G116,F116))</f>
        <v/>
      </c>
      <c r="K116" s="6">
        <f>IFERROR(__xludf.DUMMYFUNCTION("if(isblank(J116),,index(googlefinance(A116,K$2,J116-1),2,2))"),106.15)</f>
        <v/>
      </c>
      <c r="L116" s="29">
        <f>IF(ISBLANK(H116:I116),,IF(COUNTA(H116)=0,I116,H116))</f>
        <v/>
      </c>
      <c r="M116" s="7">
        <f>IFERROR(__xludf.DUMMYFUNCTION("if(isblank(L116),, index(googlefinance(A116,M$2,L116-1),2,2))"),108.55)</f>
        <v/>
      </c>
      <c r="N116" s="8">
        <f>IFERROR(__xludf.DUMMYFUNCTION("if(isblank(A116),,googlefinance(A116))"),150.77)</f>
        <v/>
      </c>
      <c r="O116" s="59">
        <f>IF(ISBLANK(J116),,IF(ISBLANK(L116),"Ongoing","Completed"))</f>
        <v/>
      </c>
      <c r="P116" s="68">
        <f>IF(ISBLANK(A116),,IF(AND(COUNTA(F116)=1,S116&gt;0),"Profit",IF(AND(COUNTA(G116)=1,S116&lt;0),"Profit","Loss")))</f>
        <v/>
      </c>
      <c r="Q116" s="26">
        <f>IF(ISBLANK(T116),,IF(P116="Profit",IF(S116&lt;0,T116*-S116,T116*S116),IF(S116&gt;0,T116*-S116,T116*S116)))</f>
        <v/>
      </c>
      <c r="R116" s="59">
        <f>IF($Q116&gt;0, TRUE, FALSE)</f>
        <v/>
      </c>
      <c r="S116" s="59">
        <f>IF(ISBLANK(J116),,IF(ISBLANK(L116),N116-K116,M116-K116))</f>
        <v/>
      </c>
      <c r="T116" s="61">
        <f>IF(ISBLANK(J116),,ROUNDDOWN(T$1/K116,0))</f>
        <v/>
      </c>
      <c r="U116" s="62" t="n"/>
      <c r="V116" s="57" t="n"/>
      <c r="W116" s="57" t="n"/>
      <c r="X116" s="57" t="n"/>
      <c r="Y116" s="57" t="n"/>
      <c r="Z116" s="57" t="n"/>
      <c r="AA116" s="63" t="n"/>
    </row>
    <row r="117" hidden="1" ht="13.5" customHeight="1" s="56">
      <c r="A117" s="57" t="inlineStr">
        <is>
          <t>SYF</t>
        </is>
      </c>
      <c r="B117" s="69" t="n">
        <v>12</v>
      </c>
      <c r="C117" s="61" t="n">
        <v>71.7</v>
      </c>
      <c r="D117" s="61" t="n">
        <v>33.333</v>
      </c>
      <c r="E117" s="61" t="n">
        <v>1.321</v>
      </c>
      <c r="F117" s="67" t="n">
        <v>45210</v>
      </c>
      <c r="G117" s="66" t="n"/>
      <c r="H117" s="67" t="n">
        <v>45212</v>
      </c>
      <c r="I117" s="66" t="n"/>
      <c r="J117" s="28">
        <f>IF(ISBLANK(F117:G117),,IF(COUNTA(F117)=0,G117,F117))</f>
        <v/>
      </c>
      <c r="K117" s="6">
        <f>IFERROR(__xludf.DUMMYFUNCTION("if(isblank(J117),,index(googlefinance(A117,K$2,J117-1),2,2))"),29.84)</f>
        <v/>
      </c>
      <c r="L117" s="29">
        <f>IF(ISBLANK(H117:I117),,IF(COUNTA(H117)=0,I117,H117))</f>
        <v/>
      </c>
      <c r="M117" s="7">
        <f>IFERROR(__xludf.DUMMYFUNCTION("if(isblank(L117),, index(googlefinance(A117,M$2,L117-1),2,2))"),29.43)</f>
        <v/>
      </c>
      <c r="N117" s="8">
        <f>IFERROR(__xludf.DUMMYFUNCTION("if(isblank(A117),,googlefinance(A117))"),41.78)</f>
        <v/>
      </c>
      <c r="O117" s="59">
        <f>IF(ISBLANK(J117),,IF(ISBLANK(L117),"Ongoing","Completed"))</f>
        <v/>
      </c>
      <c r="P117" s="70">
        <f>IF(ISBLANK(A117),,IF(AND(COUNTA(F117)=1,S117&gt;0),"Profit",IF(AND(COUNTA(G117)=1,S117&lt;0),"Profit","Loss")))</f>
        <v/>
      </c>
      <c r="Q117" s="31">
        <f>IF(ISBLANK(T117),,IF(P117="Profit",IF(S117&lt;0,T117*-S117,T117*S117),IF(S117&gt;0,T117*-S117,T117*S117)))</f>
        <v/>
      </c>
      <c r="R117" s="59">
        <f>IF($Q117&gt;0, TRUE, FALSE)</f>
        <v/>
      </c>
      <c r="S117" s="59">
        <f>IF(ISBLANK(J117),,IF(ISBLANK(L117),N117-K117,M117-K117))</f>
        <v/>
      </c>
      <c r="T117" s="61">
        <f>IF(ISBLANK(J117),,ROUNDDOWN(T$1/K117,0))</f>
        <v/>
      </c>
      <c r="U117" s="62" t="n"/>
      <c r="V117" s="57" t="n"/>
      <c r="W117" s="57" t="n"/>
      <c r="X117" s="57" t="n"/>
      <c r="Y117" s="57" t="n"/>
      <c r="Z117" s="57" t="n"/>
      <c r="AA117" s="63" t="n"/>
    </row>
    <row r="118" hidden="1" ht="13.5" customHeight="1" s="56">
      <c r="A118" s="57" t="inlineStr">
        <is>
          <t>NEE</t>
        </is>
      </c>
      <c r="B118" s="69" t="n">
        <v>13</v>
      </c>
      <c r="C118" s="61" t="n">
        <v>40.85</v>
      </c>
      <c r="D118" s="61" t="n">
        <v>30.769</v>
      </c>
      <c r="E118" s="61" t="n">
        <v>1.21</v>
      </c>
      <c r="F118" s="67" t="n">
        <v>45212</v>
      </c>
      <c r="G118" s="66" t="n"/>
      <c r="H118" s="67" t="n">
        <v>45218</v>
      </c>
      <c r="I118" s="66" t="n"/>
      <c r="J118" s="28">
        <f>IF(ISBLANK(F118:G118),,IF(COUNTA(F118)=0,G118,F118))</f>
        <v/>
      </c>
      <c r="K118" s="6">
        <f>IFERROR(__xludf.DUMMYFUNCTION("if(isblank(J118),,index(googlefinance(A118,K$2,J118-1),2,2))"),53.0)</f>
        <v/>
      </c>
      <c r="L118" s="29">
        <f>IF(ISBLANK(H118:I118),,IF(COUNTA(H118)=0,I118,H118))</f>
        <v/>
      </c>
      <c r="M118" s="7">
        <f>IFERROR(__xludf.DUMMYFUNCTION("if(isblank(L118),, index(googlefinance(A118,M$2,L118-1),2,2))"),53.24)</f>
        <v/>
      </c>
      <c r="N118" s="8">
        <f>IFERROR(__xludf.DUMMYFUNCTION("if(isblank(A118),,googlefinance(A118))"),60.08)</f>
        <v/>
      </c>
      <c r="O118" s="59">
        <f>IF(ISBLANK(J118),,IF(ISBLANK(L118),"Ongoing","Completed"))</f>
        <v/>
      </c>
      <c r="P118" s="68">
        <f>IF(ISBLANK(A118),,IF(AND(COUNTA(F118)=1,S118&gt;0),"Profit",IF(AND(COUNTA(G118)=1,S118&lt;0),"Profit","Loss")))</f>
        <v/>
      </c>
      <c r="Q118" s="26">
        <f>IF(ISBLANK(T118),,IF(P118="Profit",IF(S118&lt;0,T118*-S118,T118*S118),IF(S118&gt;0,T118*-S118,T118*S118)))</f>
        <v/>
      </c>
      <c r="R118" s="59">
        <f>IF($Q118&gt;0, TRUE, FALSE)</f>
        <v/>
      </c>
      <c r="S118" s="59">
        <f>IF(ISBLANK(J118),,IF(ISBLANK(L118),N118-K118,M118-K118))</f>
        <v/>
      </c>
      <c r="T118" s="61">
        <f>IF(ISBLANK(J118),,ROUNDDOWN(T$1/K118,0))</f>
        <v/>
      </c>
      <c r="U118" s="62" t="n"/>
      <c r="V118" s="57" t="n"/>
      <c r="W118" s="57" t="n"/>
      <c r="X118" s="57" t="n"/>
      <c r="Y118" s="57" t="n"/>
      <c r="Z118" s="57" t="n"/>
      <c r="AA118" s="63" t="n"/>
    </row>
    <row r="119" hidden="1" ht="13.5" customHeight="1" s="56">
      <c r="A119" s="57" t="inlineStr">
        <is>
          <t>CPB</t>
        </is>
      </c>
      <c r="B119" s="69" t="n">
        <v>10</v>
      </c>
      <c r="C119" s="61" t="n">
        <v>96.63</v>
      </c>
      <c r="D119" s="61" t="n">
        <v>70</v>
      </c>
      <c r="E119" s="61" t="n">
        <v>3.33</v>
      </c>
      <c r="F119" s="67" t="n">
        <v>45215</v>
      </c>
      <c r="G119" s="66" t="n"/>
      <c r="H119" s="67" t="n">
        <v>45222</v>
      </c>
      <c r="I119" s="66" t="n"/>
      <c r="J119" s="28">
        <f>IF(ISBLANK(F119:G119),,IF(COUNTA(F119)=0,G119,F119))</f>
        <v/>
      </c>
      <c r="K119" s="6">
        <f>IFERROR(__xludf.DUMMYFUNCTION("if(isblank(J119),,index(googlefinance(A119,K$2,J119-1),2,2))"),40.1)</f>
        <v/>
      </c>
      <c r="L119" s="29">
        <f>IF(ISBLANK(H119:I119),,IF(COUNTA(H119)=0,I119,H119))</f>
        <v/>
      </c>
      <c r="M119" s="7">
        <f>IFERROR(__xludf.DUMMYFUNCTION("if(isblank(L119),, index(googlefinance(A119,M$2,L119-1),2,2))"),39.51)</f>
        <v/>
      </c>
      <c r="N119" s="8">
        <f>IFERROR(__xludf.DUMMYFUNCTION("if(isblank(A119),,googlefinance(A119))"),42.71)</f>
        <v/>
      </c>
      <c r="O119" s="59">
        <f>IF(ISBLANK(J119),,IF(ISBLANK(L119),"Ongoing","Completed"))</f>
        <v/>
      </c>
      <c r="P119" s="70">
        <f>IF(ISBLANK(A119),,IF(AND(COUNTA(F119)=1,S119&gt;0),"Profit",IF(AND(COUNTA(G119)=1,S119&lt;0),"Profit","Loss")))</f>
        <v/>
      </c>
      <c r="Q119" s="31">
        <f>IF(ISBLANK(T119),,IF(P119="Profit",IF(S119&lt;0,T119*-S119,T119*S119),IF(S119&gt;0,T119*-S119,T119*S119)))</f>
        <v/>
      </c>
      <c r="R119" s="59">
        <f>IF($Q119&gt;0, TRUE, FALSE)</f>
        <v/>
      </c>
      <c r="S119" s="59">
        <f>IF(ISBLANK(J119),,IF(ISBLANK(L119),N119-K119,M119-K119))</f>
        <v/>
      </c>
      <c r="T119" s="61">
        <f>IF(ISBLANK(J119),,ROUNDDOWN(T$1/K119,0))</f>
        <v/>
      </c>
      <c r="U119" s="62" t="n"/>
      <c r="V119" s="57" t="n"/>
      <c r="W119" s="57" t="n"/>
      <c r="X119" s="57" t="n"/>
      <c r="Y119" s="57" t="n"/>
      <c r="Z119" s="57" t="n"/>
      <c r="AA119" s="63" t="n"/>
    </row>
    <row r="120" hidden="1" ht="13.5" customHeight="1" s="56">
      <c r="A120" s="57" t="inlineStr">
        <is>
          <t>BG</t>
        </is>
      </c>
      <c r="B120" s="69" t="n">
        <v>6</v>
      </c>
      <c r="C120" s="61" t="n">
        <v>40.71</v>
      </c>
      <c r="D120" s="61" t="n">
        <v>16.667</v>
      </c>
      <c r="E120" s="61" t="n">
        <v>1.369</v>
      </c>
      <c r="F120" s="67" t="n">
        <v>45216</v>
      </c>
      <c r="G120" s="66" t="n"/>
      <c r="H120" s="67" t="n">
        <v>45219</v>
      </c>
      <c r="I120" s="66" t="n"/>
      <c r="J120" s="28">
        <f>IF(ISBLANK(F120:G120),,IF(COUNTA(F120)=0,G120,F120))</f>
        <v/>
      </c>
      <c r="K120" s="6">
        <f>IFERROR(__xludf.DUMMYFUNCTION("if(isblank(J120),,index(googlefinance(A120,K$2,J120-1),2,2))"),103.33)</f>
        <v/>
      </c>
      <c r="L120" s="29">
        <f>IF(ISBLANK(H120:I120),,IF(COUNTA(H120)=0,I120,H120))</f>
        <v/>
      </c>
      <c r="M120" s="7">
        <f>IFERROR(__xludf.DUMMYFUNCTION("if(isblank(L120),, index(googlefinance(A120,M$2,L120-1),2,2))"),103.65)</f>
        <v/>
      </c>
      <c r="N120" s="8">
        <f>IFERROR(__xludf.DUMMYFUNCTION("if(isblank(A120),,googlefinance(A120))"),95.56)</f>
        <v/>
      </c>
      <c r="O120" s="59">
        <f>IF(ISBLANK(J120),,IF(ISBLANK(L120),"Ongoing","Completed"))</f>
        <v/>
      </c>
      <c r="P120" s="68">
        <f>IF(ISBLANK(A120),,IF(AND(COUNTA(F120)=1,S120&gt;0),"Profit",IF(AND(COUNTA(G120)=1,S120&lt;0),"Profit","Loss")))</f>
        <v/>
      </c>
      <c r="Q120" s="26">
        <f>IF(ISBLANK(T120),,IF(P120="Profit",IF(S120&lt;0,T120*-S120,T120*S120),IF(S120&gt;0,T120*-S120,T120*S120)))</f>
        <v/>
      </c>
      <c r="R120" s="59">
        <f>IF($Q120&gt;0, TRUE, FALSE)</f>
        <v/>
      </c>
      <c r="S120" s="59">
        <f>IF(ISBLANK(J120),,IF(ISBLANK(L120),N120-K120,M120-K120))</f>
        <v/>
      </c>
      <c r="T120" s="61">
        <f>IF(ISBLANK(J120),,ROUNDDOWN(T$1/K120,0))</f>
        <v/>
      </c>
      <c r="U120" s="62" t="n"/>
      <c r="V120" s="57" t="n"/>
      <c r="W120" s="57" t="n"/>
      <c r="X120" s="57" t="n"/>
      <c r="Y120" s="57" t="n"/>
      <c r="Z120" s="57" t="n"/>
      <c r="AA120" s="63" t="n"/>
    </row>
    <row r="121" hidden="1" ht="13.5" customHeight="1" s="56">
      <c r="A121" s="57" t="inlineStr">
        <is>
          <t>PG</t>
        </is>
      </c>
      <c r="B121" s="69" t="n">
        <v>10</v>
      </c>
      <c r="C121" s="61" t="n">
        <v>288.17</v>
      </c>
      <c r="D121" s="61" t="n">
        <v>70</v>
      </c>
      <c r="E121" s="61" t="n">
        <v>10.128</v>
      </c>
      <c r="F121" s="67" t="n">
        <v>45216</v>
      </c>
      <c r="G121" s="66" t="n"/>
      <c r="H121" s="67" t="n">
        <v>45229</v>
      </c>
      <c r="I121" s="66" t="n"/>
      <c r="J121" s="28">
        <f>IF(ISBLANK(F121:G121),,IF(COUNTA(F121)=0,G121,F121))</f>
        <v/>
      </c>
      <c r="K121" s="6">
        <f>IFERROR(__xludf.DUMMYFUNCTION("if(isblank(J121),,index(googlefinance(A121,K$2,J121-1),2,2))"),146.07)</f>
        <v/>
      </c>
      <c r="L121" s="29">
        <f>IF(ISBLANK(H121:I121),,IF(COUNTA(H121)=0,I121,H121))</f>
        <v/>
      </c>
      <c r="M121" s="7">
        <f>IFERROR(__xludf.DUMMYFUNCTION("if(isblank(L121),, index(googlefinance(A121,M$2,L121-1),2,2))"),149.26)</f>
        <v/>
      </c>
      <c r="N121" s="8">
        <f>IFERROR(__xludf.DUMMYFUNCTION("if(isblank(A121),,googlefinance(A121))"),161.38)</f>
        <v/>
      </c>
      <c r="O121" s="59">
        <f>IF(ISBLANK(J121),,IF(ISBLANK(L121),"Ongoing","Completed"))</f>
        <v/>
      </c>
      <c r="P121" s="68">
        <f>IF(ISBLANK(A121),,IF(AND(COUNTA(F121)=1,S121&gt;0),"Profit",IF(AND(COUNTA(G121)=1,S121&lt;0),"Profit","Loss")))</f>
        <v/>
      </c>
      <c r="Q121" s="26">
        <f>IF(ISBLANK(T121),,IF(P121="Profit",IF(S121&lt;0,T121*-S121,T121*S121),IF(S121&gt;0,T121*-S121,T121*S121)))</f>
        <v/>
      </c>
      <c r="R121" s="59">
        <f>IF($Q121&gt;0, TRUE, FALSE)</f>
        <v/>
      </c>
      <c r="S121" s="59">
        <f>IF(ISBLANK(J121),,IF(ISBLANK(L121),N121-K121,M121-K121))</f>
        <v/>
      </c>
      <c r="T121" s="61">
        <f>IF(ISBLANK(J121),,ROUNDDOWN(T$1/K121,0))</f>
        <v/>
      </c>
      <c r="U121" s="62" t="n"/>
      <c r="V121" s="57" t="n"/>
      <c r="W121" s="57" t="n"/>
      <c r="X121" s="57" t="n"/>
      <c r="Y121" s="57" t="n"/>
      <c r="Z121" s="57" t="n"/>
      <c r="AA121" s="63" t="n"/>
    </row>
    <row r="122" hidden="1" ht="13.5" customHeight="1" s="56">
      <c r="A122" s="57" t="inlineStr">
        <is>
          <t>VLO</t>
        </is>
      </c>
      <c r="B122" s="69" t="n">
        <v>13</v>
      </c>
      <c r="C122" s="61" t="n">
        <v>30.98</v>
      </c>
      <c r="D122" s="61" t="n">
        <v>38.462</v>
      </c>
      <c r="E122" s="61" t="n">
        <v>1.109</v>
      </c>
      <c r="F122" s="67" t="n">
        <v>45216</v>
      </c>
      <c r="G122" s="66" t="n"/>
      <c r="H122" s="67" t="n">
        <v>45222</v>
      </c>
      <c r="I122" s="66" t="n"/>
      <c r="J122" s="28">
        <f>IF(ISBLANK(F122:G122),,IF(COUNTA(F122)=0,G122,F122))</f>
        <v/>
      </c>
      <c r="K122" s="6">
        <f>IFERROR(__xludf.DUMMYFUNCTION("if(isblank(J122),,index(googlefinance(A122,K$2,J122-1),2,2))"),129.2)</f>
        <v/>
      </c>
      <c r="L122" s="29">
        <f>IF(ISBLANK(H122:I122),,IF(COUNTA(H122)=0,I122,H122))</f>
        <v/>
      </c>
      <c r="M122" s="7">
        <f>IFERROR(__xludf.DUMMYFUNCTION("if(isblank(L122),, index(googlefinance(A122,M$2,L122-1),2,2))"),130.73)</f>
        <v/>
      </c>
      <c r="N122" s="8">
        <f>IFERROR(__xludf.DUMMYFUNCTION("if(isblank(A122),,googlefinance(A122))"),163.7)</f>
        <v/>
      </c>
      <c r="O122" s="59">
        <f>IF(ISBLANK(J122),,IF(ISBLANK(L122),"Ongoing","Completed"))</f>
        <v/>
      </c>
      <c r="P122" s="68">
        <f>IF(ISBLANK(A122),,IF(AND(COUNTA(F122)=1,S122&gt;0),"Profit",IF(AND(COUNTA(G122)=1,S122&lt;0),"Profit","Loss")))</f>
        <v/>
      </c>
      <c r="Q122" s="26">
        <f>IF(ISBLANK(T122),,IF(P122="Profit",IF(S122&lt;0,T122*-S122,T122*S122),IF(S122&gt;0,T122*-S122,T122*S122)))</f>
        <v/>
      </c>
      <c r="R122" s="59">
        <f>IF($Q122&gt;0, TRUE, FALSE)</f>
        <v/>
      </c>
      <c r="S122" s="59">
        <f>IF(ISBLANK(J122),,IF(ISBLANK(L122),N122-K122,M122-K122))</f>
        <v/>
      </c>
      <c r="T122" s="61">
        <f>IF(ISBLANK(J122),,ROUNDDOWN(T$1/K122,0))</f>
        <v/>
      </c>
      <c r="U122" s="62" t="n"/>
      <c r="V122" s="57" t="n"/>
      <c r="W122" s="57" t="n"/>
      <c r="X122" s="57" t="n"/>
      <c r="Y122" s="57" t="n"/>
      <c r="Z122" s="57" t="n"/>
      <c r="AA122" s="63" t="n"/>
    </row>
    <row r="123" hidden="1" ht="13.5" customHeight="1" s="56">
      <c r="A123" s="57" t="inlineStr">
        <is>
          <t>CHD</t>
        </is>
      </c>
      <c r="B123" s="69" t="n">
        <v>9</v>
      </c>
      <c r="C123" s="61" t="n">
        <v>38.93</v>
      </c>
      <c r="D123" s="61" t="n">
        <v>33.333</v>
      </c>
      <c r="E123" s="61" t="n">
        <v>1.445</v>
      </c>
      <c r="F123" s="67" t="n">
        <v>45216</v>
      </c>
      <c r="G123" s="66" t="n"/>
      <c r="H123" s="67" t="n">
        <v>45228</v>
      </c>
      <c r="I123" s="66" t="n"/>
      <c r="J123" s="28">
        <f>IF(ISBLANK(F123:G123),,IF(COUNTA(F123)=0,G123,F123))</f>
        <v/>
      </c>
      <c r="K123" s="6">
        <f>IFERROR(__xludf.DUMMYFUNCTION("if(isblank(J123),,index(googlefinance(A123,K$2,J123-1),2,2))"),88.94)</f>
        <v/>
      </c>
      <c r="L123" s="29">
        <f>IF(ISBLANK(H123:I123),,IF(COUNTA(H123)=0,I123,H123))</f>
        <v/>
      </c>
      <c r="M123" s="7">
        <f>IFERROR(__xludf.DUMMYFUNCTION("if(isblank(L123),, index(googlefinance(A123,M$2,L123-1),2,2))"),90.76)</f>
        <v/>
      </c>
      <c r="N123" s="8">
        <f>IFERROR(__xludf.DUMMYFUNCTION("if(isblank(A123),,googlefinance(A123))"),104.34)</f>
        <v/>
      </c>
      <c r="O123" s="59">
        <f>IF(ISBLANK(J123),,IF(ISBLANK(L123),"Ongoing","Completed"))</f>
        <v/>
      </c>
      <c r="P123" s="68">
        <f>IF(ISBLANK(A123),,IF(AND(COUNTA(F123)=1,S123&gt;0),"Profit",IF(AND(COUNTA(G123)=1,S123&lt;0),"Profit","Loss")))</f>
        <v/>
      </c>
      <c r="Q123" s="26">
        <f>IF(ISBLANK(T123),,IF(P123="Profit",IF(S123&lt;0,T123*-S123,T123*S123),IF(S123&gt;0,T123*-S123,T123*S123)))</f>
        <v/>
      </c>
      <c r="R123" s="59">
        <f>IF($Q123&gt;0, TRUE, FALSE)</f>
        <v/>
      </c>
      <c r="S123" s="59">
        <f>IF(ISBLANK(J123),,IF(ISBLANK(L123),N123-K123,M123-K123))</f>
        <v/>
      </c>
      <c r="T123" s="61">
        <f>IF(ISBLANK(J123),,ROUNDDOWN(T$1/K123,0))</f>
        <v/>
      </c>
      <c r="U123" s="62" t="n"/>
      <c r="V123" s="57" t="n"/>
      <c r="W123" s="57" t="n"/>
      <c r="X123" s="57" t="n"/>
      <c r="Y123" s="57" t="n"/>
      <c r="Z123" s="57" t="n"/>
      <c r="AA123" s="63" t="n"/>
    </row>
    <row r="124" hidden="1" ht="13.5" customHeight="1" s="56">
      <c r="A124" s="57" t="inlineStr">
        <is>
          <t>GOOGL</t>
        </is>
      </c>
      <c r="B124" s="69" t="n">
        <v>8</v>
      </c>
      <c r="C124" s="61" t="n">
        <v>263.024</v>
      </c>
      <c r="D124" s="61" t="n">
        <v>75</v>
      </c>
      <c r="E124" s="61" t="n">
        <v>6.32</v>
      </c>
      <c r="F124" s="66" t="n"/>
      <c r="G124" s="67" t="n">
        <v>45217</v>
      </c>
      <c r="H124" s="66" t="n"/>
      <c r="I124" s="67" t="n">
        <v>45223</v>
      </c>
      <c r="J124" s="23">
        <f>IF(ISBLANK(G124:H124),,IF(COUNTA(G124)=0,H124,G124))</f>
        <v/>
      </c>
      <c r="K124" s="6">
        <f>IFERROR(__xludf.DUMMYFUNCTION("if(isblank(J124),,index(googlefinance(A124,K$2,J124-1),2,2))"),139.72)</f>
        <v/>
      </c>
      <c r="L124" s="24">
        <f>IF(ISBLANK(H124:I124),,IF(COUNTA(H124)=0,I124,H124))</f>
        <v/>
      </c>
      <c r="M124" s="7">
        <f>IFERROR(__xludf.DUMMYFUNCTION("if(isblank(L124),, index(googlefinance(A124,M$2,L124-1),2,2))"),136.5)</f>
        <v/>
      </c>
      <c r="N124" s="8">
        <f>IFERROR(__xludf.DUMMYFUNCTION("if(isblank(A124),,googlefinance(A124))"),141.18)</f>
        <v/>
      </c>
      <c r="O124" s="59">
        <f>IF(ISBLANK(J124),,IF(ISBLANK(L124),"Ongoing","Completed"))</f>
        <v/>
      </c>
      <c r="P124" s="68">
        <f>IF(ISBLANK(A124),,IF(AND(COUNTA(F124)=1,S124&gt;0),"Profit",IF(AND(COUNTA(G124)=1,S124&lt;0),"Profit","Loss")))</f>
        <v/>
      </c>
      <c r="Q124" s="26">
        <f>IF(ISBLANK(T124),,IF(P124="Profit",IF(S124&lt;0,T124*-S124,T124*S124),IF(S124&gt;0,T124*-S124,T124*S124)))</f>
        <v/>
      </c>
      <c r="R124" s="59">
        <f>IF($Q124&gt;0, TRUE, FALSE)</f>
        <v/>
      </c>
      <c r="S124" s="59">
        <f>IF(ISBLANK(J124),,IF(ISBLANK(L124),N124-K124,M124-K124))</f>
        <v/>
      </c>
      <c r="T124" s="61">
        <f>IF(ISBLANK(J124),,ROUNDDOWN(T$1/K124,0))</f>
        <v/>
      </c>
      <c r="U124" s="62" t="n"/>
      <c r="V124" s="57" t="n"/>
      <c r="W124" s="57" t="n"/>
      <c r="X124" s="57" t="n"/>
      <c r="Y124" s="57" t="n"/>
      <c r="Z124" s="57" t="n"/>
      <c r="AA124" s="63" t="n"/>
    </row>
    <row r="125" hidden="1" ht="13.5" customHeight="1" s="56">
      <c r="A125" s="57" t="inlineStr">
        <is>
          <t>CME</t>
        </is>
      </c>
      <c r="B125" s="69" t="n">
        <v>8</v>
      </c>
      <c r="C125" s="61" t="n">
        <v>69.59</v>
      </c>
      <c r="D125" s="61" t="n">
        <v>37.5</v>
      </c>
      <c r="E125" s="61" t="n">
        <v>2.186</v>
      </c>
      <c r="F125" s="67" t="n">
        <v>45218</v>
      </c>
      <c r="G125" s="66" t="n"/>
      <c r="H125" s="67" t="n">
        <v>45225</v>
      </c>
      <c r="I125" s="66" t="n"/>
      <c r="J125" s="28">
        <f>IF(ISBLANK(F125:G125),,IF(COUNTA(F125)=0,G125,F125))</f>
        <v/>
      </c>
      <c r="K125" s="6">
        <f>IFERROR(__xludf.DUMMYFUNCTION("if(isblank(J125),,index(googlefinance(A125,K$2,J125-1),2,2))"),215.99)</f>
        <v/>
      </c>
      <c r="L125" s="29">
        <f>IF(ISBLANK(H125:I125),,IF(COUNTA(H125)=0,I125,H125))</f>
        <v/>
      </c>
      <c r="M125" s="7">
        <f>IFERROR(__xludf.DUMMYFUNCTION("if(isblank(L125),, index(googlefinance(A125,M$2,L125-1),2,2))"),214.08)</f>
        <v/>
      </c>
      <c r="N125" s="8">
        <f>IFERROR(__xludf.DUMMYFUNCTION("if(isblank(A125),,googlefinance(A125))"),217.5)</f>
        <v/>
      </c>
      <c r="O125" s="59">
        <f>IF(ISBLANK(J125),,IF(ISBLANK(L125),"Ongoing","Completed"))</f>
        <v/>
      </c>
      <c r="P125" s="70">
        <f>IF(ISBLANK(A125),,IF(AND(COUNTA(F125)=1,S125&gt;0),"Profit",IF(AND(COUNTA(G125)=1,S125&lt;0),"Profit","Loss")))</f>
        <v/>
      </c>
      <c r="Q125" s="31">
        <f>IF(ISBLANK(T125),,IF(P125="Profit",IF(S125&lt;0,T125*-S125,T125*S125),IF(S125&gt;0,T125*-S125,T125*S125)))</f>
        <v/>
      </c>
      <c r="R125" s="59">
        <f>IF($Q125&gt;0, TRUE, FALSE)</f>
        <v/>
      </c>
      <c r="S125" s="59">
        <f>IF(ISBLANK(J125),,IF(ISBLANK(L125),N125-K125,M125-K125))</f>
        <v/>
      </c>
      <c r="T125" s="61">
        <f>IF(ISBLANK(J125),,ROUNDDOWN(T$1/K125,0))</f>
        <v/>
      </c>
      <c r="U125" s="62" t="n"/>
      <c r="V125" s="57" t="n"/>
      <c r="W125" s="57" t="n"/>
      <c r="X125" s="57" t="n"/>
      <c r="Y125" s="57" t="n"/>
      <c r="Z125" s="57" t="n"/>
      <c r="AA125" s="63" t="n"/>
    </row>
    <row r="126" hidden="1" ht="13.5" customHeight="1" s="56">
      <c r="A126" s="57" t="inlineStr">
        <is>
          <t>DIS</t>
        </is>
      </c>
      <c r="B126" s="69" t="n">
        <v>13</v>
      </c>
      <c r="C126" s="61" t="n">
        <v>60.04</v>
      </c>
      <c r="D126" s="61" t="n">
        <v>23.077</v>
      </c>
      <c r="E126" s="61" t="n">
        <v>1.247</v>
      </c>
      <c r="F126" s="67" t="n">
        <v>45204</v>
      </c>
      <c r="G126" s="66" t="n"/>
      <c r="H126" s="67" t="n">
        <v>45218</v>
      </c>
      <c r="I126" s="66" t="n"/>
      <c r="J126" s="28">
        <f>IF(ISBLANK(F126:G126),,IF(COUNTA(F126)=0,G126,F126))</f>
        <v/>
      </c>
      <c r="K126" s="6">
        <f>IFERROR(__xludf.DUMMYFUNCTION("if(isblank(J126),,index(googlefinance(A126,K$2,J126-1),2,2))"),79.32)</f>
        <v/>
      </c>
      <c r="L126" s="29">
        <f>IF(ISBLANK(H126:I126),,IF(COUNTA(H126)=0,I126,H126))</f>
        <v/>
      </c>
      <c r="M126" s="7">
        <f>IFERROR(__xludf.DUMMYFUNCTION("if(isblank(L126),, index(googlefinance(A126,M$2,L126-1),2,2))"),84.68)</f>
        <v/>
      </c>
      <c r="N126" s="8">
        <f>IFERROR(__xludf.DUMMYFUNCTION("if(isblank(A126),,googlefinance(A126))"),111.95)</f>
        <v/>
      </c>
      <c r="O126" s="59">
        <f>IF(ISBLANK(J126),,IF(ISBLANK(L126),"Ongoing","Completed"))</f>
        <v/>
      </c>
      <c r="P126" s="68">
        <f>IF(ISBLANK(A126),,IF(AND(COUNTA(F126)=1,S126&gt;0),"Profit",IF(AND(COUNTA(G126)=1,S126&lt;0),"Profit","Loss")))</f>
        <v/>
      </c>
      <c r="Q126" s="26">
        <f>IF(ISBLANK(T126),,IF(P126="Profit",IF(S126&lt;0,T126*-S126,T126*S126),IF(S126&gt;0,T126*-S126,T126*S126)))</f>
        <v/>
      </c>
      <c r="R126" s="59">
        <f>IF($Q126&gt;0, TRUE, FALSE)</f>
        <v/>
      </c>
      <c r="S126" s="59">
        <f>IF(ISBLANK(J126),,IF(ISBLANK(L126),N126-K126,M126-K126))</f>
        <v/>
      </c>
      <c r="T126" s="61">
        <f>IF(ISBLANK(J126),,ROUNDDOWN(T$1/K126,0))</f>
        <v/>
      </c>
      <c r="U126" s="62" t="n"/>
      <c r="V126" s="57" t="n"/>
      <c r="W126" s="57" t="n"/>
      <c r="X126" s="57" t="n"/>
      <c r="Y126" s="57" t="n"/>
      <c r="Z126" s="57" t="n"/>
      <c r="AA126" s="63" t="n"/>
    </row>
    <row r="127" hidden="1" ht="13.5" customHeight="1" s="56">
      <c r="A127" s="57" t="inlineStr">
        <is>
          <t>SNPS</t>
        </is>
      </c>
      <c r="B127" s="69" t="n">
        <v>11</v>
      </c>
      <c r="C127" s="61" t="n">
        <v>141.29</v>
      </c>
      <c r="D127" s="61" t="n">
        <v>27.273</v>
      </c>
      <c r="E127" s="61" t="n">
        <v>1.649</v>
      </c>
      <c r="F127" s="66" t="n"/>
      <c r="G127" s="67" t="n">
        <v>45218</v>
      </c>
      <c r="H127" s="66" t="n"/>
      <c r="I127" s="67" t="n">
        <v>45230</v>
      </c>
      <c r="J127" s="23">
        <f>IF(ISBLANK(F127:G127),,IF(COUNTA(F127)=0,G127,F127))</f>
        <v/>
      </c>
      <c r="K127" s="6">
        <f>IFERROR(__xludf.DUMMYFUNCTION("if(isblank(J127),,index(googlefinance(A127,K$2,J127-1),2,2))"),485.73)</f>
        <v/>
      </c>
      <c r="L127" s="24">
        <f>IF(ISBLANK(H127:I127),,IF(COUNTA(H127)=0,I127,H127))</f>
        <v/>
      </c>
      <c r="M127" s="7">
        <f>IFERROR(__xludf.DUMMYFUNCTION("if(isblank(L127),, index(googlefinance(A127,M$2,L127-1),2,2))"),460.94)</f>
        <v/>
      </c>
      <c r="N127" s="8">
        <f>IFERROR(__xludf.DUMMYFUNCTION("if(isblank(A127),,googlefinance(A127))"),550.03)</f>
        <v/>
      </c>
      <c r="O127" s="59">
        <f>IF(ISBLANK(J127),,IF(ISBLANK(L127),"Ongoing","Completed"))</f>
        <v/>
      </c>
      <c r="P127" s="68">
        <f>IF(ISBLANK(A127),,IF(AND(COUNTA(F127)=1,S127&gt;0),"Profit",IF(AND(COUNTA(G127)=1,S127&lt;0),"Profit","Loss")))</f>
        <v/>
      </c>
      <c r="Q127" s="26">
        <f>IF(ISBLANK(T127),,IF(P127="Profit",IF(S127&lt;0,T127*-S127,T127*S127),IF(S127&gt;0,T127*-S127,T127*S127)))</f>
        <v/>
      </c>
      <c r="R127" s="59">
        <f>IF($Q127&gt;0, TRUE, FALSE)</f>
        <v/>
      </c>
      <c r="S127" s="59">
        <f>IF(ISBLANK(J127),,IF(ISBLANK(L127),N127-K127,M127-K127))</f>
        <v/>
      </c>
      <c r="T127" s="61">
        <f>IF(ISBLANK(J127),,ROUNDDOWN(T$1/K127,0))</f>
        <v/>
      </c>
      <c r="U127" s="62" t="n"/>
      <c r="V127" s="57" t="n"/>
      <c r="W127" s="57" t="n"/>
      <c r="X127" s="57" t="n"/>
      <c r="Y127" s="57" t="n"/>
      <c r="Z127" s="57" t="n"/>
      <c r="AA127" s="63" t="n"/>
    </row>
    <row r="128" hidden="1" ht="13.5" customHeight="1" s="56">
      <c r="A128" s="57" t="inlineStr">
        <is>
          <t>AIZ</t>
        </is>
      </c>
      <c r="B128" s="69" t="n">
        <v>10</v>
      </c>
      <c r="C128" s="61" t="n">
        <v>262.76</v>
      </c>
      <c r="D128" s="61" t="n">
        <v>60</v>
      </c>
      <c r="E128" s="61" t="n">
        <v>5.689</v>
      </c>
      <c r="F128" s="66" t="n"/>
      <c r="G128" s="67" t="n">
        <v>45219</v>
      </c>
      <c r="H128" s="66" t="n"/>
      <c r="I128" s="67" t="n">
        <v>45224</v>
      </c>
      <c r="J128" s="23">
        <f>IF(ISBLANK(F128:G128),,IF(COUNTA(F128)=0,G128,F128))</f>
        <v/>
      </c>
      <c r="K128" s="6">
        <f>IFERROR(__xludf.DUMMYFUNCTION("if(isblank(J128),,index(googlefinance(A128,K$2,J128-1),2,2))"),149.07)</f>
        <v/>
      </c>
      <c r="L128" s="24">
        <f>IF(ISBLANK(H128:I128),,IF(COUNTA(H128)=0,I128,H128))</f>
        <v/>
      </c>
      <c r="M128" s="7">
        <f>IFERROR(__xludf.DUMMYFUNCTION("if(isblank(L128),, index(googlefinance(A128,M$2,L128-1),2,2))"),146.85)</f>
        <v/>
      </c>
      <c r="N128" s="8">
        <f>IFERROR(__xludf.DUMMYFUNCTION("if(isblank(A128),,googlefinance(A128))"),181.16)</f>
        <v/>
      </c>
      <c r="O128" s="59">
        <f>IF(ISBLANK(J128),,IF(ISBLANK(L128),"Ongoing","Completed"))</f>
        <v/>
      </c>
      <c r="P128" s="68">
        <f>IF(ISBLANK(A128),,IF(AND(COUNTA(F128)=1,S128&gt;0),"Profit",IF(AND(COUNTA(G128)=1,S128&lt;0),"Profit","Loss")))</f>
        <v/>
      </c>
      <c r="Q128" s="26">
        <f>IF(ISBLANK(T128),,IF(P128="Profit",IF(S128&lt;0,T128*-S128,T128*S128),IF(S128&gt;0,T128*-S128,T128*S128)))</f>
        <v/>
      </c>
      <c r="R128" s="59">
        <f>IF($Q128&gt;0, TRUE, FALSE)</f>
        <v/>
      </c>
      <c r="S128" s="59">
        <f>IF(ISBLANK(J128),,IF(ISBLANK(L128),N128-K128,M128-K128))</f>
        <v/>
      </c>
      <c r="T128" s="61">
        <f>IF(ISBLANK(J128),,ROUNDDOWN(T$1/K128,0))</f>
        <v/>
      </c>
      <c r="U128" s="62" t="n"/>
      <c r="V128" s="57" t="n"/>
      <c r="W128" s="57" t="n"/>
      <c r="X128" s="57" t="n"/>
      <c r="Y128" s="57" t="n"/>
      <c r="Z128" s="57" t="n"/>
      <c r="AA128" s="63" t="n"/>
    </row>
    <row r="129" hidden="1" ht="13.5" customHeight="1" s="56">
      <c r="A129" s="57" t="inlineStr">
        <is>
          <t>COST</t>
        </is>
      </c>
      <c r="B129" s="69" t="n">
        <v>13</v>
      </c>
      <c r="C129" s="61" t="n">
        <v>42.37</v>
      </c>
      <c r="D129" s="61" t="n">
        <v>30.769</v>
      </c>
      <c r="E129" s="61" t="n">
        <v>1.254</v>
      </c>
      <c r="F129" s="66" t="n"/>
      <c r="G129" s="67" t="n">
        <v>45219</v>
      </c>
      <c r="H129" s="66" t="n"/>
      <c r="I129" s="67" t="n">
        <v>45229</v>
      </c>
      <c r="J129" s="23">
        <f>IF(ISBLANK(F129:G129),,IF(COUNTA(F129)=0,G129,F129))</f>
        <v/>
      </c>
      <c r="K129" s="6">
        <f>IFERROR(__xludf.DUMMYFUNCTION("if(isblank(J129),,index(googlefinance(A129,K$2,J129-1),2,2))"),565.63)</f>
        <v/>
      </c>
      <c r="L129" s="24">
        <f>IF(ISBLANK(H129:I129),,IF(COUNTA(H129)=0,I129,H129))</f>
        <v/>
      </c>
      <c r="M129" s="7">
        <f>IFERROR(__xludf.DUMMYFUNCTION("if(isblank(L129),, index(googlefinance(A129,M$2,L129-1),2,2))"),554.88)</f>
        <v/>
      </c>
      <c r="N129" s="8">
        <f>IFERROR(__xludf.DUMMYFUNCTION("if(isblank(A129),,googlefinance(A129))"),725.63)</f>
        <v/>
      </c>
      <c r="O129" s="59">
        <f>IF(ISBLANK(J129),,IF(ISBLANK(L129),"Ongoing","Completed"))</f>
        <v/>
      </c>
      <c r="P129" s="68">
        <f>IF(ISBLANK(A129),,IF(AND(COUNTA(F129)=1,S129&gt;0),"Profit",IF(AND(COUNTA(G129)=1,S129&lt;0),"Profit","Loss")))</f>
        <v/>
      </c>
      <c r="Q129" s="26">
        <f>IF(ISBLANK(T129),,IF(P129="Profit",IF(S129&lt;0,T129*-S129,T129*S129),IF(S129&gt;0,T129*-S129,T129*S129)))</f>
        <v/>
      </c>
      <c r="R129" s="59">
        <f>IF($Q129&gt;0, TRUE, FALSE)</f>
        <v/>
      </c>
      <c r="S129" s="59">
        <f>IF(ISBLANK(J129),,IF(ISBLANK(L129),N129-K129,M129-K129))</f>
        <v/>
      </c>
      <c r="T129" s="61">
        <f>IF(ISBLANK(J129),,ROUNDDOWN(T$1/K129,0))</f>
        <v/>
      </c>
      <c r="U129" s="62" t="n"/>
      <c r="V129" s="57" t="n"/>
      <c r="W129" s="57" t="n"/>
      <c r="X129" s="57" t="n"/>
      <c r="Y129" s="57" t="n"/>
      <c r="Z129" s="57" t="n"/>
      <c r="AA129" s="63" t="n"/>
    </row>
    <row r="130" hidden="1" ht="13.5" customHeight="1" s="56">
      <c r="A130" s="57" t="inlineStr">
        <is>
          <t>DXCM</t>
        </is>
      </c>
      <c r="B130" s="69" t="n">
        <v>16</v>
      </c>
      <c r="C130" s="61" t="n">
        <v>224.518</v>
      </c>
      <c r="D130" s="61" t="n">
        <v>31.25</v>
      </c>
      <c r="E130" s="61" t="n">
        <v>1.632</v>
      </c>
      <c r="F130" s="67" t="n">
        <v>45219</v>
      </c>
      <c r="G130" s="66" t="n"/>
      <c r="H130" s="67" t="n">
        <v>45225</v>
      </c>
      <c r="I130" s="66" t="n"/>
      <c r="J130" s="28">
        <f>IF(ISBLANK(F130:G130),,IF(COUNTA(F130)=0,G130,F130))</f>
        <v/>
      </c>
      <c r="K130" s="6">
        <f>IFERROR(__xludf.DUMMYFUNCTION("if(isblank(J130),,index(googlefinance(A130,K$2,J130-1),2,2))"),86.04)</f>
        <v/>
      </c>
      <c r="L130" s="29">
        <f>IF(ISBLANK(H130:I130),,IF(COUNTA(H130)=0,I130,H130))</f>
        <v/>
      </c>
      <c r="M130" s="7">
        <f>IFERROR(__xludf.DUMMYFUNCTION("if(isblank(L130),, index(googlefinance(A130,M$2,L130-1),2,2))"),84.35)</f>
        <v/>
      </c>
      <c r="N130" s="8">
        <f>IFERROR(__xludf.DUMMYFUNCTION("if(isblank(A130),,googlefinance(A130))"),130.46)</f>
        <v/>
      </c>
      <c r="O130" s="59">
        <f>IF(ISBLANK(J130),,IF(ISBLANK(L130),"Ongoing","Completed"))</f>
        <v/>
      </c>
      <c r="P130" s="70">
        <f>IF(ISBLANK(A130),,IF(AND(COUNTA(F130)=1,S130&gt;0),"Profit",IF(AND(COUNTA(G130)=1,S130&lt;0),"Profit","Loss")))</f>
        <v/>
      </c>
      <c r="Q130" s="31">
        <f>IF(ISBLANK(T130),,IF(P130="Profit",IF(S130&lt;0,T130*-S130,T130*S130),IF(S130&gt;0,T130*-S130,T130*S130)))</f>
        <v/>
      </c>
      <c r="R130" s="59">
        <f>IF($Q130&gt;0, TRUE, FALSE)</f>
        <v/>
      </c>
      <c r="S130" s="59">
        <f>IF(ISBLANK(J130),,IF(ISBLANK(L130),N130-K130,M130-K130))</f>
        <v/>
      </c>
      <c r="T130" s="61">
        <f>IF(ISBLANK(J130),,ROUNDDOWN(T$1/K130,0))</f>
        <v/>
      </c>
      <c r="U130" s="62" t="n"/>
      <c r="V130" s="57" t="n"/>
      <c r="W130" s="57" t="n"/>
      <c r="X130" s="57" t="n"/>
      <c r="Y130" s="57" t="n"/>
      <c r="Z130" s="57" t="n"/>
      <c r="AA130" s="63" t="n"/>
    </row>
    <row r="131" hidden="1" ht="13.5" customHeight="1" s="56">
      <c r="A131" s="57" t="inlineStr">
        <is>
          <t>GOOG</t>
        </is>
      </c>
      <c r="B131" s="69" t="n">
        <v>8</v>
      </c>
      <c r="C131" s="61" t="n">
        <v>123.473</v>
      </c>
      <c r="D131" s="61" t="n">
        <v>50</v>
      </c>
      <c r="E131" s="61" t="n">
        <v>2.554</v>
      </c>
      <c r="F131" s="66" t="n"/>
      <c r="G131" s="67" t="n">
        <v>45219</v>
      </c>
      <c r="H131" s="66" t="n"/>
      <c r="I131" s="67" t="n">
        <v>45223</v>
      </c>
      <c r="J131" s="23">
        <f>IF(ISBLANK(F131:G131),,IF(COUNTA(F131)=0,G131,F131))</f>
        <v/>
      </c>
      <c r="K131" s="6">
        <f>IFERROR(__xludf.DUMMYFUNCTION("if(isblank(J131),,index(googlefinance(A131,K$2,J131-1),2,2))"),138.98)</f>
        <v/>
      </c>
      <c r="L131" s="24">
        <f>IF(ISBLANK(H131:I131),,IF(COUNTA(H131)=0,I131,H131))</f>
        <v/>
      </c>
      <c r="M131" s="7">
        <f>IFERROR(__xludf.DUMMYFUNCTION("if(isblank(L131),, index(googlefinance(A131,M$2,L131-1),2,2))"),137.9)</f>
        <v/>
      </c>
      <c r="N131" s="8">
        <f>IFERROR(__xludf.DUMMYFUNCTION("if(isblank(A131),,googlefinance(A131))"),142.17)</f>
        <v/>
      </c>
      <c r="O131" s="59">
        <f>IF(ISBLANK(J131),,IF(ISBLANK(L131),"Ongoing","Completed"))</f>
        <v/>
      </c>
      <c r="P131" s="68">
        <f>IF(ISBLANK(A131),,IF(AND(COUNTA(F131)=1,S131&gt;0),"Profit",IF(AND(COUNTA(G131)=1,S131&lt;0),"Profit","Loss")))</f>
        <v/>
      </c>
      <c r="Q131" s="26">
        <f>IF(ISBLANK(T131),,IF(P131="Profit",IF(S131&lt;0,T131*-S131,T131*S131),IF(S131&gt;0,T131*-S131,T131*S131)))</f>
        <v/>
      </c>
      <c r="R131" s="59">
        <f>IF($Q131&gt;0, TRUE, FALSE)</f>
        <v/>
      </c>
      <c r="S131" s="59">
        <f>IF(ISBLANK(J131),,IF(ISBLANK(L131),N131-K131,M131-K131))</f>
        <v/>
      </c>
      <c r="T131" s="61">
        <f>IF(ISBLANK(J131),,ROUNDDOWN(T$1/K131,0))</f>
        <v/>
      </c>
      <c r="U131" s="62" t="n"/>
      <c r="V131" s="57" t="n"/>
      <c r="W131" s="57" t="n"/>
      <c r="X131" s="57" t="n"/>
      <c r="Y131" s="57" t="n"/>
      <c r="Z131" s="57" t="n"/>
      <c r="AA131" s="63" t="n"/>
    </row>
    <row r="132" hidden="1" ht="13.5" customHeight="1" s="56">
      <c r="A132" s="57" t="inlineStr">
        <is>
          <t>PANW</t>
        </is>
      </c>
      <c r="B132" s="69" t="n">
        <v>10</v>
      </c>
      <c r="C132" s="61" t="n">
        <v>783.86</v>
      </c>
      <c r="D132" s="61" t="n">
        <v>80</v>
      </c>
      <c r="E132" s="61" t="n">
        <v>18.388</v>
      </c>
      <c r="F132" s="66" t="n"/>
      <c r="G132" s="67" t="n">
        <v>45219</v>
      </c>
      <c r="H132" s="66" t="n"/>
      <c r="I132" s="67" t="n">
        <v>45231</v>
      </c>
      <c r="J132" s="23">
        <f>IF(ISBLANK(F132:G132),,IF(COUNTA(F132)=0,G132,F132))</f>
        <v/>
      </c>
      <c r="K132" s="6">
        <f>IFERROR(__xludf.DUMMYFUNCTION("if(isblank(J132),,index(googlefinance(A132,K$2,J132-1),2,2))"),253.13)</f>
        <v/>
      </c>
      <c r="L132" s="24">
        <f>IF(ISBLANK(H132:I132),,IF(COUNTA(H132)=0,I132,H132))</f>
        <v/>
      </c>
      <c r="M132" s="7">
        <f>IFERROR(__xludf.DUMMYFUNCTION("if(isblank(L132),, index(googlefinance(A132,M$2,L132-1),2,2))"),243.02)</f>
        <v/>
      </c>
      <c r="N132" s="8">
        <f>IFERROR(__xludf.DUMMYFUNCTION("if(isblank(A132),,googlefinance(A132))"),282.16)</f>
        <v/>
      </c>
      <c r="O132" s="59">
        <f>IF(ISBLANK(J132),,IF(ISBLANK(L132),"Ongoing","Completed"))</f>
        <v/>
      </c>
      <c r="P132" s="68">
        <f>IF(ISBLANK(A132),,IF(AND(COUNTA(F132)=1,S132&gt;0),"Profit",IF(AND(COUNTA(G132)=1,S132&lt;0),"Profit","Loss")))</f>
        <v/>
      </c>
      <c r="Q132" s="26">
        <f>IF(ISBLANK(T132),,IF(P132="Profit",IF(S132&lt;0,T132*-S132,T132*S132),IF(S132&gt;0,T132*-S132,T132*S132)))</f>
        <v/>
      </c>
      <c r="R132" s="59">
        <f>IF($Q132&gt;0, TRUE, FALSE)</f>
        <v/>
      </c>
      <c r="S132" s="59">
        <f>IF(ISBLANK(J132),,IF(ISBLANK(L132),N132-K132,M132-K132))</f>
        <v/>
      </c>
      <c r="T132" s="61">
        <f>IF(ISBLANK(J132),,ROUNDDOWN(T$1/K132,0))</f>
        <v/>
      </c>
      <c r="U132" s="62" t="n"/>
      <c r="V132" s="57" t="n"/>
      <c r="W132" s="57" t="n"/>
      <c r="X132" s="57" t="n"/>
      <c r="Y132" s="57" t="n"/>
      <c r="Z132" s="57" t="n"/>
      <c r="AA132" s="63" t="n"/>
    </row>
    <row r="133" hidden="1" ht="13.5" customHeight="1" s="56">
      <c r="A133" s="57" t="inlineStr">
        <is>
          <t>VRTX</t>
        </is>
      </c>
      <c r="B133" s="69" t="n">
        <v>12</v>
      </c>
      <c r="C133" s="61" t="n">
        <v>39.59</v>
      </c>
      <c r="D133" s="61" t="n">
        <v>41.667</v>
      </c>
      <c r="E133" s="61" t="n">
        <v>1.449</v>
      </c>
      <c r="F133" s="66" t="n"/>
      <c r="G133" s="67" t="n">
        <v>45219</v>
      </c>
      <c r="H133" s="66" t="n"/>
      <c r="I133" s="67" t="n">
        <v>45223</v>
      </c>
      <c r="J133" s="23">
        <f>IF(ISBLANK(F133:G133),,IF(COUNTA(F133)=0,G133,F133))</f>
        <v/>
      </c>
      <c r="K133" s="6">
        <f>IFERROR(__xludf.DUMMYFUNCTION("if(isblank(J133),,index(googlefinance(A133,K$2,J133-1),2,2))"),364.8)</f>
        <v/>
      </c>
      <c r="L133" s="24">
        <f>IF(ISBLANK(H133:I133),,IF(COUNTA(H133)=0,I133,H133))</f>
        <v/>
      </c>
      <c r="M133" s="7">
        <f>IFERROR(__xludf.DUMMYFUNCTION("if(isblank(L133),, index(googlefinance(A133,M$2,L133-1),2,2))"),367.66)</f>
        <v/>
      </c>
      <c r="N133" s="8">
        <f>IFERROR(__xludf.DUMMYFUNCTION("if(isblank(A133),,googlefinance(A133))"),407.69)</f>
        <v/>
      </c>
      <c r="O133" s="59">
        <f>IF(ISBLANK(J133),,IF(ISBLANK(L133),"Ongoing","Completed"))</f>
        <v/>
      </c>
      <c r="P133" s="70">
        <f>IF(ISBLANK(A133),,IF(AND(COUNTA(F133)=1,S133&gt;0),"Profit",IF(AND(COUNTA(G133)=1,S133&lt;0),"Profit","Loss")))</f>
        <v/>
      </c>
      <c r="Q133" s="31">
        <f>IF(ISBLANK(T133),,IF(P133="Profit",IF(S133&lt;0,T133*-S133,T133*S133),IF(S133&gt;0,T133*-S133,T133*S133)))</f>
        <v/>
      </c>
      <c r="R133" s="59">
        <f>IF($Q133&gt;0, TRUE, FALSE)</f>
        <v/>
      </c>
      <c r="S133" s="59">
        <f>IF(ISBLANK(J133),,IF(ISBLANK(L133),N133-K133,M133-K133))</f>
        <v/>
      </c>
      <c r="T133" s="61">
        <f>IF(ISBLANK(J133),,ROUNDDOWN(T$1/K133,0))</f>
        <v/>
      </c>
      <c r="U133" s="62" t="n"/>
      <c r="V133" s="57" t="n"/>
      <c r="W133" s="57" t="n"/>
      <c r="X133" s="57" t="n"/>
      <c r="Y133" s="57" t="n"/>
      <c r="Z133" s="57" t="n"/>
      <c r="AA133" s="63" t="n"/>
    </row>
    <row r="134" hidden="1" ht="13.5" customHeight="1" s="56">
      <c r="A134" s="57" t="inlineStr">
        <is>
          <t>ZS</t>
        </is>
      </c>
      <c r="B134" s="69" t="n">
        <v>12</v>
      </c>
      <c r="C134" s="61" t="n">
        <v>454.59</v>
      </c>
      <c r="D134" s="61" t="n">
        <v>41.667</v>
      </c>
      <c r="E134" s="61" t="n">
        <v>2.305</v>
      </c>
      <c r="F134" s="66" t="n"/>
      <c r="G134" s="67" t="n">
        <v>45219</v>
      </c>
      <c r="H134" s="66" t="n"/>
      <c r="I134" s="67" t="n">
        <v>45233</v>
      </c>
      <c r="J134" s="23">
        <f>IF(ISBLANK(F134:G134),,IF(COUNTA(F134)=0,G134,F134))</f>
        <v/>
      </c>
      <c r="K134" s="6">
        <f>IFERROR(__xludf.DUMMYFUNCTION("if(isblank(J134),,index(googlefinance(A134,K$2,J134-1),2,2))"),169.07)</f>
        <v/>
      </c>
      <c r="L134" s="24">
        <f>IF(ISBLANK(H134:I134),,IF(COUNTA(H134)=0,I134,H134))</f>
        <v/>
      </c>
      <c r="M134" s="7">
        <f>IFERROR(__xludf.DUMMYFUNCTION("if(isblank(L134),, index(googlefinance(A134,M$2,L134-1),2,2))"),159.19)</f>
        <v/>
      </c>
      <c r="N134" s="8">
        <f>IFERROR(__xludf.DUMMYFUNCTION("if(isblank(A134),,googlefinance(A134))"),194.03)</f>
        <v/>
      </c>
      <c r="O134" s="59">
        <f>IF(ISBLANK(J134),,IF(ISBLANK(L134),"Ongoing","Completed"))</f>
        <v/>
      </c>
      <c r="P134" s="68">
        <f>IF(ISBLANK(A134),,IF(AND(COUNTA(F134)=1,S134&gt;0),"Profit",IF(AND(COUNTA(G134)=1,S134&lt;0),"Profit","Loss")))</f>
        <v/>
      </c>
      <c r="Q134" s="26">
        <f>IF(ISBLANK(T134),,IF(P134="Profit",IF(S134&lt;0,T134*-S134,T134*S134),IF(S134&gt;0,T134*-S134,T134*S134)))</f>
        <v/>
      </c>
      <c r="R134" s="59">
        <f>IF($Q134&gt;0, TRUE, FALSE)</f>
        <v/>
      </c>
      <c r="S134" s="59">
        <f>IF(ISBLANK(J134),,IF(ISBLANK(L134),N134-K134,M134-K134))</f>
        <v/>
      </c>
      <c r="T134" s="61">
        <f>IF(ISBLANK(J134),,ROUNDDOWN(T$1/K134,0))</f>
        <v/>
      </c>
      <c r="U134" s="62" t="n"/>
      <c r="V134" s="57" t="n"/>
      <c r="W134" s="57" t="n"/>
      <c r="X134" s="57" t="n"/>
      <c r="Y134" s="57" t="n"/>
      <c r="Z134" s="57" t="n"/>
      <c r="AA134" s="63" t="n"/>
    </row>
    <row r="135" hidden="1" ht="13.5" customHeight="1" s="56">
      <c r="A135" s="57" t="inlineStr">
        <is>
          <t>CRWD</t>
        </is>
      </c>
      <c r="B135" s="69" t="n">
        <v>12</v>
      </c>
      <c r="C135" s="61" t="n">
        <v>60.17</v>
      </c>
      <c r="D135" s="61" t="n">
        <v>25</v>
      </c>
      <c r="E135" s="61" t="n">
        <v>1.145</v>
      </c>
      <c r="F135" s="66" t="n"/>
      <c r="G135" s="67" t="n">
        <v>45221</v>
      </c>
      <c r="H135" s="66" t="n"/>
      <c r="I135" s="67" t="n">
        <v>45231</v>
      </c>
      <c r="J135" s="23">
        <f>IF(ISBLANK(F135:G135),,IF(COUNTA(F135)=0,G135,F135))</f>
        <v/>
      </c>
      <c r="K135" s="6">
        <f>IFERROR(__xludf.DUMMYFUNCTION("if(isblank(J135),,index(googlefinance(A135,K$2,J135-1),2,2))"),179.08)</f>
        <v/>
      </c>
      <c r="L135" s="24">
        <f>IF(ISBLANK(H135:I135),,IF(COUNTA(H135)=0,I135,H135))</f>
        <v/>
      </c>
      <c r="M135" s="7">
        <f>IFERROR(__xludf.DUMMYFUNCTION("if(isblank(L135),, index(googlefinance(A135,M$2,L135-1),2,2))"),176.77)</f>
        <v/>
      </c>
      <c r="N135" s="8">
        <f>IFERROR(__xludf.DUMMYFUNCTION("if(isblank(A135),,googlefinance(A135))"),315.65)</f>
        <v/>
      </c>
      <c r="O135" s="59">
        <f>IF(ISBLANK(J135),,IF(ISBLANK(L135),"Ongoing","Completed"))</f>
        <v/>
      </c>
      <c r="P135" s="68">
        <f>IF(ISBLANK(A135),,IF(AND(COUNTA(F135)=1,S135&gt;0),"Profit",IF(AND(COUNTA(G135)=1,S135&lt;0),"Profit","Loss")))</f>
        <v/>
      </c>
      <c r="Q135" s="26">
        <f>IF(ISBLANK(T135),,IF(P135="Profit",IF(S135&lt;0,T135*-S135,T135*S135),IF(S135&gt;0,T135*-S135,T135*S135)))</f>
        <v/>
      </c>
      <c r="R135" s="59">
        <f>IF($Q135&gt;0, TRUE, FALSE)</f>
        <v/>
      </c>
      <c r="S135" s="59">
        <f>IF(ISBLANK(J135),,IF(ISBLANK(L135),N135-K135,M135-K135))</f>
        <v/>
      </c>
      <c r="T135" s="61">
        <f>IF(ISBLANK(J135),,ROUNDDOWN(T$1/K135,0))</f>
        <v/>
      </c>
      <c r="U135" s="62" t="n"/>
      <c r="V135" s="57" t="n"/>
      <c r="W135" s="57" t="n"/>
      <c r="X135" s="57" t="n"/>
      <c r="Y135" s="57" t="n"/>
      <c r="Z135" s="57" t="n"/>
      <c r="AA135" s="63" t="n"/>
    </row>
    <row r="136" hidden="1" ht="13.5" customHeight="1" s="56">
      <c r="A136" s="57" t="inlineStr">
        <is>
          <t>AMGN</t>
        </is>
      </c>
      <c r="B136" s="69" t="n">
        <v>8</v>
      </c>
      <c r="C136" s="61" t="n">
        <v>111.8</v>
      </c>
      <c r="D136" s="61" t="n">
        <v>50</v>
      </c>
      <c r="E136" s="61" t="n">
        <v>2.006</v>
      </c>
      <c r="F136" s="66" t="n"/>
      <c r="G136" s="67" t="n">
        <v>45221</v>
      </c>
      <c r="H136" s="66" t="n"/>
      <c r="I136" s="67" t="n">
        <v>45232</v>
      </c>
      <c r="J136" s="23">
        <f>IF(ISBLANK(F136:G136),,IF(COUNTA(F136)=0,G136,F136))</f>
        <v/>
      </c>
      <c r="K136" s="6">
        <f>IFERROR(__xludf.DUMMYFUNCTION("if(isblank(J136),,index(googlefinance(A136,K$2,J136-1),2,2))"),273.06)</f>
        <v/>
      </c>
      <c r="L136" s="24">
        <f>IF(ISBLANK(H136:I136),,IF(COUNTA(H136)=0,I136,H136))</f>
        <v/>
      </c>
      <c r="M136" s="7">
        <f>IFERROR(__xludf.DUMMYFUNCTION("if(isblank(L136),, index(googlefinance(A136,M$2,L136-1),2,2))"),260.84)</f>
        <v/>
      </c>
      <c r="N136" s="8">
        <f>IFERROR(__xludf.DUMMYFUNCTION("if(isblank(A136),,googlefinance(A136))"),268.87)</f>
        <v/>
      </c>
      <c r="O136" s="59">
        <f>IF(ISBLANK(J136),,IF(ISBLANK(L136),"Ongoing","Completed"))</f>
        <v/>
      </c>
      <c r="P136" s="68">
        <f>IF(ISBLANK(A136),,IF(AND(COUNTA(F136)=1,S136&gt;0),"Profit",IF(AND(COUNTA(G136)=1,S136&lt;0),"Profit","Loss")))</f>
        <v/>
      </c>
      <c r="Q136" s="26">
        <f>IF(ISBLANK(T136),,IF(P136="Profit",IF(S136&lt;0,T136*-S136,T136*S136),IF(S136&gt;0,T136*-S136,T136*S136)))</f>
        <v/>
      </c>
      <c r="R136" s="59">
        <f>IF($Q136&gt;0, TRUE, FALSE)</f>
        <v/>
      </c>
      <c r="S136" s="59">
        <f>IF(ISBLANK(J136),,IF(ISBLANK(L136),N136-K136,M136-K136))</f>
        <v/>
      </c>
      <c r="T136" s="61">
        <f>IF(ISBLANK(J136),,ROUNDDOWN(T$1/K136,0))</f>
        <v/>
      </c>
      <c r="U136" s="62" t="n"/>
      <c r="V136" s="57" t="n"/>
      <c r="W136" s="57" t="n"/>
      <c r="X136" s="57" t="n"/>
      <c r="Y136" s="57" t="n"/>
      <c r="Z136" s="57" t="n"/>
      <c r="AA136" s="63" t="n"/>
    </row>
    <row r="137" hidden="1" ht="13.5" customHeight="1" s="56">
      <c r="A137" s="57" t="inlineStr">
        <is>
          <t>MOH</t>
        </is>
      </c>
      <c r="B137" s="69" t="n">
        <v>11</v>
      </c>
      <c r="C137" s="61" t="n">
        <v>213.94</v>
      </c>
      <c r="D137" s="61" t="n">
        <v>36.364</v>
      </c>
      <c r="E137" s="61" t="n">
        <v>2.429</v>
      </c>
      <c r="F137" s="66" t="n"/>
      <c r="G137" s="67" t="n">
        <v>45221</v>
      </c>
      <c r="H137" s="66" t="n"/>
      <c r="I137" s="67" t="n">
        <v>45232</v>
      </c>
      <c r="J137" s="23">
        <f>IF(ISBLANK(F137:G137),,IF(COUNTA(F137)=0,G137,F137))</f>
        <v/>
      </c>
      <c r="K137" s="6">
        <f>IFERROR(__xludf.DUMMYFUNCTION("if(isblank(J137),,index(googlefinance(A137,K$2,J137-1),2,2))"),344.64)</f>
        <v/>
      </c>
      <c r="L137" s="24">
        <f>IF(ISBLANK(H137:I137),,IF(COUNTA(H137)=0,I137,H137))</f>
        <v/>
      </c>
      <c r="M137" s="7">
        <f>IFERROR(__xludf.DUMMYFUNCTION("if(isblank(L137),, index(googlefinance(A137,M$2,L137-1),2,2))"),336.83)</f>
        <v/>
      </c>
      <c r="N137" s="8">
        <f>IFERROR(__xludf.DUMMYFUNCTION("if(isblank(A137),,googlefinance(A137))"),404.45)</f>
        <v/>
      </c>
      <c r="O137" s="59">
        <f>IF(ISBLANK(J137),,IF(ISBLANK(L137),"Ongoing","Completed"))</f>
        <v/>
      </c>
      <c r="P137" s="68">
        <f>IF(ISBLANK(A137),,IF(AND(COUNTA(F137)=1,S137&gt;0),"Profit",IF(AND(COUNTA(G137)=1,S137&lt;0),"Profit","Loss")))</f>
        <v/>
      </c>
      <c r="Q137" s="26">
        <f>IF(ISBLANK(T137),,IF(P137="Profit",IF(S137&lt;0,T137*-S137,T137*S137),IF(S137&gt;0,T137*-S137,T137*S137)))</f>
        <v/>
      </c>
      <c r="R137" s="59">
        <f>IF($Q137&gt;0, TRUE, FALSE)</f>
        <v/>
      </c>
      <c r="S137" s="59">
        <f>IF(ISBLANK(J137),,IF(ISBLANK(L137),N137-K137,M137-K137))</f>
        <v/>
      </c>
      <c r="T137" s="61">
        <f>IF(ISBLANK(J137),,ROUNDDOWN(T$1/K137,0))</f>
        <v/>
      </c>
      <c r="U137" s="62" t="n"/>
      <c r="V137" s="57" t="n"/>
      <c r="W137" s="57" t="n"/>
      <c r="X137" s="57" t="n"/>
      <c r="Y137" s="57" t="n"/>
      <c r="Z137" s="57" t="n"/>
      <c r="AA137" s="63" t="n"/>
    </row>
    <row r="138" hidden="1" ht="13.5" customHeight="1" s="56">
      <c r="A138" s="57" t="inlineStr">
        <is>
          <t>UNH</t>
        </is>
      </c>
      <c r="B138" s="69" t="n">
        <v>6</v>
      </c>
      <c r="C138" s="61" t="n">
        <v>8.34</v>
      </c>
      <c r="D138" s="61" t="n">
        <v>33.333</v>
      </c>
      <c r="E138" s="61" t="n">
        <v>1.085</v>
      </c>
      <c r="F138" s="66" t="n"/>
      <c r="G138" s="67" t="n">
        <v>45222</v>
      </c>
      <c r="H138" s="66" t="n"/>
      <c r="I138" s="67" t="n">
        <v>45230</v>
      </c>
      <c r="J138" s="23">
        <f>IF(ISBLANK(F138:G138),,IF(COUNTA(F138)=0,G138,F138))</f>
        <v/>
      </c>
      <c r="K138" s="6">
        <f>IFERROR(__xludf.DUMMYFUNCTION("if(isblank(J138),,index(googlefinance(A138,K$2,J138-1),2,2))"),521.57)</f>
        <v/>
      </c>
      <c r="L138" s="24">
        <f>IF(ISBLANK(H138:I138),,IF(COUNTA(H138)=0,I138,H138))</f>
        <v/>
      </c>
      <c r="M138" s="7">
        <f>IFERROR(__xludf.DUMMYFUNCTION("if(isblank(L138),, index(googlefinance(A138,M$2,L138-1),2,2))"),529.99)</f>
        <v/>
      </c>
      <c r="N138" s="8">
        <f>IFERROR(__xludf.DUMMYFUNCTION("if(isblank(A138),,googlefinance(A138))"),490.82)</f>
        <v/>
      </c>
      <c r="O138" s="59">
        <f>IF(ISBLANK(J138),,IF(ISBLANK(L138),"Ongoing","Completed"))</f>
        <v/>
      </c>
      <c r="P138" s="70">
        <f>IF(ISBLANK(A138),,IF(AND(COUNTA(F138)=1,S138&gt;0),"Profit",IF(AND(COUNTA(G138)=1,S138&lt;0),"Profit","Loss")))</f>
        <v/>
      </c>
      <c r="Q138" s="31">
        <f>IF(ISBLANK(T138),,IF(P138="Profit",IF(S138&lt;0,T138*-S138,T138*S138),IF(S138&gt;0,T138*-S138,T138*S138)))</f>
        <v/>
      </c>
      <c r="R138" s="59">
        <f>IF($Q138&gt;0, TRUE, FALSE)</f>
        <v/>
      </c>
      <c r="S138" s="59">
        <f>IF(ISBLANK(J138),,IF(ISBLANK(L138),N138-K138,M138-K138))</f>
        <v/>
      </c>
      <c r="T138" s="61">
        <f>IF(ISBLANK(J138),,ROUNDDOWN(T$1/K138,0))</f>
        <v/>
      </c>
      <c r="U138" s="62" t="n"/>
      <c r="V138" s="57" t="n"/>
      <c r="W138" s="57" t="n"/>
      <c r="X138" s="57" t="n"/>
      <c r="Y138" s="57" t="n"/>
      <c r="Z138" s="57" t="n"/>
      <c r="AA138" s="63" t="n"/>
    </row>
    <row r="139" hidden="1" ht="13.5" customHeight="1" s="56">
      <c r="A139" s="57" t="inlineStr">
        <is>
          <t>CNC</t>
        </is>
      </c>
      <c r="B139" s="69" t="n">
        <v>11</v>
      </c>
      <c r="C139" s="61" t="n">
        <v>44.63</v>
      </c>
      <c r="D139" s="61" t="n">
        <v>36.364</v>
      </c>
      <c r="E139" s="61" t="n">
        <v>1.203</v>
      </c>
      <c r="F139" s="66" t="n"/>
      <c r="G139" s="67" t="n">
        <v>45223</v>
      </c>
      <c r="H139" s="66" t="n"/>
      <c r="I139" s="67" t="n">
        <v>45236</v>
      </c>
      <c r="J139" s="23">
        <f>IF(ISBLANK(F139:G139),,IF(COUNTA(F139)=0,G139,F139))</f>
        <v/>
      </c>
      <c r="K139" s="6">
        <f>IFERROR(__xludf.DUMMYFUNCTION("if(isblank(J139),,index(googlefinance(A139,K$2,J139-1),2,2))"),70.86)</f>
        <v/>
      </c>
      <c r="L139" s="24">
        <f>IF(ISBLANK(H139:I139),,IF(COUNTA(H139)=0,I139,H139))</f>
        <v/>
      </c>
      <c r="M139" s="7">
        <f>IFERROR(__xludf.DUMMYFUNCTION("if(isblank(L139),, index(googlefinance(A139,M$2,L139-1),2,2))"),71.84)</f>
        <v/>
      </c>
      <c r="N139" s="8">
        <f>IFERROR(__xludf.DUMMYFUNCTION("if(isblank(A139),,googlefinance(A139))"),75.47)</f>
        <v/>
      </c>
      <c r="O139" s="59">
        <f>IF(ISBLANK(J139),,IF(ISBLANK(L139),"Ongoing","Completed"))</f>
        <v/>
      </c>
      <c r="P139" s="70">
        <f>IF(ISBLANK(A139),,IF(AND(COUNTA(F139)=1,S139&gt;0),"Profit",IF(AND(COUNTA(G139)=1,S139&lt;0),"Profit","Loss")))</f>
        <v/>
      </c>
      <c r="Q139" s="31">
        <f>IF(ISBLANK(T139),,IF(P139="Profit",IF(S139&lt;0,T139*-S139,T139*S139),IF(S139&gt;0,T139*-S139,T139*S139)))</f>
        <v/>
      </c>
      <c r="R139" s="59">
        <f>IF($Q139&gt;0, TRUE, FALSE)</f>
        <v/>
      </c>
      <c r="S139" s="59">
        <f>IF(ISBLANK(J139),,IF(ISBLANK(L139),N139-K139,M139-K139))</f>
        <v/>
      </c>
      <c r="T139" s="61">
        <f>IF(ISBLANK(J139),,ROUNDDOWN(T$1/K139,0))</f>
        <v/>
      </c>
      <c r="U139" s="62" t="n"/>
      <c r="V139" s="57" t="n"/>
      <c r="W139" s="57" t="n"/>
      <c r="X139" s="57" t="n"/>
      <c r="Y139" s="57" t="n"/>
      <c r="Z139" s="57" t="n"/>
      <c r="AA139" s="63" t="n"/>
    </row>
    <row r="140" hidden="1" ht="13.5" customHeight="1" s="56">
      <c r="A140" s="57" t="inlineStr">
        <is>
          <t>IBM</t>
        </is>
      </c>
      <c r="B140" s="69" t="n">
        <v>10</v>
      </c>
      <c r="C140" s="61" t="n">
        <v>113.242</v>
      </c>
      <c r="D140" s="61" t="n">
        <v>40</v>
      </c>
      <c r="E140" s="61" t="n">
        <v>2.674</v>
      </c>
      <c r="F140" s="67" t="n">
        <v>45229</v>
      </c>
      <c r="G140" s="66" t="n"/>
      <c r="H140" s="67" t="n">
        <v>45259</v>
      </c>
      <c r="I140" s="66" t="n"/>
      <c r="J140" s="28">
        <f>IF(ISBLANK(F140:G140),,IF(COUNTA(F140)=0,G140,F140))</f>
        <v/>
      </c>
      <c r="K140" s="6">
        <f>IFERROR(__xludf.DUMMYFUNCTION("if(isblank(J140),,index(googlefinance(A140,K$2,J140-1),2,2))"),142.63)</f>
        <v/>
      </c>
      <c r="L140" s="29">
        <f>IF(ISBLANK(H140:I140),,IF(COUNTA(H140)=0,I140,H140))</f>
        <v/>
      </c>
      <c r="M140" s="7">
        <f>IFERROR(__xludf.DUMMYFUNCTION("if(isblank(L140),, index(googlefinance(A140,M$2,L140-1),2,2))"),155.65)</f>
        <v/>
      </c>
      <c r="N140" s="8">
        <f>IFERROR(__xludf.DUMMYFUNCTION("if(isblank(A140),,googlefinance(A140))"),191.07)</f>
        <v/>
      </c>
      <c r="O140" s="59">
        <f>IF(ISBLANK(J140),,IF(ISBLANK(L140),"Ongoing","Completed"))</f>
        <v/>
      </c>
      <c r="P140" s="68">
        <f>IF(ISBLANK(A140),,IF(AND(COUNTA(F140)=1,S140&gt;0),"Profit",IF(AND(COUNTA(G140)=1,S140&lt;0),"Profit","Loss")))</f>
        <v/>
      </c>
      <c r="Q140" s="26">
        <f>IF(ISBLANK(T140),,IF(P140="Profit",IF(S140&lt;0,T140*-S140,T140*S140),IF(S140&gt;0,T140*-S140,T140*S140)))</f>
        <v/>
      </c>
      <c r="R140" s="59">
        <f>IF($Q140&gt;0, TRUE, FALSE)</f>
        <v/>
      </c>
      <c r="S140" s="59">
        <f>IF(ISBLANK(J140),,IF(ISBLANK(L140),N140-K140,M140-K140))</f>
        <v/>
      </c>
      <c r="T140" s="61">
        <f>IF(ISBLANK(J140),,ROUNDDOWN(T$1/K140,0))</f>
        <v/>
      </c>
      <c r="U140" s="62" t="n"/>
      <c r="V140" s="57" t="n"/>
      <c r="W140" s="57" t="n"/>
      <c r="X140" s="57" t="n"/>
      <c r="Y140" s="57" t="n"/>
      <c r="Z140" s="57" t="n"/>
      <c r="AA140" s="63" t="n"/>
    </row>
    <row r="141" hidden="1" ht="13.5" customHeight="1" s="56">
      <c r="A141" s="57" t="inlineStr">
        <is>
          <t>INTC</t>
        </is>
      </c>
      <c r="B141" s="69" t="n">
        <v>10</v>
      </c>
      <c r="C141" s="61" t="n">
        <v>178.26</v>
      </c>
      <c r="D141" s="61" t="n">
        <v>40</v>
      </c>
      <c r="E141" s="61" t="n">
        <v>1.979</v>
      </c>
      <c r="F141" s="67" t="n">
        <v>45229</v>
      </c>
      <c r="G141" s="66" t="n"/>
      <c r="H141" s="67" t="n">
        <v>45251</v>
      </c>
      <c r="I141" s="66" t="n"/>
      <c r="J141" s="28">
        <f>IF(ISBLANK(F141:G141),,IF(COUNTA(F141)=0,G141,F141))</f>
        <v/>
      </c>
      <c r="K141" s="6">
        <f>IFERROR(__xludf.DUMMYFUNCTION("if(isblank(J141),,index(googlefinance(A141,K$2,J141-1),2,2))"),35.69)</f>
        <v/>
      </c>
      <c r="L141" s="29">
        <f>IF(ISBLANK(H141:I141),,IF(COUNTA(H141)=0,I141,H141))</f>
        <v/>
      </c>
      <c r="M141" s="7">
        <f>IFERROR(__xludf.DUMMYFUNCTION("if(isblank(L141),, index(googlefinance(A141,M$2,L141-1),2,2))"),44.74)</f>
        <v/>
      </c>
      <c r="N141" s="8">
        <f>IFERROR(__xludf.DUMMYFUNCTION("if(isblank(A141),,googlefinance(A141))"),42.64)</f>
        <v/>
      </c>
      <c r="O141" s="59">
        <f>IF(ISBLANK(J141),,IF(ISBLANK(L141),"Ongoing","Completed"))</f>
        <v/>
      </c>
      <c r="P141" s="68">
        <f>IF(ISBLANK(A141),,IF(AND(COUNTA(F141)=1,S141&gt;0),"Profit",IF(AND(COUNTA(G141)=1,S141&lt;0),"Profit","Loss")))</f>
        <v/>
      </c>
      <c r="Q141" s="26">
        <f>IF(ISBLANK(T141),,IF(P141="Profit",IF(S141&lt;0,T141*-S141,T141*S141),IF(S141&gt;0,T141*-S141,T141*S141)))</f>
        <v/>
      </c>
      <c r="R141" s="59">
        <f>IF($Q141&gt;0, TRUE, FALSE)</f>
        <v/>
      </c>
      <c r="S141" s="59">
        <f>IF(ISBLANK(J141),,IF(ISBLANK(L141),N141-K141,M141-K141))</f>
        <v/>
      </c>
      <c r="T141" s="61">
        <f>IF(ISBLANK(J141),,ROUNDDOWN(T$1/K141,0))</f>
        <v/>
      </c>
      <c r="U141" s="62" t="n"/>
      <c r="V141" s="57" t="n"/>
      <c r="W141" s="57" t="n"/>
      <c r="X141" s="57" t="n"/>
      <c r="Y141" s="57" t="n"/>
      <c r="Z141" s="57" t="n"/>
      <c r="AA141" s="63" t="n"/>
    </row>
    <row r="142" hidden="1" ht="13.5" customHeight="1" s="56">
      <c r="A142" s="57" t="inlineStr">
        <is>
          <t>NKE</t>
        </is>
      </c>
      <c r="B142" s="69" t="n">
        <v>11</v>
      </c>
      <c r="C142" s="61" t="n">
        <v>43.35</v>
      </c>
      <c r="D142" s="61" t="n">
        <v>36.364</v>
      </c>
      <c r="E142" s="61" t="n">
        <v>1.335</v>
      </c>
      <c r="F142" s="66" t="n"/>
      <c r="G142" s="67" t="n">
        <v>45228</v>
      </c>
      <c r="H142" s="66" t="n"/>
      <c r="I142" s="67" t="n">
        <v>45229</v>
      </c>
      <c r="J142" s="23">
        <f>IF(ISBLANK(F142:G142),,IF(COUNTA(F142)=0,G142,F142))</f>
        <v/>
      </c>
      <c r="K142" s="6">
        <f>IFERROR(__xludf.DUMMYFUNCTION("if(isblank(J142),,index(googlefinance(A142,K$2,J142-1),2,2))"),101.8)</f>
        <v/>
      </c>
      <c r="L142" s="24">
        <f>IF(ISBLANK(H142:I142),,IF(COUNTA(H142)=0,I142,H142))</f>
        <v/>
      </c>
      <c r="M142" s="7">
        <f>IFERROR(__xludf.DUMMYFUNCTION("if(isblank(L142),, index(googlefinance(A142,M$2,L142-1),2,2))"),101.8)</f>
        <v/>
      </c>
      <c r="N142" s="8">
        <f>IFERROR(__xludf.DUMMYFUNCTION("if(isblank(A142),,googlefinance(A142))"),99.64)</f>
        <v/>
      </c>
      <c r="O142" s="59">
        <f>IF(ISBLANK(J142),,IF(ISBLANK(L142),"Ongoing","Completed"))</f>
        <v/>
      </c>
      <c r="P142" s="70">
        <f>IF(ISBLANK(A142),,IF(AND(COUNTA(F142)=1,S142&gt;0),"Profit",IF(AND(COUNTA(G142)=1,S142&lt;0),"Profit","Loss")))</f>
        <v/>
      </c>
      <c r="Q142" s="60">
        <f>IF(ISBLANK(T142),,IF(P142="Profit",IF(S142&lt;0,T142*-S142,T142*S142),IF(S142&gt;0,T142*-S142,T142*S142)))</f>
        <v/>
      </c>
      <c r="R142" s="59">
        <f>IF($Q142&gt;0, TRUE, FALSE)</f>
        <v/>
      </c>
      <c r="S142" s="59">
        <f>IF(ISBLANK(J142),,IF(ISBLANK(L142),N142-K142,M142-K142))</f>
        <v/>
      </c>
      <c r="T142" s="61">
        <f>IF(ISBLANK(J142),,ROUNDDOWN(T$1/K142,0))</f>
        <v/>
      </c>
      <c r="U142" s="62" t="n"/>
      <c r="V142" s="57" t="n"/>
      <c r="W142" s="57" t="n"/>
      <c r="X142" s="57" t="n"/>
      <c r="Y142" s="57" t="n"/>
      <c r="Z142" s="57" t="n"/>
      <c r="AA142" s="63" t="n"/>
    </row>
    <row r="143" hidden="1" ht="13.5" customHeight="1" s="56">
      <c r="A143" s="57" t="inlineStr">
        <is>
          <t>EMN</t>
        </is>
      </c>
      <c r="B143" s="69" t="n">
        <v>13</v>
      </c>
      <c r="C143" s="61" t="n">
        <v>247.07</v>
      </c>
      <c r="D143" s="61" t="n">
        <v>53.846</v>
      </c>
      <c r="E143" s="61" t="n">
        <v>3.253</v>
      </c>
      <c r="F143" s="67" t="n">
        <v>45229</v>
      </c>
      <c r="G143" s="66" t="n"/>
      <c r="H143" s="67" t="n">
        <v>45264</v>
      </c>
      <c r="I143" s="66" t="n"/>
      <c r="J143" s="28">
        <f>IF(ISBLANK(F143:G143),,IF(COUNTA(F143)=0,G143,F143))</f>
        <v/>
      </c>
      <c r="K143" s="6">
        <f>IFERROR(__xludf.DUMMYFUNCTION("if(isblank(J143),,index(googlefinance(A143,K$2,J143-1),2,2))"),75.19)</f>
        <v/>
      </c>
      <c r="L143" s="29">
        <f>IF(ISBLANK(H143:I143),,IF(COUNTA(H143)=0,I143,H143))</f>
        <v/>
      </c>
      <c r="M143" s="7">
        <f>IFERROR(__xludf.DUMMYFUNCTION("if(isblank(L143),, index(googlefinance(A143,M$2,L143-1),2,2))"),84.88)</f>
        <v/>
      </c>
      <c r="N143" s="8">
        <f>IFERROR(__xludf.DUMMYFUNCTION("if(isblank(A143),,googlefinance(A143))"),92.3)</f>
        <v/>
      </c>
      <c r="O143" s="59">
        <f>IF(ISBLANK(J143),,IF(ISBLANK(L143),"Ongoing","Completed"))</f>
        <v/>
      </c>
      <c r="P143" s="68">
        <f>IF(ISBLANK(A143),,IF(AND(COUNTA(F143)=1,S143&gt;0),"Profit",IF(AND(COUNTA(G143)=1,S143&lt;0),"Profit","Loss")))</f>
        <v/>
      </c>
      <c r="Q143" s="26">
        <f>IF(ISBLANK(T143),,IF(P143="Profit",IF(S143&lt;0,T143*-S143,T143*S143),IF(S143&gt;0,T143*-S143,T143*S143)))</f>
        <v/>
      </c>
      <c r="R143" s="59">
        <f>IF($Q143&gt;0, TRUE, FALSE)</f>
        <v/>
      </c>
      <c r="S143" s="59">
        <f>IF(ISBLANK(J143),,IF(ISBLANK(L143),N143-K143,M143-K143))</f>
        <v/>
      </c>
      <c r="T143" s="61">
        <f>IF(ISBLANK(J143),,ROUNDDOWN(T$1/K143,0))</f>
        <v/>
      </c>
      <c r="U143" s="62" t="n"/>
      <c r="V143" s="57" t="n"/>
      <c r="W143" s="57" t="n"/>
      <c r="X143" s="57" t="n"/>
      <c r="Y143" s="57" t="n"/>
      <c r="Z143" s="57" t="n"/>
      <c r="AA143" s="63" t="n"/>
    </row>
    <row r="144" hidden="1" ht="13.5" customHeight="1" s="56">
      <c r="A144" s="57" t="inlineStr">
        <is>
          <t>NUE</t>
        </is>
      </c>
      <c r="B144" s="69" t="n">
        <v>9</v>
      </c>
      <c r="C144" s="61" t="n">
        <v>54.99</v>
      </c>
      <c r="D144" s="61" t="n">
        <v>33.333</v>
      </c>
      <c r="E144" s="61" t="n">
        <v>1.219</v>
      </c>
      <c r="F144" s="67" t="n">
        <v>45229</v>
      </c>
      <c r="G144" s="66" t="n"/>
      <c r="H144" s="67" t="n">
        <v>45264</v>
      </c>
      <c r="I144" s="66" t="n"/>
      <c r="J144" s="28">
        <f>IF(ISBLANK(F144:G144),,IF(COUNTA(F144)=0,G144,F144))</f>
        <v/>
      </c>
      <c r="K144" s="6">
        <f>IFERROR(__xludf.DUMMYFUNCTION("if(isblank(J144),,index(googlefinance(A144,K$2,J144-1),2,2))"),148.95)</f>
        <v/>
      </c>
      <c r="L144" s="29">
        <f>IF(ISBLANK(H144:I144),,IF(COUNTA(H144)=0,I144,H144))</f>
        <v/>
      </c>
      <c r="M144" s="7">
        <f>IFERROR(__xludf.DUMMYFUNCTION("if(isblank(L144),, index(googlefinance(A144,M$2,L144-1),2,2))"),167.4)</f>
        <v/>
      </c>
      <c r="N144" s="8">
        <f>IFERROR(__xludf.DUMMYFUNCTION("if(isblank(A144),,googlefinance(A144))"),188.48)</f>
        <v/>
      </c>
      <c r="O144" s="59">
        <f>IF(ISBLANK(J144),,IF(ISBLANK(L144),"Ongoing","Completed"))</f>
        <v/>
      </c>
      <c r="P144" s="68">
        <f>IF(ISBLANK(A144),,IF(AND(COUNTA(F144)=1,S144&gt;0),"Profit",IF(AND(COUNTA(G144)=1,S144&lt;0),"Profit","Loss")))</f>
        <v/>
      </c>
      <c r="Q144" s="26">
        <f>IF(ISBLANK(T144),,IF(P144="Profit",IF(S144&lt;0,T144*-S144,T144*S144),IF(S144&gt;0,T144*-S144,T144*S144)))</f>
        <v/>
      </c>
      <c r="R144" s="59">
        <f>IF($Q144&gt;0, TRUE, FALSE)</f>
        <v/>
      </c>
      <c r="S144" s="59">
        <f>IF(ISBLANK(J144),,IF(ISBLANK(L144),N144-K144,M144-K144))</f>
        <v/>
      </c>
      <c r="T144" s="61">
        <f>IF(ISBLANK(J144),,ROUNDDOWN(T$1/K144,0))</f>
        <v/>
      </c>
      <c r="U144" s="62" t="n"/>
      <c r="V144" s="57" t="n"/>
      <c r="W144" s="57" t="n"/>
      <c r="X144" s="57" t="n"/>
      <c r="Y144" s="57" t="n"/>
      <c r="Z144" s="57" t="n"/>
      <c r="AA144" s="63" t="n"/>
    </row>
    <row r="145" hidden="1" ht="13.5" customHeight="1" s="56">
      <c r="A145" s="57" t="inlineStr">
        <is>
          <t>PRU</t>
        </is>
      </c>
      <c r="B145" s="69" t="n">
        <v>9</v>
      </c>
      <c r="C145" s="61" t="n">
        <v>33.68</v>
      </c>
      <c r="D145" s="61" t="n">
        <v>55.556</v>
      </c>
      <c r="E145" s="61" t="n">
        <v>1.336</v>
      </c>
      <c r="F145" s="67" t="n">
        <v>45230</v>
      </c>
      <c r="G145" s="66" t="n"/>
      <c r="H145" s="67" t="n">
        <v>45254</v>
      </c>
      <c r="I145" s="66" t="n"/>
      <c r="J145" s="28">
        <f>IF(ISBLANK(F145:G145),,IF(COUNTA(F145)=0,G145,F145))</f>
        <v/>
      </c>
      <c r="K145" s="6">
        <f>IFERROR(__xludf.DUMMYFUNCTION("if(isblank(J145),,index(googlefinance(A145,K$2,J145-1),2,2))"),90.68)</f>
        <v/>
      </c>
      <c r="L145" s="29">
        <f>IF(ISBLANK(H145:I145),,IF(COUNTA(H145)=0,I145,H145))</f>
        <v/>
      </c>
      <c r="M145" s="7">
        <f>IFERROR(__xludf.DUMMYFUNCTION("if(isblank(L145),, index(googlefinance(A145,M$2,L145-1),2,2))"),95.74)</f>
        <v/>
      </c>
      <c r="N145" s="8">
        <f>IFERROR(__xludf.DUMMYFUNCTION("if(isblank(A145),,googlefinance(A145))"),112.84)</f>
        <v/>
      </c>
      <c r="O145" s="59">
        <f>IF(ISBLANK(J145),,IF(ISBLANK(L145),"Ongoing","Completed"))</f>
        <v/>
      </c>
      <c r="P145" s="68">
        <f>IF(ISBLANK(A145),,IF(AND(COUNTA(F145)=1,S145&gt;0),"Profit",IF(AND(COUNTA(G145)=1,S145&lt;0),"Profit","Loss")))</f>
        <v/>
      </c>
      <c r="Q145" s="26">
        <f>IF(ISBLANK(T145),,IF(P145="Profit",IF(S145&lt;0,T145*-S145,T145*S145),IF(S145&gt;0,T145*-S145,T145*S145)))</f>
        <v/>
      </c>
      <c r="R145" s="59">
        <f>IF($Q145&gt;0, TRUE, FALSE)</f>
        <v/>
      </c>
      <c r="S145" s="59">
        <f>IF(ISBLANK(J145),,IF(ISBLANK(L145),N145-K145,M145-K145))</f>
        <v/>
      </c>
      <c r="T145" s="61">
        <f>IF(ISBLANK(J145),,ROUNDDOWN(T$1/K145,0))</f>
        <v/>
      </c>
      <c r="U145" s="62" t="n"/>
      <c r="V145" s="57" t="n"/>
      <c r="W145" s="57" t="n"/>
      <c r="X145" s="57" t="n"/>
      <c r="Y145" s="57" t="n"/>
      <c r="Z145" s="57" t="n"/>
      <c r="AA145" s="63" t="n"/>
    </row>
    <row r="146" hidden="1" ht="13.5" customHeight="1" s="56">
      <c r="A146" s="57" t="inlineStr">
        <is>
          <t>ADSK</t>
        </is>
      </c>
      <c r="B146" s="69" t="n">
        <v>12</v>
      </c>
      <c r="C146" s="61" t="n">
        <v>37.58</v>
      </c>
      <c r="D146" s="61" t="n">
        <v>25</v>
      </c>
      <c r="E146" s="61" t="n">
        <v>1.139</v>
      </c>
      <c r="F146" s="67" t="n">
        <v>45231</v>
      </c>
      <c r="G146" s="66" t="n"/>
      <c r="H146" s="67" t="n">
        <v>45252</v>
      </c>
      <c r="I146" s="66" t="n"/>
      <c r="J146" s="28">
        <f>IF(ISBLANK(F146:G146),,IF(COUNTA(F146)=0,G146,F146))</f>
        <v/>
      </c>
      <c r="K146" s="6">
        <f>IFERROR(__xludf.DUMMYFUNCTION("if(isblank(J146),,index(googlefinance(A146,K$2,J146-1),2,2))"),197.63)</f>
        <v/>
      </c>
      <c r="L146" s="29">
        <f>IF(ISBLANK(H146:I146),,IF(COUNTA(H146)=0,I146,H146))</f>
        <v/>
      </c>
      <c r="M146" s="7">
        <f>IFERROR(__xludf.DUMMYFUNCTION("if(isblank(L146),, index(googlefinance(A146,M$2,L146-1),2,2))"),217.67)</f>
        <v/>
      </c>
      <c r="N146" s="8">
        <f>IFERROR(__xludf.DUMMYFUNCTION("if(isblank(A146),,googlefinance(A146))"),254.24)</f>
        <v/>
      </c>
      <c r="O146" s="59">
        <f>IF(ISBLANK(J146),,IF(ISBLANK(L146),"Ongoing","Completed"))</f>
        <v/>
      </c>
      <c r="P146" s="68">
        <f>IF(ISBLANK(A146),,IF(AND(COUNTA(F146)=1,S146&gt;0),"Profit",IF(AND(COUNTA(G146)=1,S146&lt;0),"Profit","Loss")))</f>
        <v/>
      </c>
      <c r="Q146" s="26">
        <f>IF(ISBLANK(T146),,IF(P146="Profit",IF(S146&lt;0,T146*-S146,T146*S146),IF(S146&gt;0,T146*-S146,T146*S146)))</f>
        <v/>
      </c>
      <c r="R146" s="59">
        <f>IF($Q146&gt;0, TRUE, FALSE)</f>
        <v/>
      </c>
      <c r="S146" s="59">
        <f>IF(ISBLANK(J146),,IF(ISBLANK(L146),N146-K146,M146-K146))</f>
        <v/>
      </c>
      <c r="T146" s="61">
        <f>IF(ISBLANK(J146),,ROUNDDOWN(T$1/K146,0))</f>
        <v/>
      </c>
      <c r="U146" s="62" t="n"/>
      <c r="V146" s="57" t="n"/>
      <c r="W146" s="57" t="n"/>
      <c r="X146" s="57" t="n"/>
      <c r="Y146" s="57" t="n"/>
      <c r="Z146" s="57" t="n"/>
      <c r="AA146" s="63" t="n"/>
    </row>
    <row r="147" hidden="1" ht="13.5" customHeight="1" s="56">
      <c r="A147" s="57" t="inlineStr">
        <is>
          <t>BAC</t>
        </is>
      </c>
      <c r="B147" s="69" t="n">
        <v>14</v>
      </c>
      <c r="C147" s="61" t="n">
        <v>204.76</v>
      </c>
      <c r="D147" s="61" t="n">
        <v>42.857</v>
      </c>
      <c r="E147" s="61" t="n">
        <v>1.989</v>
      </c>
      <c r="F147" s="67" t="n">
        <v>45231</v>
      </c>
      <c r="G147" s="66" t="n"/>
      <c r="H147" s="67" t="n">
        <v>45265</v>
      </c>
      <c r="I147" s="66" t="n"/>
      <c r="J147" s="28">
        <f>IF(ISBLANK(F147:G147),,IF(COUNTA(F147)=0,G147,F147))</f>
        <v/>
      </c>
      <c r="K147" s="6">
        <f>IFERROR(__xludf.DUMMYFUNCTION("if(isblank(J147),,index(googlefinance(A147,K$2,J147-1),2,2))"),26.34)</f>
        <v/>
      </c>
      <c r="L147" s="29">
        <f>IF(ISBLANK(H147:I147),,IF(COUNTA(H147)=0,I147,H147))</f>
        <v/>
      </c>
      <c r="M147" s="7">
        <f>IFERROR(__xludf.DUMMYFUNCTION("if(isblank(L147),, index(googlefinance(A147,M$2,L147-1),2,2))"),30.82)</f>
        <v/>
      </c>
      <c r="N147" s="8">
        <f>IFERROR(__xludf.DUMMYFUNCTION("if(isblank(A147),,googlefinance(A147))"),35.41)</f>
        <v/>
      </c>
      <c r="O147" s="59">
        <f>IF(ISBLANK(J147),,IF(ISBLANK(L147),"Ongoing","Completed"))</f>
        <v/>
      </c>
      <c r="P147" s="68">
        <f>IF(ISBLANK(A147),,IF(AND(COUNTA(F147)=1,S147&gt;0),"Profit",IF(AND(COUNTA(G147)=1,S147&lt;0),"Profit","Loss")))</f>
        <v/>
      </c>
      <c r="Q147" s="26">
        <f>IF(ISBLANK(T147),,IF(P147="Profit",IF(S147&lt;0,T147*-S147,T147*S147),IF(S147&gt;0,T147*-S147,T147*S147)))</f>
        <v/>
      </c>
      <c r="R147" s="59">
        <f>IF($Q147&gt;0, TRUE, FALSE)</f>
        <v/>
      </c>
      <c r="S147" s="59">
        <f>IF(ISBLANK(J147),,IF(ISBLANK(L147),N147-K147,M147-K147))</f>
        <v/>
      </c>
      <c r="T147" s="61">
        <f>IF(ISBLANK(J147),,ROUNDDOWN(T$1/K147,0))</f>
        <v/>
      </c>
      <c r="U147" s="62" t="n"/>
      <c r="V147" s="57" t="n"/>
      <c r="W147" s="57" t="n"/>
      <c r="X147" s="57" t="n"/>
      <c r="Y147" s="57" t="n"/>
      <c r="Z147" s="57" t="n"/>
      <c r="AA147" s="63" t="n"/>
    </row>
    <row r="148" hidden="1" ht="13.5" customHeight="1" s="56">
      <c r="A148" s="57" t="inlineStr">
        <is>
          <t>FDX</t>
        </is>
      </c>
      <c r="B148" s="69" t="n">
        <v>10</v>
      </c>
      <c r="C148" s="61" t="n">
        <v>24.89</v>
      </c>
      <c r="D148" s="61" t="n">
        <v>10</v>
      </c>
      <c r="E148" s="61" t="n">
        <v>1.1</v>
      </c>
      <c r="F148" s="67" t="n">
        <v>45231</v>
      </c>
      <c r="G148" s="66" t="n"/>
      <c r="H148" s="67" t="n">
        <v>45239</v>
      </c>
      <c r="I148" s="66" t="n"/>
      <c r="J148" s="28">
        <f>IF(ISBLANK(F148:G148),,IF(COUNTA(F148)=0,G148,F148))</f>
        <v/>
      </c>
      <c r="K148" s="6">
        <f>IFERROR(__xludf.DUMMYFUNCTION("if(isblank(J148),,index(googlefinance(A148,K$2,J148-1),2,2))"),240.1)</f>
        <v/>
      </c>
      <c r="L148" s="29">
        <f>IF(ISBLANK(H148:I148),,IF(COUNTA(H148)=0,I148,H148))</f>
        <v/>
      </c>
      <c r="M148" s="7">
        <f>IFERROR(__xludf.DUMMYFUNCTION("if(isblank(L148),, index(googlefinance(A148,M$2,L148-1),2,2))"),245.37)</f>
        <v/>
      </c>
      <c r="N148" s="8">
        <f>IFERROR(__xludf.DUMMYFUNCTION("if(isblank(A148),,googlefinance(A148))"),253.29)</f>
        <v/>
      </c>
      <c r="O148" s="59">
        <f>IF(ISBLANK(J148),,IF(ISBLANK(L148),"Ongoing","Completed"))</f>
        <v/>
      </c>
      <c r="P148" s="68">
        <f>IF(ISBLANK(A148),,IF(AND(COUNTA(F148)=1,S148&gt;0),"Profit",IF(AND(COUNTA(G148)=1,S148&lt;0),"Profit","Loss")))</f>
        <v/>
      </c>
      <c r="Q148" s="26">
        <f>IF(ISBLANK(T148),,IF(P148="Profit",IF(S148&lt;0,T148*-S148,T148*S148),IF(S148&gt;0,T148*-S148,T148*S148)))</f>
        <v/>
      </c>
      <c r="R148" s="59">
        <f>IF($Q148&gt;0, TRUE, FALSE)</f>
        <v/>
      </c>
      <c r="S148" s="59">
        <f>IF(ISBLANK(J148),,IF(ISBLANK(L148),N148-K148,M148-K148))</f>
        <v/>
      </c>
      <c r="T148" s="61">
        <f>IF(ISBLANK(J148),,ROUNDDOWN(T$1/K148,0))</f>
        <v/>
      </c>
      <c r="U148" s="62" t="n"/>
      <c r="V148" s="57" t="n"/>
      <c r="W148" s="57" t="n"/>
      <c r="X148" s="57" t="n"/>
      <c r="Y148" s="57" t="n"/>
      <c r="Z148" s="57" t="n"/>
      <c r="AA148" s="63" t="n"/>
    </row>
    <row r="149" hidden="1" ht="13.5" customHeight="1" s="56">
      <c r="A149" s="57" t="inlineStr">
        <is>
          <t>NTRS</t>
        </is>
      </c>
      <c r="B149" s="69" t="n">
        <v>9</v>
      </c>
      <c r="C149" s="61" t="n">
        <v>48.66</v>
      </c>
      <c r="D149" s="61" t="n">
        <v>55.556</v>
      </c>
      <c r="E149" s="61" t="n">
        <v>1.488</v>
      </c>
      <c r="F149" s="67" t="n">
        <v>45231</v>
      </c>
      <c r="G149" s="66" t="n"/>
      <c r="H149" s="67" t="n">
        <v>45266</v>
      </c>
      <c r="I149" s="66" t="n"/>
      <c r="J149" s="28">
        <f>IF(ISBLANK(F149:G149),,IF(COUNTA(F149)=0,G149,F149))</f>
        <v/>
      </c>
      <c r="K149" s="6">
        <f>IFERROR(__xludf.DUMMYFUNCTION("if(isblank(J149),,index(googlefinance(A149,K$2,J149-1),2,2))"),65.91)</f>
        <v/>
      </c>
      <c r="L149" s="29">
        <f>IF(ISBLANK(H149:I149),,IF(COUNTA(H149)=0,I149,H149))</f>
        <v/>
      </c>
      <c r="M149" s="7">
        <f>IFERROR(__xludf.DUMMYFUNCTION("if(isblank(L149),, index(googlefinance(A149,M$2,L149-1),2,2))"),80.76)</f>
        <v/>
      </c>
      <c r="N149" s="8">
        <f>IFERROR(__xludf.DUMMYFUNCTION("if(isblank(A149),,googlefinance(A149))"),81.46)</f>
        <v/>
      </c>
      <c r="O149" s="59">
        <f>IF(ISBLANK(J149),,IF(ISBLANK(L149),"Ongoing","Completed"))</f>
        <v/>
      </c>
      <c r="P149" s="68">
        <f>IF(ISBLANK(A149),,IF(AND(COUNTA(F149)=1,S149&gt;0),"Profit",IF(AND(COUNTA(G149)=1,S149&lt;0),"Profit","Loss")))</f>
        <v/>
      </c>
      <c r="Q149" s="26">
        <f>IF(ISBLANK(T149),,IF(P149="Profit",IF(S149&lt;0,T149*-S149,T149*S149),IF(S149&gt;0,T149*-S149,T149*S149)))</f>
        <v/>
      </c>
      <c r="R149" s="59">
        <f>IF($Q149&gt;0, TRUE, FALSE)</f>
        <v/>
      </c>
      <c r="S149" s="59">
        <f>IF(ISBLANK(J149),,IF(ISBLANK(L149),N149-K149,M149-K149))</f>
        <v/>
      </c>
      <c r="T149" s="61">
        <f>IF(ISBLANK(J149),,ROUNDDOWN(T$1/K149,0))</f>
        <v/>
      </c>
      <c r="U149" s="62" t="n"/>
      <c r="V149" s="57" t="n"/>
      <c r="W149" s="57" t="n"/>
      <c r="X149" s="57" t="n"/>
      <c r="Y149" s="57" t="n"/>
      <c r="Z149" s="57" t="n"/>
      <c r="AA149" s="63" t="n"/>
    </row>
    <row r="150" hidden="1" ht="13.5" customHeight="1" s="56">
      <c r="A150" s="57" t="inlineStr">
        <is>
          <t>NVDA</t>
        </is>
      </c>
      <c r="B150" s="69" t="n">
        <v>8</v>
      </c>
      <c r="C150" s="61" t="n">
        <v>18.927</v>
      </c>
      <c r="D150" s="61" t="n">
        <v>25</v>
      </c>
      <c r="E150" s="61" t="n">
        <v>1.067</v>
      </c>
      <c r="F150" s="67" t="n">
        <v>45231</v>
      </c>
      <c r="G150" s="66" t="n"/>
      <c r="H150" s="67" t="n">
        <v>45252</v>
      </c>
      <c r="I150" s="66" t="n"/>
      <c r="J150" s="28">
        <f>IF(ISBLANK(F150:G150),,IF(COUNTA(F150)=0,G150,F150))</f>
        <v/>
      </c>
      <c r="K150" s="6">
        <f>IFERROR(__xludf.DUMMYFUNCTION("if(isblank(J150),,index(googlefinance(A150,K$2,J150-1),2,2))"),407.8)</f>
        <v/>
      </c>
      <c r="L150" s="29">
        <f>IF(ISBLANK(H150:I150),,IF(COUNTA(H150)=0,I150,H150))</f>
        <v/>
      </c>
      <c r="M150" s="7">
        <f>IFERROR(__xludf.DUMMYFUNCTION("if(isblank(L150),, index(googlefinance(A150,M$2,L150-1),2,2))"),499.44)</f>
        <v/>
      </c>
      <c r="N150" s="8">
        <f>IFERROR(__xludf.DUMMYFUNCTION("if(isblank(A150),,googlefinance(A150))"),878.37)</f>
        <v/>
      </c>
      <c r="O150" s="59">
        <f>IF(ISBLANK(J150),,IF(ISBLANK(L150),"Ongoing","Completed"))</f>
        <v/>
      </c>
      <c r="P150" s="68">
        <f>IF(ISBLANK(A150),,IF(AND(COUNTA(F150)=1,S150&gt;0),"Profit",IF(AND(COUNTA(G150)=1,S150&lt;0),"Profit","Loss")))</f>
        <v/>
      </c>
      <c r="Q150" s="26">
        <f>IF(ISBLANK(T150),,IF(P150="Profit",IF(S150&lt;0,T150*-S150,T150*S150),IF(S150&gt;0,T150*-S150,T150*S150)))</f>
        <v/>
      </c>
      <c r="R150" s="59">
        <f>IF($Q150&gt;0, TRUE, FALSE)</f>
        <v/>
      </c>
      <c r="S150" s="59">
        <f>IF(ISBLANK(J150),,IF(ISBLANK(L150),N150-K150,M150-K150))</f>
        <v/>
      </c>
      <c r="T150" s="61">
        <f>IF(ISBLANK(J150),,ROUNDDOWN(T$1/K150,0))</f>
        <v/>
      </c>
      <c r="U150" s="62" t="n"/>
      <c r="V150" s="57" t="n"/>
      <c r="W150" s="57" t="n"/>
      <c r="X150" s="57" t="n"/>
      <c r="Y150" s="57" t="n"/>
      <c r="Z150" s="57" t="n"/>
      <c r="AA150" s="63" t="n"/>
    </row>
    <row r="151" hidden="1" ht="13.5" customHeight="1" s="56">
      <c r="A151" s="57" t="inlineStr">
        <is>
          <t>ACN</t>
        </is>
      </c>
      <c r="B151" s="69" t="n">
        <v>9</v>
      </c>
      <c r="C151" s="61" t="n">
        <v>39.09</v>
      </c>
      <c r="D151" s="61" t="n">
        <v>33.333</v>
      </c>
      <c r="E151" s="61" t="n">
        <v>1.157</v>
      </c>
      <c r="F151" s="67" t="n">
        <v>45232</v>
      </c>
      <c r="G151" s="66" t="n"/>
      <c r="H151" s="67" t="n">
        <v>45265</v>
      </c>
      <c r="I151" s="66" t="n"/>
      <c r="J151" s="28">
        <f>IF(ISBLANK(F151:G151),,IF(COUNTA(F151)=0,G151,F151))</f>
        <v/>
      </c>
      <c r="K151" s="6">
        <f>IFERROR(__xludf.DUMMYFUNCTION("if(isblank(J151),,index(googlefinance(A151,K$2,J151-1),2,2))"),300.64)</f>
        <v/>
      </c>
      <c r="L151" s="29">
        <f>IF(ISBLANK(H151:I151),,IF(COUNTA(H151)=0,I151,H151))</f>
        <v/>
      </c>
      <c r="M151" s="7">
        <f>IFERROR(__xludf.DUMMYFUNCTION("if(isblank(L151),, index(googlefinance(A151,M$2,L151-1),2,2))"),336.43)</f>
        <v/>
      </c>
      <c r="N151" s="8">
        <f>IFERROR(__xludf.DUMMYFUNCTION("if(isblank(A151),,googlefinance(A151))"),374.6)</f>
        <v/>
      </c>
      <c r="O151" s="59">
        <f>IF(ISBLANK(J151),,IF(ISBLANK(L151),"Ongoing","Completed"))</f>
        <v/>
      </c>
      <c r="P151" s="68">
        <f>IF(ISBLANK(A151),,IF(AND(COUNTA(F151)=1,S151&gt;0),"Profit",IF(AND(COUNTA(G151)=1,S151&lt;0),"Profit","Loss")))</f>
        <v/>
      </c>
      <c r="Q151" s="26">
        <f>IF(ISBLANK(T151),,IF(P151="Profit",IF(S151&lt;0,T151*-S151,T151*S151),IF(S151&gt;0,T151*-S151,T151*S151)))</f>
        <v/>
      </c>
      <c r="R151" s="59">
        <f>IF($Q151&gt;0, TRUE, FALSE)</f>
        <v/>
      </c>
      <c r="S151" s="59">
        <f>IF(ISBLANK(J151),,IF(ISBLANK(L151),N151-K151,M151-K151))</f>
        <v/>
      </c>
      <c r="T151" s="61">
        <f>IF(ISBLANK(J151),,ROUNDDOWN(T$1/K151,0))</f>
        <v/>
      </c>
      <c r="U151" s="62" t="n"/>
      <c r="V151" s="57" t="n"/>
      <c r="W151" s="57" t="n"/>
      <c r="X151" s="57" t="n"/>
      <c r="Y151" s="57" t="n"/>
      <c r="Z151" s="57" t="n"/>
      <c r="AA151" s="63" t="n"/>
    </row>
    <row r="152" hidden="1" ht="13.5" customHeight="1" s="56">
      <c r="A152" s="18" t="inlineStr">
        <is>
          <t>BA</t>
        </is>
      </c>
      <c r="B152" s="19" t="n">
        <v>9</v>
      </c>
      <c r="C152" s="20" t="n">
        <v>578.77</v>
      </c>
      <c r="D152" s="20" t="n">
        <v>44.444</v>
      </c>
      <c r="E152" s="34" t="n">
        <v>6.458</v>
      </c>
      <c r="F152" s="67" t="n">
        <v>45232</v>
      </c>
      <c r="G152" s="66" t="n"/>
      <c r="H152" s="67" t="n">
        <v>45272</v>
      </c>
      <c r="I152" s="66" t="n"/>
      <c r="J152" s="28">
        <f>IF(ISBLANK(F152:G152),,IF(COUNTA(F152)=0,G152,F152))</f>
        <v/>
      </c>
      <c r="K152" s="6">
        <f>IFERROR(__xludf.DUMMYFUNCTION("if(isblank(J152),,index(googlefinance(A152,K$2,J152-1),2,2))"),189.38)</f>
        <v/>
      </c>
      <c r="L152" s="29">
        <f>IF(ISBLANK(H152:I152),,IF(COUNTA(H152)=0,I152,H152))</f>
        <v/>
      </c>
      <c r="M152" s="7">
        <f>IFERROR(__xludf.DUMMYFUNCTION("if(isblank(L152),, index(googlefinance(A152,M$2,L152-1),2,2))"),248.08)</f>
        <v/>
      </c>
      <c r="N152" s="8">
        <f>IFERROR(__xludf.DUMMYFUNCTION("if(isblank(A152),,googlefinance(A152))"),182.53)</f>
        <v/>
      </c>
      <c r="O152" s="59">
        <f>IF(ISBLANK(J152),,IF(ISBLANK(L152),"Ongoing","Completed"))</f>
        <v/>
      </c>
      <c r="P152" s="68">
        <f>IF(ISBLANK(A152),,IF(AND(COUNTA(F152)=1,S152&gt;0),"Profit",IF(AND(COUNTA(G152)=1,S152&lt;0),"Profit","Loss")))</f>
        <v/>
      </c>
      <c r="Q152" s="26">
        <f>IF(ISBLANK(T152),,IF(P152="Profit",IF(S152&lt;0,T152*-S152,T152*S152),IF(S152&gt;0,T152*-S152,T152*S152)))</f>
        <v/>
      </c>
      <c r="R152" s="59">
        <f>IF($Q152&gt;0, TRUE, FALSE)</f>
        <v/>
      </c>
      <c r="S152" s="59">
        <f>IF(ISBLANK(J152),,IF(ISBLANK(L152),N152-K152,M152-K152))</f>
        <v/>
      </c>
      <c r="T152" s="61">
        <f>IF(ISBLANK(J152),,ROUNDDOWN(T$1/K152,0))</f>
        <v/>
      </c>
      <c r="U152" s="62" t="n"/>
      <c r="V152" s="57" t="n"/>
      <c r="W152" s="57" t="n"/>
      <c r="X152" s="57" t="n"/>
      <c r="Y152" s="57" t="n"/>
      <c r="Z152" s="57" t="n"/>
      <c r="AA152" s="63" t="n"/>
    </row>
    <row r="153" hidden="1" ht="13.5" customHeight="1" s="56">
      <c r="A153" s="57" t="inlineStr">
        <is>
          <t>BBY</t>
        </is>
      </c>
      <c r="B153" s="69" t="n">
        <v>13</v>
      </c>
      <c r="C153" s="61" t="n">
        <v>173.07</v>
      </c>
      <c r="D153" s="61" t="n">
        <v>46.154</v>
      </c>
      <c r="E153" s="61" t="n">
        <v>1.741</v>
      </c>
      <c r="F153" s="67" t="n">
        <v>45232</v>
      </c>
      <c r="G153" s="66" t="n"/>
      <c r="H153" s="67" t="n">
        <v>45237</v>
      </c>
      <c r="I153" s="66" t="n"/>
      <c r="J153" s="28">
        <f>IF(ISBLANK(F153:G153),,IF(COUNTA(F153)=0,G153,F153))</f>
        <v/>
      </c>
      <c r="K153" s="6">
        <f>IFERROR(__xludf.DUMMYFUNCTION("if(isblank(J153),,index(googlefinance(A153,K$2,J153-1),2,2))"),65.97)</f>
        <v/>
      </c>
      <c r="L153" s="29">
        <f>IF(ISBLANK(H153:I153),,IF(COUNTA(H153)=0,I153,H153))</f>
        <v/>
      </c>
      <c r="M153" s="7">
        <f>IFERROR(__xludf.DUMMYFUNCTION("if(isblank(L153),, index(googlefinance(A153,M$2,L153-1),2,2))"),66.96)</f>
        <v/>
      </c>
      <c r="N153" s="8">
        <f>IFERROR(__xludf.DUMMYFUNCTION("if(isblank(A153),,googlefinance(A153))"),78.02)</f>
        <v/>
      </c>
      <c r="O153" s="59">
        <f>IF(ISBLANK(J153),,IF(ISBLANK(L153),"Ongoing","Completed"))</f>
        <v/>
      </c>
      <c r="P153" s="68">
        <f>IF(ISBLANK(A153),,IF(AND(COUNTA(F153)=1,S153&gt;0),"Profit",IF(AND(COUNTA(G153)=1,S153&lt;0),"Profit","Loss")))</f>
        <v/>
      </c>
      <c r="Q153" s="26">
        <f>IF(ISBLANK(T153),,IF(P153="Profit",IF(S153&lt;0,T153*-S153,T153*S153),IF(S153&gt;0,T153*-S153,T153*S153)))</f>
        <v/>
      </c>
      <c r="R153" s="59">
        <f>IF($Q153&gt;0, TRUE, FALSE)</f>
        <v/>
      </c>
      <c r="S153" s="59">
        <f>IF(ISBLANK(J153),,IF(ISBLANK(L153),N153-K153,M153-K153))</f>
        <v/>
      </c>
      <c r="T153" s="61">
        <f>IF(ISBLANK(J153),,ROUNDDOWN(T$1/K153,0))</f>
        <v/>
      </c>
      <c r="U153" s="62" t="n"/>
      <c r="V153" s="57" t="n"/>
      <c r="W153" s="57" t="n"/>
      <c r="X153" s="57" t="n"/>
      <c r="Y153" s="57" t="n"/>
      <c r="Z153" s="57" t="n"/>
      <c r="AA153" s="63" t="n"/>
    </row>
    <row r="154" hidden="1" ht="13.5" customHeight="1" s="56">
      <c r="A154" s="57" t="inlineStr">
        <is>
          <t>BR</t>
        </is>
      </c>
      <c r="B154" s="69" t="n">
        <v>14</v>
      </c>
      <c r="C154" s="61" t="n">
        <v>220.57</v>
      </c>
      <c r="D154" s="61" t="n">
        <v>57.143</v>
      </c>
      <c r="E154" s="61" t="n">
        <v>1.795</v>
      </c>
      <c r="F154" s="67" t="n">
        <v>45232</v>
      </c>
      <c r="G154" s="66" t="n"/>
      <c r="H154" s="67" t="n">
        <v>45257</v>
      </c>
      <c r="I154" s="66" t="n"/>
      <c r="J154" s="28">
        <f>IF(ISBLANK(F154:G154),,IF(COUNTA(F154)=0,G154,F154))</f>
        <v/>
      </c>
      <c r="K154" s="6">
        <f>IFERROR(__xludf.DUMMYFUNCTION("if(isblank(J154),,index(googlefinance(A154,K$2,J154-1),2,2))"),170.53)</f>
        <v/>
      </c>
      <c r="L154" s="29">
        <f>IF(ISBLANK(H154:I154),,IF(COUNTA(H154)=0,I154,H154))</f>
        <v/>
      </c>
      <c r="M154" s="7">
        <f>IFERROR(__xludf.DUMMYFUNCTION("if(isblank(L154),, index(googlefinance(A154,M$2,L154-1),2,2))"),187.62)</f>
        <v/>
      </c>
      <c r="N154" s="8">
        <f>IFERROR(__xludf.DUMMYFUNCTION("if(isblank(A154),,googlefinance(A154))"),200.2)</f>
        <v/>
      </c>
      <c r="O154" s="59">
        <f>IF(ISBLANK(J154),,IF(ISBLANK(L154),"Ongoing","Completed"))</f>
        <v/>
      </c>
      <c r="P154" s="68">
        <f>IF(ISBLANK(A154),,IF(AND(COUNTA(F154)=1,S154&gt;0),"Profit",IF(AND(COUNTA(G154)=1,S154&lt;0),"Profit","Loss")))</f>
        <v/>
      </c>
      <c r="Q154" s="26">
        <f>IF(ISBLANK(T154),,IF(P154="Profit",IF(S154&lt;0,T154*-S154,T154*S154),IF(S154&gt;0,T154*-S154,T154*S154)))</f>
        <v/>
      </c>
      <c r="R154" s="59">
        <f>IF($Q154&gt;0, TRUE, FALSE)</f>
        <v/>
      </c>
      <c r="S154" s="59">
        <f>IF(ISBLANK(J154),,IF(ISBLANK(L154),N154-K154,M154-K154))</f>
        <v/>
      </c>
      <c r="T154" s="61">
        <f>IF(ISBLANK(J154),,ROUNDDOWN(T$1/K154,0))</f>
        <v/>
      </c>
      <c r="U154" s="62" t="n"/>
      <c r="V154" s="57" t="n"/>
      <c r="W154" s="57" t="n"/>
      <c r="X154" s="57" t="n"/>
      <c r="Y154" s="57" t="n"/>
      <c r="Z154" s="57" t="n"/>
      <c r="AA154" s="63" t="n"/>
    </row>
    <row r="155" hidden="1" ht="13.5" customHeight="1" s="56">
      <c r="A155" s="57" t="inlineStr">
        <is>
          <t>C</t>
        </is>
      </c>
      <c r="B155" s="69" t="n">
        <v>11</v>
      </c>
      <c r="C155" s="61" t="n">
        <v>279.37</v>
      </c>
      <c r="D155" s="61" t="n">
        <v>45.455</v>
      </c>
      <c r="E155" s="61" t="n">
        <v>2.328</v>
      </c>
      <c r="F155" s="67" t="n">
        <v>45232</v>
      </c>
      <c r="G155" s="66" t="n"/>
      <c r="H155" s="67" t="n">
        <v>45258</v>
      </c>
      <c r="I155" s="66" t="n"/>
      <c r="J155" s="28">
        <f>IF(ISBLANK(F155:G155),,IF(COUNTA(F155)=0,G155,F155))</f>
        <v/>
      </c>
      <c r="K155" s="6">
        <f>IFERROR(__xludf.DUMMYFUNCTION("if(isblank(J155),,index(googlefinance(A155,K$2,J155-1),2,2))"),39.6)</f>
        <v/>
      </c>
      <c r="L155" s="29">
        <f>IF(ISBLANK(H155:I155),,IF(COUNTA(H155)=0,I155,H155))</f>
        <v/>
      </c>
      <c r="M155" s="7">
        <f>IFERROR(__xludf.DUMMYFUNCTION("if(isblank(L155),, index(googlefinance(A155,M$2,L155-1),2,2))"),45.08)</f>
        <v/>
      </c>
      <c r="N155" s="8">
        <f>IFERROR(__xludf.DUMMYFUNCTION("if(isblank(A155),,googlefinance(A155))"),57.61)</f>
        <v/>
      </c>
      <c r="O155" s="59">
        <f>IF(ISBLANK(J155),,IF(ISBLANK(L155),"Ongoing","Completed"))</f>
        <v/>
      </c>
      <c r="P155" s="68">
        <f>IF(ISBLANK(A155),,IF(AND(COUNTA(F155)=1,S155&gt;0),"Profit",IF(AND(COUNTA(G155)=1,S155&lt;0),"Profit","Loss")))</f>
        <v/>
      </c>
      <c r="Q155" s="26">
        <f>IF(ISBLANK(T155),,IF(P155="Profit",IF(S155&lt;0,T155*-S155,T155*S155),IF(S155&gt;0,T155*-S155,T155*S155)))</f>
        <v/>
      </c>
      <c r="R155" s="59">
        <f>IF($Q155&gt;0, TRUE, FALSE)</f>
        <v/>
      </c>
      <c r="S155" s="59">
        <f>IF(ISBLANK(J155),,IF(ISBLANK(L155),N155-K155,M155-K155))</f>
        <v/>
      </c>
      <c r="T155" s="61">
        <f>IF(ISBLANK(J155),,ROUNDDOWN(T$1/K155,0))</f>
        <v/>
      </c>
      <c r="U155" s="62" t="n"/>
      <c r="V155" s="57" t="n"/>
      <c r="W155" s="57" t="n"/>
      <c r="X155" s="57" t="n"/>
      <c r="Y155" s="57" t="n"/>
      <c r="Z155" s="57" t="n"/>
      <c r="AA155" s="63" t="n"/>
    </row>
    <row r="156" hidden="1" ht="13.5" customHeight="1" s="56">
      <c r="A156" s="57" t="inlineStr">
        <is>
          <t>CTVA</t>
        </is>
      </c>
      <c r="B156" s="69" t="n">
        <v>9</v>
      </c>
      <c r="C156" s="61" t="n">
        <v>7.38</v>
      </c>
      <c r="D156" s="61" t="n">
        <v>44.444</v>
      </c>
      <c r="E156" s="61" t="n">
        <v>1.075</v>
      </c>
      <c r="F156" s="67" t="n">
        <v>45232</v>
      </c>
      <c r="G156" s="66" t="n"/>
      <c r="H156" s="67" t="n">
        <v>45238</v>
      </c>
      <c r="I156" s="66" t="n"/>
      <c r="J156" s="28">
        <f>IF(ISBLANK(F156:G156),,IF(COUNTA(F156)=0,G156,F156))</f>
        <v/>
      </c>
      <c r="K156" s="6">
        <f>IFERROR(__xludf.DUMMYFUNCTION("if(isblank(J156),,index(googlefinance(A156,K$2,J156-1),2,2))"),47.74)</f>
        <v/>
      </c>
      <c r="L156" s="29">
        <f>IF(ISBLANK(H156:I156),,IF(COUNTA(H156)=0,I156,H156))</f>
        <v/>
      </c>
      <c r="M156" s="7">
        <f>IFERROR(__xludf.DUMMYFUNCTION("if(isblank(L156),, index(googlefinance(A156,M$2,L156-1),2,2))"),49.28)</f>
        <v/>
      </c>
      <c r="N156" s="8">
        <f>IFERROR(__xludf.DUMMYFUNCTION("if(isblank(A156),,googlefinance(A156))"),55.09)</f>
        <v/>
      </c>
      <c r="O156" s="59">
        <f>IF(ISBLANK(J156),,IF(ISBLANK(L156),"Ongoing","Completed"))</f>
        <v/>
      </c>
      <c r="P156" s="68">
        <f>IF(ISBLANK(A156),,IF(AND(COUNTA(F156)=1,S156&gt;0),"Profit",IF(AND(COUNTA(G156)=1,S156&lt;0),"Profit","Loss")))</f>
        <v/>
      </c>
      <c r="Q156" s="26">
        <f>IF(ISBLANK(T156),,IF(P156="Profit",IF(S156&lt;0,T156*-S156,T156*S156),IF(S156&gt;0,T156*-S156,T156*S156)))</f>
        <v/>
      </c>
      <c r="R156" s="59">
        <f>IF($Q156&gt;0, TRUE, FALSE)</f>
        <v/>
      </c>
      <c r="S156" s="59">
        <f>IF(ISBLANK(J156),,IF(ISBLANK(L156),N156-K156,M156-K156))</f>
        <v/>
      </c>
      <c r="T156" s="61">
        <f>IF(ISBLANK(J156),,ROUNDDOWN(T$1/K156,0))</f>
        <v/>
      </c>
      <c r="U156" s="62" t="n"/>
      <c r="V156" s="57" t="n"/>
      <c r="W156" s="57" t="n"/>
      <c r="X156" s="57" t="n"/>
      <c r="Y156" s="57" t="n"/>
      <c r="Z156" s="57" t="n"/>
      <c r="AA156" s="63" t="n"/>
    </row>
    <row r="157" hidden="1" ht="13.5" customHeight="1" s="56">
      <c r="A157" s="57" t="inlineStr">
        <is>
          <t>ECL</t>
        </is>
      </c>
      <c r="B157" s="69" t="n">
        <v>8</v>
      </c>
      <c r="C157" s="61" t="n">
        <v>119.41</v>
      </c>
      <c r="D157" s="61" t="n">
        <v>50</v>
      </c>
      <c r="E157" s="61" t="n">
        <v>3.809</v>
      </c>
      <c r="F157" s="67" t="n">
        <v>45232</v>
      </c>
      <c r="G157" s="66" t="n"/>
      <c r="H157" s="67" t="n">
        <v>45264</v>
      </c>
      <c r="I157" s="66" t="n"/>
      <c r="J157" s="28">
        <f>IF(ISBLANK(F157:G157),,IF(COUNTA(F157)=0,G157,F157))</f>
        <v/>
      </c>
      <c r="K157" s="6">
        <f>IFERROR(__xludf.DUMMYFUNCTION("if(isblank(J157),,index(googlefinance(A157,K$2,J157-1),2,2))"),167.21)</f>
        <v/>
      </c>
      <c r="L157" s="29">
        <f>IF(ISBLANK(H157:I157),,IF(COUNTA(H157)=0,I157,H157))</f>
        <v/>
      </c>
      <c r="M157" s="7">
        <f>IFERROR(__xludf.DUMMYFUNCTION("if(isblank(L157),, index(googlefinance(A157,M$2,L157-1),2,2))"),191.44)</f>
        <v/>
      </c>
      <c r="N157" s="8">
        <f>IFERROR(__xludf.DUMMYFUNCTION("if(isblank(A157),,googlefinance(A157))"),226.7)</f>
        <v/>
      </c>
      <c r="O157" s="59">
        <f>IF(ISBLANK(J157),,IF(ISBLANK(L157),"Ongoing","Completed"))</f>
        <v/>
      </c>
      <c r="P157" s="68">
        <f>IF(ISBLANK(A157),,IF(AND(COUNTA(F157)=1,S157&gt;0),"Profit",IF(AND(COUNTA(G157)=1,S157&lt;0),"Profit","Loss")))</f>
        <v/>
      </c>
      <c r="Q157" s="26">
        <f>IF(ISBLANK(T157),,IF(P157="Profit",IF(S157&lt;0,T157*-S157,T157*S157),IF(S157&gt;0,T157*-S157,T157*S157)))</f>
        <v/>
      </c>
      <c r="R157" s="59">
        <f>IF($Q157&gt;0, TRUE, FALSE)</f>
        <v/>
      </c>
      <c r="S157" s="59">
        <f>IF(ISBLANK(J157),,IF(ISBLANK(L157),N157-K157,M157-K157))</f>
        <v/>
      </c>
      <c r="T157" s="61">
        <f>IF(ISBLANK(J157),,ROUNDDOWN(T$1/K157,0))</f>
        <v/>
      </c>
      <c r="U157" s="62" t="n"/>
      <c r="V157" s="57" t="n"/>
      <c r="W157" s="57" t="n"/>
      <c r="X157" s="57" t="n"/>
      <c r="Y157" s="57" t="n"/>
      <c r="Z157" s="57" t="n"/>
      <c r="AA157" s="63" t="n"/>
    </row>
    <row r="158" hidden="1" ht="13.5" customHeight="1" s="56">
      <c r="A158" s="57" t="inlineStr">
        <is>
          <t>GS</t>
        </is>
      </c>
      <c r="B158" s="69" t="n">
        <v>9</v>
      </c>
      <c r="C158" s="61" t="n">
        <v>46.52</v>
      </c>
      <c r="D158" s="61" t="n">
        <v>44.444</v>
      </c>
      <c r="E158" s="61" t="n">
        <v>1.336</v>
      </c>
      <c r="F158" s="67" t="n">
        <v>45232</v>
      </c>
      <c r="G158" s="66" t="n"/>
      <c r="H158" s="67" t="n">
        <v>45265</v>
      </c>
      <c r="I158" s="66" t="n"/>
      <c r="J158" s="28">
        <f>IF(ISBLANK(F158:G158),,IF(COUNTA(F158)=0,G158,F158))</f>
        <v/>
      </c>
      <c r="K158" s="6">
        <f>IFERROR(__xludf.DUMMYFUNCTION("if(isblank(J158),,index(googlefinance(A158,K$2,J158-1),2,2))"),307.16)</f>
        <v/>
      </c>
      <c r="L158" s="29">
        <f>IF(ISBLANK(H158:I158),,IF(COUNTA(H158)=0,I158,H158))</f>
        <v/>
      </c>
      <c r="M158" s="7">
        <f>IFERROR(__xludf.DUMMYFUNCTION("if(isblank(L158),, index(googlefinance(A158,M$2,L158-1),2,2))"),349.39)</f>
        <v/>
      </c>
      <c r="N158" s="8">
        <f>IFERROR(__xludf.DUMMYFUNCTION("if(isblank(A158),,googlefinance(A158))"),387.21)</f>
        <v/>
      </c>
      <c r="O158" s="59">
        <f>IF(ISBLANK(J158),,IF(ISBLANK(L158),"Ongoing","Completed"))</f>
        <v/>
      </c>
      <c r="P158" s="68">
        <f>IF(ISBLANK(A158),,IF(AND(COUNTA(F158)=1,S158&gt;0),"Profit",IF(AND(COUNTA(G158)=1,S158&lt;0),"Profit","Loss")))</f>
        <v/>
      </c>
      <c r="Q158" s="26">
        <f>IF(ISBLANK(T158),,IF(P158="Profit",IF(S158&lt;0,T158*-S158,T158*S158),IF(S158&gt;0,T158*-S158,T158*S158)))</f>
        <v/>
      </c>
      <c r="R158" s="59">
        <f>IF($Q158&gt;0, TRUE, FALSE)</f>
        <v/>
      </c>
      <c r="S158" s="59">
        <f>IF(ISBLANK(J158),,IF(ISBLANK(L158),N158-K158,M158-K158))</f>
        <v/>
      </c>
      <c r="T158" s="61">
        <f>IF(ISBLANK(J158),,ROUNDDOWN(T$1/K158,0))</f>
        <v/>
      </c>
      <c r="U158" s="62" t="n"/>
      <c r="V158" s="57" t="n"/>
      <c r="W158" s="57" t="n"/>
      <c r="X158" s="57" t="n"/>
      <c r="Y158" s="57" t="n"/>
      <c r="Z158" s="57" t="n"/>
      <c r="AA158" s="63" t="n"/>
    </row>
    <row r="159" hidden="1" ht="13.5" customHeight="1" s="56">
      <c r="A159" s="57" t="inlineStr">
        <is>
          <t>HWM</t>
        </is>
      </c>
      <c r="B159" s="69" t="n">
        <v>10</v>
      </c>
      <c r="C159" s="61" t="n">
        <v>316.97</v>
      </c>
      <c r="D159" s="61" t="n">
        <v>40</v>
      </c>
      <c r="E159" s="61" t="n">
        <v>2.261</v>
      </c>
      <c r="F159" s="67" t="n">
        <v>45232</v>
      </c>
      <c r="G159" s="66" t="n"/>
      <c r="H159" s="67" t="n">
        <v>45258</v>
      </c>
      <c r="I159" s="66" t="n"/>
      <c r="J159" s="28">
        <f>IF(ISBLANK(F159:G159),,IF(COUNTA(F159)=0,G159,F159))</f>
        <v/>
      </c>
      <c r="K159" s="6">
        <f>IFERROR(__xludf.DUMMYFUNCTION("if(isblank(J159),,index(googlefinance(A159,K$2,J159-1),2,2))"),44.72)</f>
        <v/>
      </c>
      <c r="L159" s="29">
        <f>IF(ISBLANK(H159:I159),,IF(COUNTA(H159)=0,I159,H159))</f>
        <v/>
      </c>
      <c r="M159" s="7">
        <f>IFERROR(__xludf.DUMMYFUNCTION("if(isblank(L159),, index(googlefinance(A159,M$2,L159-1),2,2))"),52.62)</f>
        <v/>
      </c>
      <c r="N159" s="8">
        <f>IFERROR(__xludf.DUMMYFUNCTION("if(isblank(A159),,googlefinance(A159))"),66.24)</f>
        <v/>
      </c>
      <c r="O159" s="59">
        <f>IF(ISBLANK(J159),,IF(ISBLANK(L159),"Ongoing","Completed"))</f>
        <v/>
      </c>
      <c r="P159" s="68">
        <f>IF(ISBLANK(A159),,IF(AND(COUNTA(F159)=1,S159&gt;0),"Profit",IF(AND(COUNTA(G159)=1,S159&lt;0),"Profit","Loss")))</f>
        <v/>
      </c>
      <c r="Q159" s="26">
        <f>IF(ISBLANK(T159),,IF(P159="Profit",IF(S159&lt;0,T159*-S159,T159*S159),IF(S159&gt;0,T159*-S159,T159*S159)))</f>
        <v/>
      </c>
      <c r="R159" s="59">
        <f>IF($Q159&gt;0, TRUE, FALSE)</f>
        <v/>
      </c>
      <c r="S159" s="59">
        <f>IF(ISBLANK(J159),,IF(ISBLANK(L159),N159-K159,M159-K159))</f>
        <v/>
      </c>
      <c r="T159" s="61">
        <f>IF(ISBLANK(J159),,ROUNDDOWN(T$1/K159,0))</f>
        <v/>
      </c>
      <c r="U159" s="62" t="n"/>
      <c r="V159" s="57" t="n"/>
      <c r="W159" s="57" t="n"/>
      <c r="X159" s="57" t="n"/>
      <c r="Y159" s="57" t="n"/>
      <c r="Z159" s="57" t="n"/>
      <c r="AA159" s="63" t="n"/>
    </row>
    <row r="160" hidden="1" ht="13.5" customHeight="1" s="56">
      <c r="A160" s="57" t="inlineStr">
        <is>
          <t>IR</t>
        </is>
      </c>
      <c r="B160" s="69" t="n">
        <v>16</v>
      </c>
      <c r="C160" s="61" t="n">
        <v>236.63</v>
      </c>
      <c r="D160" s="61" t="n">
        <v>31.25</v>
      </c>
      <c r="E160" s="61" t="n">
        <v>1.737</v>
      </c>
      <c r="F160" s="67" t="n">
        <v>45232</v>
      </c>
      <c r="G160" s="66" t="n"/>
      <c r="H160" s="67" t="n">
        <v>45258</v>
      </c>
      <c r="I160" s="66" t="n"/>
      <c r="J160" s="28">
        <f>IF(ISBLANK(F160:G160),,IF(COUNTA(F160)=0,G160,F160))</f>
        <v/>
      </c>
      <c r="K160" s="6">
        <f>IFERROR(__xludf.DUMMYFUNCTION("if(isblank(J160),,index(googlefinance(A160,K$2,J160-1),2,2))"),61.99)</f>
        <v/>
      </c>
      <c r="L160" s="29">
        <f>IF(ISBLANK(H160:I160),,IF(COUNTA(H160)=0,I160,H160))</f>
        <v/>
      </c>
      <c r="M160" s="7">
        <f>IFERROR(__xludf.DUMMYFUNCTION("if(isblank(L160),, index(googlefinance(A160,M$2,L160-1),2,2))"),70.78)</f>
        <v/>
      </c>
      <c r="N160" s="8">
        <f>IFERROR(__xludf.DUMMYFUNCTION("if(isblank(A160),,googlefinance(A160))"),90.47)</f>
        <v/>
      </c>
      <c r="O160" s="59">
        <f>IF(ISBLANK(J160),,IF(ISBLANK(L160),"Ongoing","Completed"))</f>
        <v/>
      </c>
      <c r="P160" s="68">
        <f>IF(ISBLANK(A160),,IF(AND(COUNTA(F160)=1,S160&gt;0),"Profit",IF(AND(COUNTA(G160)=1,S160&lt;0),"Profit","Loss")))</f>
        <v/>
      </c>
      <c r="Q160" s="26">
        <f>IF(ISBLANK(T160),,IF(P160="Profit",IF(S160&lt;0,T160*-S160,T160*S160),IF(S160&gt;0,T160*-S160,T160*S160)))</f>
        <v/>
      </c>
      <c r="R160" s="59">
        <f>IF($Q160&gt;0, TRUE, FALSE)</f>
        <v/>
      </c>
      <c r="S160" s="59">
        <f>IF(ISBLANK(J160),,IF(ISBLANK(L160),N160-K160,M160-K160))</f>
        <v/>
      </c>
      <c r="T160" s="61">
        <f>IF(ISBLANK(J160),,ROUNDDOWN(T$1/K160,0))</f>
        <v/>
      </c>
      <c r="U160" s="62" t="n"/>
      <c r="V160" s="57" t="n"/>
      <c r="W160" s="57" t="n"/>
      <c r="X160" s="57" t="n"/>
      <c r="Y160" s="57" t="n"/>
      <c r="Z160" s="57" t="n"/>
      <c r="AA160" s="63" t="n"/>
    </row>
    <row r="161" hidden="1" ht="13.5" customHeight="1" s="56">
      <c r="A161" s="57" t="inlineStr">
        <is>
          <t>MTB</t>
        </is>
      </c>
      <c r="B161" s="69" t="n">
        <v>11</v>
      </c>
      <c r="C161" s="61" t="n">
        <v>131.34</v>
      </c>
      <c r="D161" s="61" t="n">
        <v>36.364</v>
      </c>
      <c r="E161" s="61" t="n">
        <v>1.63</v>
      </c>
      <c r="F161" s="67" t="n">
        <v>45232</v>
      </c>
      <c r="G161" s="66" t="n"/>
      <c r="H161" s="67" t="n">
        <v>45239</v>
      </c>
      <c r="I161" s="66" t="n"/>
      <c r="J161" s="28">
        <f>IF(ISBLANK(F161:G161),,IF(COUNTA(F161)=0,G161,F161))</f>
        <v/>
      </c>
      <c r="K161" s="6">
        <f>IFERROR(__xludf.DUMMYFUNCTION("if(isblank(J161),,index(googlefinance(A161,K$2,J161-1),2,2))"),112.13)</f>
        <v/>
      </c>
      <c r="L161" s="29">
        <f>IF(ISBLANK(H161:I161),,IF(COUNTA(H161)=0,I161,H161))</f>
        <v/>
      </c>
      <c r="M161" s="7">
        <f>IFERROR(__xludf.DUMMYFUNCTION("if(isblank(L161),, index(googlefinance(A161,M$2,L161-1),2,2))"),119.34)</f>
        <v/>
      </c>
      <c r="N161" s="8">
        <f>IFERROR(__xludf.DUMMYFUNCTION("if(isblank(A161),,googlefinance(A161))"),140.53)</f>
        <v/>
      </c>
      <c r="O161" s="59">
        <f>IF(ISBLANK(J161),,IF(ISBLANK(L161),"Ongoing","Completed"))</f>
        <v/>
      </c>
      <c r="P161" s="68">
        <f>IF(ISBLANK(A161),,IF(AND(COUNTA(F161)=1,S161&gt;0),"Profit",IF(AND(COUNTA(G161)=1,S161&lt;0),"Profit","Loss")))</f>
        <v/>
      </c>
      <c r="Q161" s="26">
        <f>IF(ISBLANK(T161),,IF(P161="Profit",IF(S161&lt;0,T161*-S161,T161*S161),IF(S161&gt;0,T161*-S161,T161*S161)))</f>
        <v/>
      </c>
      <c r="R161" s="59">
        <f>IF($Q161&gt;0, TRUE, FALSE)</f>
        <v/>
      </c>
      <c r="S161" s="59">
        <f>IF(ISBLANK(J161),,IF(ISBLANK(L161),N161-K161,M161-K161))</f>
        <v/>
      </c>
      <c r="T161" s="61">
        <f>IF(ISBLANK(J161),,ROUNDDOWN(T$1/K161,0))</f>
        <v/>
      </c>
      <c r="U161" s="62" t="n"/>
      <c r="V161" s="57" t="n"/>
      <c r="W161" s="57" t="n"/>
      <c r="X161" s="57" t="n"/>
      <c r="Y161" s="57" t="n"/>
      <c r="Z161" s="57" t="n"/>
      <c r="AA161" s="63" t="n"/>
    </row>
    <row r="162" hidden="1" ht="13.5" customHeight="1" s="56">
      <c r="A162" s="57" t="inlineStr">
        <is>
          <t>PNC</t>
        </is>
      </c>
      <c r="B162" s="69" t="n">
        <v>9</v>
      </c>
      <c r="C162" s="61" t="n">
        <v>86.22</v>
      </c>
      <c r="D162" s="61" t="n">
        <v>55.556</v>
      </c>
      <c r="E162" s="61" t="n">
        <v>1.797</v>
      </c>
      <c r="F162" s="67" t="n">
        <v>45232</v>
      </c>
      <c r="G162" s="66" t="n"/>
      <c r="H162" s="67" t="n">
        <v>45265</v>
      </c>
      <c r="I162" s="66" t="n"/>
      <c r="J162" s="28">
        <f>IF(ISBLANK(F162:G162),,IF(COUNTA(F162)=0,G162,F162))</f>
        <v/>
      </c>
      <c r="K162" s="6">
        <f>IFERROR(__xludf.DUMMYFUNCTION("if(isblank(J162),,index(googlefinance(A162,K$2,J162-1),2,2))"),113.46)</f>
        <v/>
      </c>
      <c r="L162" s="29">
        <f>IF(ISBLANK(H162:I162),,IF(COUNTA(H162)=0,I162,H162))</f>
        <v/>
      </c>
      <c r="M162" s="7">
        <f>IFERROR(__xludf.DUMMYFUNCTION("if(isblank(L162),, index(googlefinance(A162,M$2,L162-1),2,2))"),140.79)</f>
        <v/>
      </c>
      <c r="N162" s="8">
        <f>IFERROR(__xludf.DUMMYFUNCTION("if(isblank(A162),,googlefinance(A162))"),148.78)</f>
        <v/>
      </c>
      <c r="O162" s="59">
        <f>IF(ISBLANK(J162),,IF(ISBLANK(L162),"Ongoing","Completed"))</f>
        <v/>
      </c>
      <c r="P162" s="68">
        <f>IF(ISBLANK(A162),,IF(AND(COUNTA(F162)=1,S162&gt;0),"Profit",IF(AND(COUNTA(G162)=1,S162&lt;0),"Profit","Loss")))</f>
        <v/>
      </c>
      <c r="Q162" s="26">
        <f>IF(ISBLANK(T162),,IF(P162="Profit",IF(S162&lt;0,T162*-S162,T162*S162),IF(S162&gt;0,T162*-S162,T162*S162)))</f>
        <v/>
      </c>
      <c r="R162" s="59">
        <f>IF($Q162&gt;0, TRUE, FALSE)</f>
        <v/>
      </c>
      <c r="S162" s="59">
        <f>IF(ISBLANK(J162),,IF(ISBLANK(L162),N162-K162,M162-K162))</f>
        <v/>
      </c>
      <c r="T162" s="61">
        <f>IF(ISBLANK(J162),,ROUNDDOWN(T$1/K162,0))</f>
        <v/>
      </c>
      <c r="U162" s="62" t="n"/>
      <c r="V162" s="57" t="n"/>
      <c r="W162" s="57" t="n"/>
      <c r="X162" s="57" t="n"/>
      <c r="Y162" s="57" t="n"/>
      <c r="Z162" s="57" t="n"/>
      <c r="AA162" s="63" t="n"/>
    </row>
    <row r="163" hidden="1" ht="13.5" customHeight="1" s="56">
      <c r="A163" s="57" t="inlineStr">
        <is>
          <t>PM</t>
        </is>
      </c>
      <c r="B163" s="69" t="n">
        <v>13</v>
      </c>
      <c r="C163" s="61" t="n">
        <v>120.2</v>
      </c>
      <c r="D163" s="61" t="n">
        <v>30.769</v>
      </c>
      <c r="E163" s="61" t="n">
        <v>2</v>
      </c>
      <c r="F163" s="67" t="n">
        <v>45232</v>
      </c>
      <c r="G163" s="66" t="n"/>
      <c r="H163" s="67" t="n">
        <v>45264</v>
      </c>
      <c r="I163" s="66" t="n"/>
      <c r="J163" s="28">
        <f>IF(ISBLANK(F163:G163),,IF(COUNTA(F163)=0,G163,F163))</f>
        <v/>
      </c>
      <c r="K163" s="6">
        <f>IFERROR(__xludf.DUMMYFUNCTION("if(isblank(J163),,index(googlefinance(A163,K$2,J163-1),2,2))"),89.01)</f>
        <v/>
      </c>
      <c r="L163" s="29">
        <f>IF(ISBLANK(H163:I163),,IF(COUNTA(H163)=0,I163,H163))</f>
        <v/>
      </c>
      <c r="M163" s="7">
        <f>IFERROR(__xludf.DUMMYFUNCTION("if(isblank(L163),, index(googlefinance(A163,M$2,L163-1),2,2))"),92.93)</f>
        <v/>
      </c>
      <c r="N163" s="8">
        <f>IFERROR(__xludf.DUMMYFUNCTION("if(isblank(A163),,googlefinance(A163))"),94.27)</f>
        <v/>
      </c>
      <c r="O163" s="59">
        <f>IF(ISBLANK(J163),,IF(ISBLANK(L163),"Ongoing","Completed"))</f>
        <v/>
      </c>
      <c r="P163" s="68">
        <f>IF(ISBLANK(A163),,IF(AND(COUNTA(F163)=1,S163&gt;0),"Profit",IF(AND(COUNTA(G163)=1,S163&lt;0),"Profit","Loss")))</f>
        <v/>
      </c>
      <c r="Q163" s="26">
        <f>IF(ISBLANK(T163),,IF(P163="Profit",IF(S163&lt;0,T163*-S163,T163*S163),IF(S163&gt;0,T163*-S163,T163*S163)))</f>
        <v/>
      </c>
      <c r="R163" s="59">
        <f>IF($Q163&gt;0, TRUE, FALSE)</f>
        <v/>
      </c>
      <c r="S163" s="59">
        <f>IF(ISBLANK(J163),,IF(ISBLANK(L163),N163-K163,M163-K163))</f>
        <v/>
      </c>
      <c r="T163" s="61">
        <f>IF(ISBLANK(J163),,ROUNDDOWN(T$1/K163,0))</f>
        <v/>
      </c>
      <c r="U163" s="62" t="n"/>
      <c r="V163" s="57" t="n"/>
      <c r="W163" s="57" t="n"/>
      <c r="X163" s="57" t="n"/>
      <c r="Y163" s="57" t="n"/>
      <c r="Z163" s="57" t="n"/>
      <c r="AA163" s="63" t="n"/>
    </row>
    <row r="164" hidden="1" ht="13.5" customHeight="1" s="56">
      <c r="A164" s="57" t="inlineStr">
        <is>
          <t>STT</t>
        </is>
      </c>
      <c r="B164" s="69" t="n">
        <v>6</v>
      </c>
      <c r="C164" s="61" t="n">
        <v>107.29</v>
      </c>
      <c r="D164" s="61" t="n">
        <v>33.333</v>
      </c>
      <c r="E164" s="61" t="n">
        <v>1.649</v>
      </c>
      <c r="F164" s="67" t="n">
        <v>45232</v>
      </c>
      <c r="G164" s="66" t="n"/>
      <c r="H164" s="67" t="n">
        <v>45265</v>
      </c>
      <c r="I164" s="66" t="n"/>
      <c r="J164" s="28">
        <f>IF(ISBLANK(F164:G164),,IF(COUNTA(F164)=0,G164,F164))</f>
        <v/>
      </c>
      <c r="K164" s="6">
        <f>IFERROR(__xludf.DUMMYFUNCTION("if(isblank(J164),,index(googlefinance(A164,K$2,J164-1),2,2))"),64.74)</f>
        <v/>
      </c>
      <c r="L164" s="29">
        <f>IF(ISBLANK(H164:I164),,IF(COUNTA(H164)=0,I164,H164))</f>
        <v/>
      </c>
      <c r="M164" s="7">
        <f>IFERROR(__xludf.DUMMYFUNCTION("if(isblank(L164),, index(googlefinance(A164,M$2,L164-1),2,2))"),74.1)</f>
        <v/>
      </c>
      <c r="N164" s="8">
        <f>IFERROR(__xludf.DUMMYFUNCTION("if(isblank(A164),,googlefinance(A164))"),72.5)</f>
        <v/>
      </c>
      <c r="O164" s="59">
        <f>IF(ISBLANK(J164),,IF(ISBLANK(L164),"Ongoing","Completed"))</f>
        <v/>
      </c>
      <c r="P164" s="68">
        <f>IF(ISBLANK(A164),,IF(AND(COUNTA(F164)=1,S164&gt;0),"Profit",IF(AND(COUNTA(G164)=1,S164&lt;0),"Profit","Loss")))</f>
        <v/>
      </c>
      <c r="Q164" s="26">
        <f>IF(ISBLANK(T164),,IF(P164="Profit",IF(S164&lt;0,T164*-S164,T164*S164),IF(S164&gt;0,T164*-S164,T164*S164)))</f>
        <v/>
      </c>
      <c r="R164" s="59">
        <f>IF($Q164&gt;0, TRUE, FALSE)</f>
        <v/>
      </c>
      <c r="S164" s="59">
        <f>IF(ISBLANK(J164),,IF(ISBLANK(L164),N164-K164,M164-K164))</f>
        <v/>
      </c>
      <c r="T164" s="61">
        <f>IF(ISBLANK(J164),,ROUNDDOWN(T$1/K164,0))</f>
        <v/>
      </c>
      <c r="U164" s="62" t="n"/>
      <c r="V164" s="57" t="n"/>
      <c r="W164" s="57" t="n"/>
      <c r="X164" s="57" t="n"/>
      <c r="Y164" s="57" t="n"/>
      <c r="Z164" s="57" t="n"/>
      <c r="AA164" s="63" t="n"/>
    </row>
    <row r="165" hidden="1" ht="13.5" customHeight="1" s="56">
      <c r="A165" s="57" t="inlineStr">
        <is>
          <t>TFX</t>
        </is>
      </c>
      <c r="B165" s="69" t="n">
        <v>16</v>
      </c>
      <c r="C165" s="61" t="n">
        <v>120.15</v>
      </c>
      <c r="D165" s="61" t="n">
        <v>37.5</v>
      </c>
      <c r="E165" s="61" t="n">
        <v>1.434</v>
      </c>
      <c r="F165" s="67" t="n">
        <v>45232</v>
      </c>
      <c r="G165" s="66" t="n"/>
      <c r="H165" s="67" t="n">
        <v>45265</v>
      </c>
      <c r="I165" s="66" t="n"/>
      <c r="J165" s="28">
        <f>IF(ISBLANK(F165:G165),,IF(COUNTA(F165)=0,G165,F165))</f>
        <v/>
      </c>
      <c r="K165" s="6">
        <f>IFERROR(__xludf.DUMMYFUNCTION("if(isblank(J165),,index(googlefinance(A165,K$2,J165-1),2,2))"),187.51)</f>
        <v/>
      </c>
      <c r="L165" s="29">
        <f>IF(ISBLANK(H165:I165),,IF(COUNTA(H165)=0,I165,H165))</f>
        <v/>
      </c>
      <c r="M165" s="7">
        <f>IFERROR(__xludf.DUMMYFUNCTION("if(isblank(L165),, index(googlefinance(A165,M$2,L165-1),2,2))"),229.36)</f>
        <v/>
      </c>
      <c r="N165" s="8">
        <f>IFERROR(__xludf.DUMMYFUNCTION("if(isblank(A165),,googlefinance(A165))"),215.39)</f>
        <v/>
      </c>
      <c r="O165" s="59">
        <f>IF(ISBLANK(J165),,IF(ISBLANK(L165),"Ongoing","Completed"))</f>
        <v/>
      </c>
      <c r="P165" s="68">
        <f>IF(ISBLANK(A165),,IF(AND(COUNTA(F165)=1,S165&gt;0),"Profit",IF(AND(COUNTA(G165)=1,S165&lt;0),"Profit","Loss")))</f>
        <v/>
      </c>
      <c r="Q165" s="26">
        <f>IF(ISBLANK(T165),,IF(P165="Profit",IF(S165&lt;0,T165*-S165,T165*S165),IF(S165&gt;0,T165*-S165,T165*S165)))</f>
        <v/>
      </c>
      <c r="R165" s="59">
        <f>IF($Q165&gt;0, TRUE, FALSE)</f>
        <v/>
      </c>
      <c r="S165" s="59">
        <f>IF(ISBLANK(J165),,IF(ISBLANK(L165),N165-K165,M165-K165))</f>
        <v/>
      </c>
      <c r="T165" s="61">
        <f>IF(ISBLANK(J165),,ROUNDDOWN(T$1/K165,0))</f>
        <v/>
      </c>
      <c r="U165" s="62" t="n"/>
      <c r="V165" s="57" t="n"/>
      <c r="W165" s="57" t="n"/>
      <c r="X165" s="57" t="n"/>
      <c r="Y165" s="57" t="n"/>
      <c r="Z165" s="57" t="n"/>
      <c r="AA165" s="63" t="n"/>
    </row>
    <row r="166" hidden="1" ht="13.5" customHeight="1" s="56">
      <c r="A166" s="57" t="inlineStr">
        <is>
          <t>ZION</t>
        </is>
      </c>
      <c r="B166" s="69" t="n">
        <v>16</v>
      </c>
      <c r="C166" s="61" t="n">
        <v>61.93</v>
      </c>
      <c r="D166" s="61" t="n">
        <v>25</v>
      </c>
      <c r="E166" s="61" t="n">
        <v>1.169</v>
      </c>
      <c r="F166" s="67" t="n">
        <v>45232</v>
      </c>
      <c r="G166" s="66" t="n"/>
      <c r="H166" s="67" t="n">
        <v>45239</v>
      </c>
      <c r="I166" s="66" t="n"/>
      <c r="J166" s="28">
        <f>IF(ISBLANK(F166:G166),,IF(COUNTA(F166)=0,G166,F166))</f>
        <v/>
      </c>
      <c r="K166" s="6">
        <f>IFERROR(__xludf.DUMMYFUNCTION("if(isblank(J166),,index(googlefinance(A166,K$2,J166-1),2,2))"),31.02)</f>
        <v/>
      </c>
      <c r="L166" s="29">
        <f>IF(ISBLANK(H166:I166),,IF(COUNTA(H166)=0,I166,H166))</f>
        <v/>
      </c>
      <c r="M166" s="7">
        <f>IFERROR(__xludf.DUMMYFUNCTION("if(isblank(L166),, index(googlefinance(A166,M$2,L166-1),2,2))"),33.76)</f>
        <v/>
      </c>
      <c r="N166" s="8">
        <f>IFERROR(__xludf.DUMMYFUNCTION("if(isblank(A166),,googlefinance(A166))"),39.79)</f>
        <v/>
      </c>
      <c r="O166" s="59">
        <f>IF(ISBLANK(J166),,IF(ISBLANK(L166),"Ongoing","Completed"))</f>
        <v/>
      </c>
      <c r="P166" s="68">
        <f>IF(ISBLANK(A166),,IF(AND(COUNTA(F166)=1,S166&gt;0),"Profit",IF(AND(COUNTA(G166)=1,S166&lt;0),"Profit","Loss")))</f>
        <v/>
      </c>
      <c r="Q166" s="26">
        <f>IF(ISBLANK(T166),,IF(P166="Profit",IF(S166&lt;0,T166*-S166,T166*S166),IF(S166&gt;0,T166*-S166,T166*S166)))</f>
        <v/>
      </c>
      <c r="R166" s="59">
        <f>IF($Q166&gt;0, TRUE, FALSE)</f>
        <v/>
      </c>
      <c r="S166" s="59">
        <f>IF(ISBLANK(J166),,IF(ISBLANK(L166),N166-K166,M166-K166))</f>
        <v/>
      </c>
      <c r="T166" s="61">
        <f>IF(ISBLANK(J166),,ROUNDDOWN(T$1/K166,0))</f>
        <v/>
      </c>
      <c r="U166" s="62" t="n"/>
      <c r="V166" s="57" t="n"/>
      <c r="W166" s="57" t="n"/>
      <c r="X166" s="57" t="n"/>
      <c r="Y166" s="57" t="n"/>
      <c r="Z166" s="57" t="n"/>
      <c r="AA166" s="63" t="n"/>
    </row>
    <row r="167" hidden="1" ht="13.5" customHeight="1" s="56">
      <c r="A167" s="57" t="inlineStr">
        <is>
          <t>BDX</t>
        </is>
      </c>
      <c r="B167" s="69" t="n">
        <v>11</v>
      </c>
      <c r="C167" s="61" t="n">
        <v>240.237</v>
      </c>
      <c r="D167" s="61" t="n">
        <v>45.455</v>
      </c>
      <c r="E167" s="61" t="n">
        <v>3.455</v>
      </c>
      <c r="F167" s="67" t="n">
        <v>45233</v>
      </c>
      <c r="G167" s="66" t="n"/>
      <c r="H167" s="67" t="n">
        <v>45239</v>
      </c>
      <c r="I167" s="66" t="n"/>
      <c r="J167" s="28">
        <f>IF(ISBLANK(F167:G167),,IF(COUNTA(F167)=0,G167,F167))</f>
        <v/>
      </c>
      <c r="K167" s="6">
        <f>IFERROR(__xludf.DUMMYFUNCTION("if(isblank(J167),,index(googlefinance(A167,K$2,J167-1),2,2))"),255.92)</f>
        <v/>
      </c>
      <c r="L167" s="29">
        <f>IF(ISBLANK(H167:I167),,IF(COUNTA(H167)=0,I167,H167))</f>
        <v/>
      </c>
      <c r="M167" s="7">
        <f>IFERROR(__xludf.DUMMYFUNCTION("if(isblank(L167),, index(googlefinance(A167,M$2,L167-1),2,2))"),255.92)</f>
        <v/>
      </c>
      <c r="N167" s="8">
        <f>IFERROR(__xludf.DUMMYFUNCTION("if(isblank(A167),,googlefinance(A167))"),236.71)</f>
        <v/>
      </c>
      <c r="O167" s="59">
        <f>IF(ISBLANK(J167),,IF(ISBLANK(L167),"Ongoing","Completed"))</f>
        <v/>
      </c>
      <c r="P167" s="70">
        <f>IF(ISBLANK(A167),,IF(AND(COUNTA(F167)=1,S167&gt;0),"Profit",IF(AND(COUNTA(G167)=1,S167&lt;0),"Profit","Loss")))</f>
        <v/>
      </c>
      <c r="Q167" s="60">
        <f>IF(ISBLANK(T167),,IF(P167="Profit",IF(S167&lt;0,T167*-S167,T167*S167),IF(S167&gt;0,T167*-S167,T167*S167)))</f>
        <v/>
      </c>
      <c r="R167" s="59">
        <f>IF($Q167&gt;0, TRUE, FALSE)</f>
        <v/>
      </c>
      <c r="S167" s="59">
        <f>IF(ISBLANK(J167),,IF(ISBLANK(L167),N167-K167,M167-K167))</f>
        <v/>
      </c>
      <c r="T167" s="61">
        <f>IF(ISBLANK(J167),,ROUNDDOWN(T$1/K167,0))</f>
        <v/>
      </c>
      <c r="U167" s="62" t="n"/>
      <c r="V167" s="57" t="n"/>
      <c r="W167" s="57" t="n"/>
      <c r="X167" s="57" t="n"/>
      <c r="Y167" s="57" t="n"/>
      <c r="Z167" s="57" t="n"/>
      <c r="AA167" s="63" t="n"/>
    </row>
    <row r="168" hidden="1" ht="13.5" customHeight="1" s="56">
      <c r="A168" s="57" t="inlineStr">
        <is>
          <t>BIIB</t>
        </is>
      </c>
      <c r="B168" s="69" t="n">
        <v>6</v>
      </c>
      <c r="C168" s="61" t="n">
        <v>43.22</v>
      </c>
      <c r="D168" s="61" t="n">
        <v>50</v>
      </c>
      <c r="E168" s="61" t="n">
        <v>1.69</v>
      </c>
      <c r="F168" s="67" t="n">
        <v>45233</v>
      </c>
      <c r="G168" s="66" t="n"/>
      <c r="H168" s="67" t="n">
        <v>45257</v>
      </c>
      <c r="I168" s="66" t="n"/>
      <c r="J168" s="28">
        <f>IF(ISBLANK(F168:G168),,IF(COUNTA(F168)=0,G168,F168))</f>
        <v/>
      </c>
      <c r="K168" s="6">
        <f>IFERROR(__xludf.DUMMYFUNCTION("if(isblank(J168),,index(googlefinance(A168,K$2,J168-1),2,2))"),241.86)</f>
        <v/>
      </c>
      <c r="L168" s="29">
        <f>IF(ISBLANK(H168:I168),,IF(COUNTA(H168)=0,I168,H168))</f>
        <v/>
      </c>
      <c r="M168" s="7">
        <f>IFERROR(__xludf.DUMMYFUNCTION("if(isblank(L168),, index(googlefinance(A168,M$2,L168-1),2,2))"),228.79)</f>
        <v/>
      </c>
      <c r="N168" s="8">
        <f>IFERROR(__xludf.DUMMYFUNCTION("if(isblank(A168),,googlefinance(A168))"),219.31)</f>
        <v/>
      </c>
      <c r="O168" s="59">
        <f>IF(ISBLANK(J168),,IF(ISBLANK(L168),"Ongoing","Completed"))</f>
        <v/>
      </c>
      <c r="P168" s="70">
        <f>IF(ISBLANK(A168),,IF(AND(COUNTA(F168)=1,S168&gt;0),"Profit",IF(AND(COUNTA(G168)=1,S168&lt;0),"Profit","Loss")))</f>
        <v/>
      </c>
      <c r="Q168" s="31">
        <f>IF(ISBLANK(T168),,IF(P168="Profit",IF(S168&lt;0,T168*-S168,T168*S168),IF(S168&gt;0,T168*-S168,T168*S168)))</f>
        <v/>
      </c>
      <c r="R168" s="59">
        <f>IF($Q168&gt;0, TRUE, FALSE)</f>
        <v/>
      </c>
      <c r="S168" s="59">
        <f>IF(ISBLANK(J168),,IF(ISBLANK(L168),N168-K168,M168-K168))</f>
        <v/>
      </c>
      <c r="T168" s="61">
        <f>IF(ISBLANK(J168),,ROUNDDOWN(T$1/K168,0))</f>
        <v/>
      </c>
      <c r="U168" s="62" t="n"/>
      <c r="V168" s="57" t="n"/>
      <c r="W168" s="57" t="n"/>
      <c r="X168" s="57" t="n"/>
      <c r="Y168" s="57" t="n"/>
      <c r="Z168" s="57" t="n"/>
      <c r="AA168" s="63" t="n"/>
    </row>
    <row r="169" hidden="1" ht="13.5" customHeight="1" s="56">
      <c r="A169" s="57" t="inlineStr">
        <is>
          <t>BLK</t>
        </is>
      </c>
      <c r="B169" s="69" t="n">
        <v>16</v>
      </c>
      <c r="C169" s="61" t="n">
        <v>417.95</v>
      </c>
      <c r="D169" s="61" t="n">
        <v>37.5</v>
      </c>
      <c r="E169" s="73" t="n">
        <v>2.915</v>
      </c>
      <c r="F169" s="67" t="n">
        <v>45233</v>
      </c>
      <c r="G169" s="66" t="n"/>
      <c r="H169" s="67" t="n">
        <v>45265</v>
      </c>
      <c r="I169" s="66" t="n"/>
      <c r="J169" s="28">
        <f>IF(ISBLANK(F169:G169),,IF(COUNTA(F169)=0,G169,F169))</f>
        <v/>
      </c>
      <c r="K169" s="6">
        <f>IFERROR(__xludf.DUMMYFUNCTION("if(isblank(J169),,index(googlefinance(A169,K$2,J169-1),2,2))"),644.49)</f>
        <v/>
      </c>
      <c r="L169" s="29">
        <f>IF(ISBLANK(H169:I169),,IF(COUNTA(H169)=0,I169,H169))</f>
        <v/>
      </c>
      <c r="M169" s="7">
        <f>IFERROR(__xludf.DUMMYFUNCTION("if(isblank(L169),, index(googlefinance(A169,M$2,L169-1),2,2))"),756.43)</f>
        <v/>
      </c>
      <c r="N169" s="8">
        <f>IFERROR(__xludf.DUMMYFUNCTION("if(isblank(A169),,googlefinance(A169))"),802.52)</f>
        <v/>
      </c>
      <c r="O169" s="59">
        <f>IF(ISBLANK(J169),,IF(ISBLANK(L169),"Ongoing","Completed"))</f>
        <v/>
      </c>
      <c r="P169" s="68">
        <f>IF(ISBLANK(A169),,IF(AND(COUNTA(F169)=1,S169&gt;0),"Profit",IF(AND(COUNTA(G169)=1,S169&lt;0),"Profit","Loss")))</f>
        <v/>
      </c>
      <c r="Q169" s="26">
        <f>IF(ISBLANK(T169),,IF(P169="Profit",IF(S169&lt;0,T169*-S169,T169*S169),IF(S169&gt;0,T169*-S169,T169*S169)))</f>
        <v/>
      </c>
      <c r="R169" s="59">
        <f>IF($Q169&gt;0, TRUE, FALSE)</f>
        <v/>
      </c>
      <c r="S169" s="59">
        <f>IF(ISBLANK(J169),,IF(ISBLANK(L169),N169-K169,M169-K169))</f>
        <v/>
      </c>
      <c r="T169" s="61">
        <f>IF(ISBLANK(J169),,ROUNDDOWN(T$1/K169,0))</f>
        <v/>
      </c>
      <c r="U169" s="62" t="n"/>
      <c r="V169" s="57" t="n"/>
      <c r="W169" s="57" t="n"/>
      <c r="X169" s="57" t="n"/>
      <c r="Y169" s="57" t="n"/>
      <c r="Z169" s="57" t="n"/>
      <c r="AA169" s="63" t="n"/>
    </row>
    <row r="170" hidden="1" ht="13.5" customHeight="1" s="56">
      <c r="A170" s="57" t="inlineStr">
        <is>
          <t>CFG</t>
        </is>
      </c>
      <c r="B170" s="69" t="n">
        <v>10</v>
      </c>
      <c r="C170" s="61" t="n">
        <v>248.28</v>
      </c>
      <c r="D170" s="61" t="n">
        <v>60</v>
      </c>
      <c r="E170" s="61" t="n">
        <v>3.03</v>
      </c>
      <c r="F170" s="67" t="n">
        <v>45233</v>
      </c>
      <c r="G170" s="66" t="n"/>
      <c r="H170" s="67" t="n">
        <v>45252</v>
      </c>
      <c r="I170" s="66" t="n"/>
      <c r="J170" s="28">
        <f>IF(ISBLANK(F170:G170),,IF(COUNTA(F170)=0,G170,F170))</f>
        <v/>
      </c>
      <c r="K170" s="6">
        <f>IFERROR(__xludf.DUMMYFUNCTION("if(isblank(J170),,index(googlefinance(A170,K$2,J170-1),2,2))"),24.9)</f>
        <v/>
      </c>
      <c r="L170" s="29">
        <f>IF(ISBLANK(H170:I170),,IF(COUNTA(H170)=0,I170,H170))</f>
        <v/>
      </c>
      <c r="M170" s="7">
        <f>IFERROR(__xludf.DUMMYFUNCTION("if(isblank(L170),, index(googlefinance(A170,M$2,L170-1),2,2))"),26.88)</f>
        <v/>
      </c>
      <c r="N170" s="8">
        <f>IFERROR(__xludf.DUMMYFUNCTION("if(isblank(A170),,googlefinance(A170))"),33.49)</f>
        <v/>
      </c>
      <c r="O170" s="59">
        <f>IF(ISBLANK(J170),,IF(ISBLANK(L170),"Ongoing","Completed"))</f>
        <v/>
      </c>
      <c r="P170" s="68">
        <f>IF(ISBLANK(A170),,IF(AND(COUNTA(F170)=1,S170&gt;0),"Profit",IF(AND(COUNTA(G170)=1,S170&lt;0),"Profit","Loss")))</f>
        <v/>
      </c>
      <c r="Q170" s="26">
        <f>IF(ISBLANK(T170),,IF(P170="Profit",IF(S170&lt;0,T170*-S170,T170*S170),IF(S170&gt;0,T170*-S170,T170*S170)))</f>
        <v/>
      </c>
      <c r="R170" s="59">
        <f>IF($Q170&gt;0, TRUE, FALSE)</f>
        <v/>
      </c>
      <c r="S170" s="59">
        <f>IF(ISBLANK(J170),,IF(ISBLANK(L170),N170-K170,M170-K170))</f>
        <v/>
      </c>
      <c r="T170" s="61">
        <f>IF(ISBLANK(J170),,ROUNDDOWN(T$1/K170,0))</f>
        <v/>
      </c>
      <c r="U170" s="62" t="n"/>
      <c r="V170" s="57" t="n"/>
      <c r="W170" s="57" t="n"/>
      <c r="X170" s="57" t="n"/>
      <c r="Y170" s="57" t="n"/>
      <c r="Z170" s="57" t="n"/>
      <c r="AA170" s="63" t="n"/>
    </row>
    <row r="171" hidden="1" ht="13.5" customHeight="1" s="56">
      <c r="A171" s="57" t="inlineStr">
        <is>
          <t>CMI</t>
        </is>
      </c>
      <c r="B171" s="69" t="n">
        <v>11</v>
      </c>
      <c r="C171" s="61" t="n">
        <v>239.51</v>
      </c>
      <c r="D171" s="61" t="n">
        <v>45.455</v>
      </c>
      <c r="E171" s="61" t="n">
        <v>2.412</v>
      </c>
      <c r="F171" s="67" t="n">
        <v>45233</v>
      </c>
      <c r="G171" s="66" t="n"/>
      <c r="H171" s="67" t="n">
        <v>45238</v>
      </c>
      <c r="I171" s="66" t="n"/>
      <c r="J171" s="28">
        <f>IF(ISBLANK(F171:G171),,IF(COUNTA(F171)=0,G171,F171))</f>
        <v/>
      </c>
      <c r="K171" s="6">
        <f>IFERROR(__xludf.DUMMYFUNCTION("if(isblank(J171),,index(googlefinance(A171,K$2,J171-1),2,2))"),1.06)</f>
        <v/>
      </c>
      <c r="L171" s="29">
        <f>IF(ISBLANK(H171:I171),,IF(COUNTA(H171)=0,I171,H171))</f>
        <v/>
      </c>
      <c r="M171" s="7">
        <f>IFERROR(__xludf.DUMMYFUNCTION("if(isblank(L171),, index(googlefinance(A171,M$2,L171-1),2,2))"),1.0)</f>
        <v/>
      </c>
      <c r="N171" s="8">
        <f>IFERROR(__xludf.DUMMYFUNCTION("if(isblank(A171),,googlefinance(A171))"),1.44)</f>
        <v/>
      </c>
      <c r="O171" s="59">
        <f>IF(ISBLANK(J171),,IF(ISBLANK(L171),"Ongoing","Completed"))</f>
        <v/>
      </c>
      <c r="P171" s="68">
        <f>IF(ISBLANK(A171),,IF(AND(COUNTA(F171)=1,S171&gt;0),"Profit",IF(AND(COUNTA(G171)=1,S171&lt;0),"Profit","Loss")))</f>
        <v/>
      </c>
      <c r="Q171" s="26">
        <f>IF(ISBLANK(T171),,IF(P171="Profit",IF(S171&lt;0,T171*-S171,T171*S171),IF(S171&gt;0,T171*-S171,T171*S171)))</f>
        <v/>
      </c>
      <c r="R171" s="59">
        <f>IF($Q171&gt;0, TRUE, FALSE)</f>
        <v/>
      </c>
      <c r="S171" s="59">
        <f>IF(ISBLANK(J171),,IF(ISBLANK(L171),N171-K171,M171-K171))</f>
        <v/>
      </c>
      <c r="T171" s="61">
        <f>IF(ISBLANK(J171),,ROUNDDOWN(T$1/K171,0))</f>
        <v/>
      </c>
      <c r="U171" s="62" t="n"/>
      <c r="V171" s="57" t="n"/>
      <c r="W171" s="57" t="n"/>
      <c r="X171" s="57" t="n"/>
      <c r="Y171" s="57" t="n"/>
      <c r="Z171" s="57" t="n"/>
      <c r="AA171" s="63" t="n"/>
    </row>
    <row r="172" hidden="1" ht="13.5" customHeight="1" s="56">
      <c r="A172" s="57" t="inlineStr">
        <is>
          <t>CSCO</t>
        </is>
      </c>
      <c r="B172" s="69" t="n">
        <v>11</v>
      </c>
      <c r="C172" s="61" t="n">
        <v>72.81</v>
      </c>
      <c r="D172" s="61" t="n">
        <v>54.545</v>
      </c>
      <c r="E172" s="61" t="n">
        <v>1.624</v>
      </c>
      <c r="F172" s="67" t="n">
        <v>45233</v>
      </c>
      <c r="G172" s="66" t="n"/>
      <c r="H172" s="67" t="n">
        <v>45239</v>
      </c>
      <c r="I172" s="66" t="n"/>
      <c r="J172" s="28">
        <f>IF(ISBLANK(F172:G172),,IF(COUNTA(F172)=0,G172,F172))</f>
        <v/>
      </c>
      <c r="K172" s="6">
        <f>IFERROR(__xludf.DUMMYFUNCTION("if(isblank(J172),,index(googlefinance(A172,K$2,J172-1),2,2))"),52.75)</f>
        <v/>
      </c>
      <c r="L172" s="29">
        <f>IF(ISBLANK(H172:I172),,IF(COUNTA(H172)=0,I172,H172))</f>
        <v/>
      </c>
      <c r="M172" s="7">
        <f>IFERROR(__xludf.DUMMYFUNCTION("if(isblank(L172),, index(googlefinance(A172,M$2,L172-1),2,2))"),53.0)</f>
        <v/>
      </c>
      <c r="N172" s="8">
        <f>IFERROR(__xludf.DUMMYFUNCTION("if(isblank(A172),,googlefinance(A172))"),48.93)</f>
        <v/>
      </c>
      <c r="O172" s="59">
        <f>IF(ISBLANK(J172),,IF(ISBLANK(L172),"Ongoing","Completed"))</f>
        <v/>
      </c>
      <c r="P172" s="68">
        <f>IF(ISBLANK(A172),,IF(AND(COUNTA(F172)=1,S172&gt;0),"Profit",IF(AND(COUNTA(G172)=1,S172&lt;0),"Profit","Loss")))</f>
        <v/>
      </c>
      <c r="Q172" s="26">
        <f>IF(ISBLANK(T172),,IF(P172="Profit",IF(S172&lt;0,T172*-S172,T172*S172),IF(S172&gt;0,T172*-S172,T172*S172)))</f>
        <v/>
      </c>
      <c r="R172" s="59">
        <f>IF($Q172&gt;0, TRUE, FALSE)</f>
        <v/>
      </c>
      <c r="S172" s="59">
        <f>IF(ISBLANK(J172),,IF(ISBLANK(L172),N172-K172,M172-K172))</f>
        <v/>
      </c>
      <c r="T172" s="61">
        <f>IF(ISBLANK(J172),,ROUNDDOWN(T$1/K172,0))</f>
        <v/>
      </c>
      <c r="U172" s="62" t="n"/>
      <c r="V172" s="57" t="n"/>
      <c r="W172" s="57" t="n"/>
      <c r="X172" s="57" t="n"/>
      <c r="Y172" s="57" t="n"/>
      <c r="Z172" s="57" t="n"/>
      <c r="AA172" s="63" t="n"/>
    </row>
    <row r="173" hidden="1" ht="13.5" customHeight="1" s="56">
      <c r="A173" s="57" t="inlineStr">
        <is>
          <t>EXPE</t>
        </is>
      </c>
      <c r="B173" s="69" t="n">
        <v>9</v>
      </c>
      <c r="C173" s="61" t="n">
        <v>190.02</v>
      </c>
      <c r="D173" s="61" t="n">
        <v>33.333</v>
      </c>
      <c r="E173" s="61" t="n">
        <v>1.749</v>
      </c>
      <c r="F173" s="67" t="n">
        <v>45233</v>
      </c>
      <c r="G173" s="66" t="n"/>
      <c r="H173" s="67" t="n">
        <v>45265</v>
      </c>
      <c r="I173" s="66" t="n"/>
      <c r="J173" s="28">
        <f>IF(ISBLANK(F173:G173),,IF(COUNTA(F173)=0,G173,F173))</f>
        <v/>
      </c>
      <c r="K173" s="6">
        <f>IFERROR(__xludf.DUMMYFUNCTION("if(isblank(J173),,index(googlefinance(A173,K$2,J173-1),2,2))"),94.84)</f>
        <v/>
      </c>
      <c r="L173" s="29">
        <f>IF(ISBLANK(H173:I173),,IF(COUNTA(H173)=0,I173,H173))</f>
        <v/>
      </c>
      <c r="M173" s="7">
        <f>IFERROR(__xludf.DUMMYFUNCTION("if(isblank(L173),, index(googlefinance(A173,M$2,L173-1),2,2))"),139.82)</f>
        <v/>
      </c>
      <c r="N173" s="8">
        <f>IFERROR(__xludf.DUMMYFUNCTION("if(isblank(A173),,googlefinance(A173))"),133.47)</f>
        <v/>
      </c>
      <c r="O173" s="59">
        <f>IF(ISBLANK(J173),,IF(ISBLANK(L173),"Ongoing","Completed"))</f>
        <v/>
      </c>
      <c r="P173" s="68">
        <f>IF(ISBLANK(A173),,IF(AND(COUNTA(F173)=1,S173&gt;0),"Profit",IF(AND(COUNTA(G173)=1,S173&lt;0),"Profit","Loss")))</f>
        <v/>
      </c>
      <c r="Q173" s="26">
        <f>IF(ISBLANK(T173),,IF(P173="Profit",IF(S173&lt;0,T173*-S173,T173*S173),IF(S173&gt;0,T173*-S173,T173*S173)))</f>
        <v/>
      </c>
      <c r="R173" s="59">
        <f>IF($Q173&gt;0, TRUE, FALSE)</f>
        <v/>
      </c>
      <c r="S173" s="59">
        <f>IF(ISBLANK(J173),,IF(ISBLANK(L173),N173-K173,M173-K173))</f>
        <v/>
      </c>
      <c r="T173" s="61">
        <f>IF(ISBLANK(J173),,ROUNDDOWN(T$1/K173,0))</f>
        <v/>
      </c>
      <c r="U173" s="62" t="n"/>
      <c r="V173" s="57" t="n"/>
      <c r="W173" s="57" t="n"/>
      <c r="X173" s="57" t="n"/>
      <c r="Y173" s="57" t="n"/>
      <c r="Z173" s="57" t="n"/>
      <c r="AA173" s="63" t="n"/>
    </row>
    <row r="174" hidden="1" ht="13.5" customHeight="1" s="56">
      <c r="A174" s="57" t="inlineStr">
        <is>
          <t>IDXX</t>
        </is>
      </c>
      <c r="B174" s="69" t="n">
        <v>15</v>
      </c>
      <c r="C174" s="61" t="n">
        <v>86.63</v>
      </c>
      <c r="D174" s="61" t="n">
        <v>46.667</v>
      </c>
      <c r="E174" s="61" t="n">
        <v>1.311</v>
      </c>
      <c r="F174" s="67" t="n">
        <v>45233</v>
      </c>
      <c r="G174" s="66" t="n"/>
      <c r="H174" s="67" t="n">
        <v>45258</v>
      </c>
      <c r="I174" s="66" t="n"/>
      <c r="J174" s="28">
        <f>IF(ISBLANK(F174:G174),,IF(COUNTA(F174)=0,G174,F174))</f>
        <v/>
      </c>
      <c r="K174" s="6">
        <f>IFERROR(__xludf.DUMMYFUNCTION("if(isblank(J174),,index(googlefinance(A174,K$2,J174-1),2,2))"),419.44)</f>
        <v/>
      </c>
      <c r="L174" s="29">
        <f>IF(ISBLANK(H174:I174),,IF(COUNTA(H174)=0,I174,H174))</f>
        <v/>
      </c>
      <c r="M174" s="7">
        <f>IFERROR(__xludf.DUMMYFUNCTION("if(isblank(L174),, index(googlefinance(A174,M$2,L174-1),2,2))"),479.63)</f>
        <v/>
      </c>
      <c r="N174" s="8">
        <f>IFERROR(__xludf.DUMMYFUNCTION("if(isblank(A174),,googlefinance(A174))"),529.77)</f>
        <v/>
      </c>
      <c r="O174" s="59">
        <f>IF(ISBLANK(J174),,IF(ISBLANK(L174),"Ongoing","Completed"))</f>
        <v/>
      </c>
      <c r="P174" s="68">
        <f>IF(ISBLANK(A174),,IF(AND(COUNTA(F174)=1,S174&gt;0),"Profit",IF(AND(COUNTA(G174)=1,S174&lt;0),"Profit","Loss")))</f>
        <v/>
      </c>
      <c r="Q174" s="26">
        <f>IF(ISBLANK(T174),,IF(P174="Profit",IF(S174&lt;0,T174*-S174,T174*S174),IF(S174&gt;0,T174*-S174,T174*S174)))</f>
        <v/>
      </c>
      <c r="R174" s="59">
        <f>IF($Q174&gt;0, TRUE, FALSE)</f>
        <v/>
      </c>
      <c r="S174" s="59">
        <f>IF(ISBLANK(J174),,IF(ISBLANK(L174),N174-K174,M174-K174))</f>
        <v/>
      </c>
      <c r="T174" s="61">
        <f>IF(ISBLANK(J174),,ROUNDDOWN(T$1/K174,0))</f>
        <v/>
      </c>
      <c r="U174" s="62" t="n"/>
      <c r="V174" s="57" t="n"/>
      <c r="W174" s="57" t="n"/>
      <c r="X174" s="57" t="n"/>
      <c r="Y174" s="57" t="n"/>
      <c r="Z174" s="57" t="n"/>
      <c r="AA174" s="63" t="n"/>
    </row>
    <row r="175" hidden="1" ht="13.5" customHeight="1" s="56">
      <c r="A175" s="57" t="inlineStr">
        <is>
          <t>KEYS</t>
        </is>
      </c>
      <c r="B175" s="69" t="n">
        <v>5</v>
      </c>
      <c r="C175" s="61" t="n">
        <v>60.66</v>
      </c>
      <c r="D175" s="61" t="n">
        <v>60</v>
      </c>
      <c r="E175" s="61" t="n">
        <v>1.856</v>
      </c>
      <c r="F175" s="67" t="n">
        <v>45233</v>
      </c>
      <c r="G175" s="66" t="n"/>
      <c r="H175" s="67" t="n">
        <v>45239</v>
      </c>
      <c r="I175" s="66" t="n"/>
      <c r="J175" s="28">
        <f>IF(ISBLANK(F175:G175),,IF(COUNTA(F175)=0,G175,F175))</f>
        <v/>
      </c>
      <c r="K175" s="6">
        <f>IFERROR(__xludf.DUMMYFUNCTION("if(isblank(J175),,index(googlefinance(A175,K$2,J175-1),2,2))"),123.2)</f>
        <v/>
      </c>
      <c r="L175" s="29">
        <f>IF(ISBLANK(H175:I175),,IF(COUNTA(H175)=0,I175,H175))</f>
        <v/>
      </c>
      <c r="M175" s="7">
        <f>IFERROR(__xludf.DUMMYFUNCTION("if(isblank(L175),, index(googlefinance(A175,M$2,L175-1),2,2))"),124.79)</f>
        <v/>
      </c>
      <c r="N175" s="8">
        <f>IFERROR(__xludf.DUMMYFUNCTION("if(isblank(A175),,googlefinance(A175))"),149.8)</f>
        <v/>
      </c>
      <c r="O175" s="59">
        <f>IF(ISBLANK(J175),,IF(ISBLANK(L175),"Ongoing","Completed"))</f>
        <v/>
      </c>
      <c r="P175" s="68">
        <f>IF(ISBLANK(A175),,IF(AND(COUNTA(F175)=1,S175&gt;0),"Profit",IF(AND(COUNTA(G175)=1,S175&lt;0),"Profit","Loss")))</f>
        <v/>
      </c>
      <c r="Q175" s="26">
        <f>IF(ISBLANK(T175),,IF(P175="Profit",IF(S175&lt;0,T175*-S175,T175*S175),IF(S175&gt;0,T175*-S175,T175*S175)))</f>
        <v/>
      </c>
      <c r="R175" s="59">
        <f>IF($Q175&gt;0, TRUE, FALSE)</f>
        <v/>
      </c>
      <c r="S175" s="59">
        <f>IF(ISBLANK(J175),,IF(ISBLANK(L175),N175-K175,M175-K175))</f>
        <v/>
      </c>
      <c r="T175" s="61">
        <f>IF(ISBLANK(J175),,ROUNDDOWN(T$1/K175,0))</f>
        <v/>
      </c>
      <c r="U175" s="62" t="n"/>
      <c r="V175" s="57" t="n"/>
      <c r="W175" s="57" t="n"/>
      <c r="X175" s="57" t="n"/>
      <c r="Y175" s="57" t="n"/>
      <c r="Z175" s="57" t="n"/>
      <c r="AA175" s="63" t="n"/>
    </row>
    <row r="176" hidden="1" ht="13.5" customHeight="1" s="56">
      <c r="A176" s="57" t="inlineStr">
        <is>
          <t>PPG</t>
        </is>
      </c>
      <c r="B176" s="69" t="n">
        <v>14</v>
      </c>
      <c r="C176" s="61" t="n">
        <v>159.96</v>
      </c>
      <c r="D176" s="61" t="n">
        <v>50</v>
      </c>
      <c r="E176" s="61" t="n">
        <v>1.676</v>
      </c>
      <c r="F176" s="67" t="n">
        <v>45233</v>
      </c>
      <c r="G176" s="66" t="n"/>
      <c r="H176" s="67" t="n">
        <v>45264</v>
      </c>
      <c r="I176" s="66" t="n"/>
      <c r="J176" s="28">
        <f>IF(ISBLANK(F176:G176),,IF(COUNTA(F176)=0,G176,F176))</f>
        <v/>
      </c>
      <c r="K176" s="6">
        <f>IFERROR(__xludf.DUMMYFUNCTION("if(isblank(J176),,index(googlefinance(A176,K$2,J176-1),2,2))"),124.92)</f>
        <v/>
      </c>
      <c r="L176" s="29">
        <f>IF(ISBLANK(H176:I176),,IF(COUNTA(H176)=0,I176,H176))</f>
        <v/>
      </c>
      <c r="M176" s="7">
        <f>IFERROR(__xludf.DUMMYFUNCTION("if(isblank(L176),, index(googlefinance(A176,M$2,L176-1),2,2))"),143.15)</f>
        <v/>
      </c>
      <c r="N176" s="8">
        <f>IFERROR(__xludf.DUMMYFUNCTION("if(isblank(A176),,googlefinance(A176))"),137.86)</f>
        <v/>
      </c>
      <c r="O176" s="59">
        <f>IF(ISBLANK(J176),,IF(ISBLANK(L176),"Ongoing","Completed"))</f>
        <v/>
      </c>
      <c r="P176" s="68">
        <f>IF(ISBLANK(A176),,IF(AND(COUNTA(F176)=1,S176&gt;0),"Profit",IF(AND(COUNTA(G176)=1,S176&lt;0),"Profit","Loss")))</f>
        <v/>
      </c>
      <c r="Q176" s="26">
        <f>IF(ISBLANK(T176),,IF(P176="Profit",IF(S176&lt;0,T176*-S176,T176*S176),IF(S176&gt;0,T176*-S176,T176*S176)))</f>
        <v/>
      </c>
      <c r="R176" s="59">
        <f>IF($Q176&gt;0, TRUE, FALSE)</f>
        <v/>
      </c>
      <c r="S176" s="59">
        <f>IF(ISBLANK(J176),,IF(ISBLANK(L176),N176-K176,M176-K176))</f>
        <v/>
      </c>
      <c r="T176" s="61">
        <f>IF(ISBLANK(J176),,ROUNDDOWN(T$1/K176,0))</f>
        <v/>
      </c>
      <c r="U176" s="62" t="n"/>
      <c r="V176" s="57" t="n"/>
      <c r="W176" s="57" t="n"/>
      <c r="X176" s="57" t="n"/>
      <c r="Y176" s="57" t="n"/>
      <c r="Z176" s="57" t="n"/>
      <c r="AA176" s="63" t="n"/>
    </row>
    <row r="177" hidden="1" ht="13.5" customHeight="1" s="56">
      <c r="A177" s="57" t="inlineStr">
        <is>
          <t>PSA</t>
        </is>
      </c>
      <c r="B177" s="69" t="n">
        <v>10</v>
      </c>
      <c r="C177" s="61" t="n">
        <v>220.57</v>
      </c>
      <c r="D177" s="61" t="n">
        <v>40</v>
      </c>
      <c r="E177" s="61" t="n">
        <v>3.069</v>
      </c>
      <c r="F177" s="67" t="n">
        <v>45233</v>
      </c>
      <c r="G177" s="66" t="n"/>
      <c r="H177" s="67" t="n">
        <v>45239</v>
      </c>
      <c r="I177" s="66" t="n"/>
      <c r="J177" s="28">
        <f>IF(ISBLANK(F177:G177),,IF(COUNTA(F177)=0,G177,F177))</f>
        <v/>
      </c>
      <c r="K177" s="6">
        <f>IFERROR(__xludf.DUMMYFUNCTION("if(isblank(J177),,index(googlefinance(A177,K$2,J177-1),2,2))"),248.26)</f>
        <v/>
      </c>
      <c r="L177" s="29">
        <f>IF(ISBLANK(H177:I177),,IF(COUNTA(H177)=0,I177,H177))</f>
        <v/>
      </c>
      <c r="M177" s="7">
        <f>IFERROR(__xludf.DUMMYFUNCTION("if(isblank(L177),, index(googlefinance(A177,M$2,L177-1),2,2))"),250.69)</f>
        <v/>
      </c>
      <c r="N177" s="8">
        <f>IFERROR(__xludf.DUMMYFUNCTION("if(isblank(A177),,googlefinance(A177))"),277.04)</f>
        <v/>
      </c>
      <c r="O177" s="59">
        <f>IF(ISBLANK(J177),,IF(ISBLANK(L177),"Ongoing","Completed"))</f>
        <v/>
      </c>
      <c r="P177" s="68">
        <f>IF(ISBLANK(A177),,IF(AND(COUNTA(F177)=1,S177&gt;0),"Profit",IF(AND(COUNTA(G177)=1,S177&lt;0),"Profit","Loss")))</f>
        <v/>
      </c>
      <c r="Q177" s="26">
        <f>IF(ISBLANK(T177),,IF(P177="Profit",IF(S177&lt;0,T177*-S177,T177*S177),IF(S177&gt;0,T177*-S177,T177*S177)))</f>
        <v/>
      </c>
      <c r="R177" s="59">
        <f>IF($Q177&gt;0, TRUE, FALSE)</f>
        <v/>
      </c>
      <c r="S177" s="59">
        <f>IF(ISBLANK(J177),,IF(ISBLANK(L177),N177-K177,M177-K177))</f>
        <v/>
      </c>
      <c r="T177" s="61">
        <f>IF(ISBLANK(J177),,ROUNDDOWN(T$1/K177,0))</f>
        <v/>
      </c>
      <c r="U177" s="62" t="n"/>
      <c r="V177" s="57" t="n"/>
      <c r="W177" s="57" t="n"/>
      <c r="X177" s="57" t="n"/>
      <c r="Y177" s="57" t="n"/>
      <c r="Z177" s="57" t="n"/>
      <c r="AA177" s="63" t="n"/>
    </row>
    <row r="178" hidden="1" ht="13.5" customHeight="1" s="56">
      <c r="A178" s="57" t="inlineStr">
        <is>
          <t>WDAY</t>
        </is>
      </c>
      <c r="B178" s="69" t="n">
        <v>16</v>
      </c>
      <c r="C178" s="61" t="n">
        <v>63.6</v>
      </c>
      <c r="D178" s="61" t="n">
        <v>31.25</v>
      </c>
      <c r="E178" s="73" t="n">
        <v>1.201</v>
      </c>
      <c r="F178" s="67" t="n">
        <v>45233</v>
      </c>
      <c r="G178" s="66" t="n"/>
      <c r="H178" s="67" t="n">
        <v>45265</v>
      </c>
      <c r="I178" s="66" t="n"/>
      <c r="J178" s="28">
        <f>IF(ISBLANK(F178:G178),,IF(COUNTA(F178)=0,G178,F178))</f>
        <v/>
      </c>
      <c r="K178" s="6">
        <f>IFERROR(__xludf.DUMMYFUNCTION("if(isblank(J178),,index(googlefinance(A178,K$2,J178-1),2,2))"),212.92)</f>
        <v/>
      </c>
      <c r="L178" s="29">
        <f>IF(ISBLANK(H178:I178),,IF(COUNTA(H178)=0,I178,H178))</f>
        <v/>
      </c>
      <c r="M178" s="7">
        <f>IFERROR(__xludf.DUMMYFUNCTION("if(isblank(L178),, index(googlefinance(A178,M$2,L178-1),2,2))"),269.22)</f>
        <v/>
      </c>
      <c r="N178" s="8">
        <f>IFERROR(__xludf.DUMMYFUNCTION("if(isblank(A178),,googlefinance(A178))"),268.27)</f>
        <v/>
      </c>
      <c r="O178" s="59">
        <f>IF(ISBLANK(J178),,IF(ISBLANK(L178),"Ongoing","Completed"))</f>
        <v/>
      </c>
      <c r="P178" s="68">
        <f>IF(ISBLANK(A178),,IF(AND(COUNTA(F178)=1,S178&gt;0),"Profit",IF(AND(COUNTA(G178)=1,S178&lt;0),"Profit","Loss")))</f>
        <v/>
      </c>
      <c r="Q178" s="26">
        <f>IF(ISBLANK(T178),,IF(P178="Profit",IF(S178&lt;0,T178*-S178,T178*S178),IF(S178&gt;0,T178*-S178,T178*S178)))</f>
        <v/>
      </c>
      <c r="R178" s="59">
        <f>IF($Q178&gt;0, TRUE, FALSE)</f>
        <v/>
      </c>
      <c r="S178" s="59">
        <f>IF(ISBLANK(J178),,IF(ISBLANK(L178),N178-K178,M178-K178))</f>
        <v/>
      </c>
      <c r="T178" s="61">
        <f>IF(ISBLANK(J178),,ROUNDDOWN(T$1/K178,0))</f>
        <v/>
      </c>
      <c r="U178" s="62" t="n"/>
      <c r="V178" s="57" t="n"/>
      <c r="W178" s="57" t="n"/>
      <c r="X178" s="57" t="n"/>
      <c r="Y178" s="57" t="n"/>
      <c r="Z178" s="57" t="n"/>
      <c r="AA178" s="63" t="n"/>
    </row>
    <row r="179" hidden="1" ht="13.5" customHeight="1" s="56">
      <c r="A179" s="18" t="inlineStr">
        <is>
          <t>JKHY</t>
        </is>
      </c>
      <c r="B179" s="19" t="n">
        <v>7</v>
      </c>
      <c r="C179" s="20" t="n">
        <v>32.79</v>
      </c>
      <c r="D179" s="20" t="n">
        <v>28.571</v>
      </c>
      <c r="E179" s="20" t="n">
        <v>1.339</v>
      </c>
      <c r="F179" s="67" t="n">
        <v>45234</v>
      </c>
      <c r="G179" s="66" t="n"/>
      <c r="H179" s="67" t="n">
        <v>45274</v>
      </c>
      <c r="I179" s="66" t="n"/>
      <c r="J179" s="28">
        <f>IF(ISBLANK(F179:G179),,IF(COUNTA(F179)=0,G179,F179))</f>
        <v/>
      </c>
      <c r="K179" s="6">
        <f>IFERROR(__xludf.DUMMYFUNCTION("if(isblank(J179),,index(googlefinance(A179,K$2,J179-1),2,2))"),144.85)</f>
        <v/>
      </c>
      <c r="L179" s="29">
        <f>IF(ISBLANK(H179:I179),,IF(COUNTA(H179)=0,I179,H179))</f>
        <v/>
      </c>
      <c r="M179" s="7">
        <f>IFERROR(__xludf.DUMMYFUNCTION("if(isblank(L179),, index(googlefinance(A179,M$2,L179-1),2,2))"),168.17)</f>
        <v/>
      </c>
      <c r="N179" s="8">
        <f>IFERROR(__xludf.DUMMYFUNCTION("if(isblank(A179),,googlefinance(A179))"),170.95)</f>
        <v/>
      </c>
      <c r="O179" s="59">
        <f>IF(ISBLANK(J179),,IF(ISBLANK(L179),"Ongoing","Completed"))</f>
        <v/>
      </c>
      <c r="P179" s="68">
        <f>IF(ISBLANK(A179),,IF(AND(COUNTA(F179)=1,S179&gt;0),"Profit",IF(AND(COUNTA(G179)=1,S179&lt;0),"Profit","Loss")))</f>
        <v/>
      </c>
      <c r="Q179" s="26">
        <f>IF(ISBLANK(T179),,IF(P179="Profit",IF(S179&lt;0,T179*-S179,T179*S179),IF(S179&gt;0,T179*-S179,T179*S179)))</f>
        <v/>
      </c>
      <c r="R179" s="59">
        <f>IF($Q179&gt;0, TRUE, FALSE)</f>
        <v/>
      </c>
      <c r="S179" s="59">
        <f>IF(ISBLANK(J179),,IF(ISBLANK(L179),N179-K179,M179-K179))</f>
        <v/>
      </c>
      <c r="T179" s="61">
        <f>IF(ISBLANK(J179),,ROUNDDOWN(T$1/K179,0))</f>
        <v/>
      </c>
      <c r="U179" s="62" t="n"/>
      <c r="V179" s="57" t="n"/>
      <c r="W179" s="57" t="n"/>
      <c r="X179" s="57" t="n"/>
      <c r="Y179" s="57" t="n"/>
      <c r="Z179" s="57" t="n"/>
      <c r="AA179" s="63" t="n"/>
    </row>
    <row r="180" hidden="1" ht="13.5" customHeight="1" s="56">
      <c r="A180" s="57" t="inlineStr">
        <is>
          <t>BKNG</t>
        </is>
      </c>
      <c r="B180" s="69" t="n">
        <v>18</v>
      </c>
      <c r="C180" s="61" t="n">
        <v>8.220000000000001</v>
      </c>
      <c r="D180" s="61" t="n">
        <v>11.111</v>
      </c>
      <c r="E180" s="61" t="n">
        <v>1.07</v>
      </c>
      <c r="F180" s="67" t="n">
        <v>45236</v>
      </c>
      <c r="G180" s="66" t="n"/>
      <c r="H180" s="67" t="n">
        <v>45254</v>
      </c>
      <c r="I180" s="66" t="n"/>
      <c r="J180" s="28">
        <f>IF(ISBLANK(F180:G180),,IF(COUNTA(F180)=0,G180,F180))</f>
        <v/>
      </c>
      <c r="K180" s="6">
        <f>IFERROR(__xludf.DUMMYFUNCTION("if(isblank(J180),,index(googlefinance(A180,K$2,J180-1),2,2))"),2971.43)</f>
        <v/>
      </c>
      <c r="L180" s="29">
        <f>IF(ISBLANK(H180:I180),,IF(COUNTA(H180)=0,I180,H180))</f>
        <v/>
      </c>
      <c r="M180" s="7">
        <f>IFERROR(__xludf.DUMMYFUNCTION("if(isblank(L180),, index(googlefinance(A180,M$2,L180-1),2,2))"),3115.59)</f>
        <v/>
      </c>
      <c r="N180" s="8">
        <f>IFERROR(__xludf.DUMMYFUNCTION("if(isblank(A180),,googlefinance(A180))"),3413.98)</f>
        <v/>
      </c>
      <c r="O180" s="59">
        <f>IF(ISBLANK(J180),,IF(ISBLANK(L180),"Ongoing","Completed"))</f>
        <v/>
      </c>
      <c r="P180" s="68">
        <f>IF(ISBLANK(A180),,IF(AND(COUNTA(F180)=1,S180&gt;0),"Profit",IF(AND(COUNTA(G180)=1,S180&lt;0),"Profit","Loss")))</f>
        <v/>
      </c>
      <c r="Q180" s="60">
        <f>IF(ISBLANK(T180),,IF(P180="Profit",IF(S180&lt;0,T180*-S180,T180*S180),IF(S180&gt;0,T180*-S180,T180*S180)))</f>
        <v/>
      </c>
      <c r="R180" s="59">
        <f>IF($Q180&gt;0, TRUE, FALSE)</f>
        <v/>
      </c>
      <c r="S180" s="59">
        <f>IF(ISBLANK(J180),,IF(ISBLANK(L180),N180-K180,M180-K180))</f>
        <v/>
      </c>
      <c r="T180" s="61">
        <f>IF(ISBLANK(J180),,ROUNDDOWN(T$1/K180,0))</f>
        <v/>
      </c>
      <c r="U180" s="62" t="n"/>
      <c r="V180" s="57" t="n"/>
      <c r="W180" s="57" t="n"/>
      <c r="X180" s="57" t="n"/>
      <c r="Y180" s="57" t="n"/>
      <c r="Z180" s="57" t="n"/>
      <c r="AA180" s="63" t="n"/>
    </row>
    <row r="181" hidden="1" ht="13.5" customHeight="1" s="56">
      <c r="A181" s="57" t="inlineStr">
        <is>
          <t>CLX</t>
        </is>
      </c>
      <c r="B181" s="69" t="n">
        <v>10</v>
      </c>
      <c r="C181" s="61" t="n">
        <v>200.61</v>
      </c>
      <c r="D181" s="61" t="n">
        <v>50</v>
      </c>
      <c r="E181" s="61" t="n">
        <v>3.113</v>
      </c>
      <c r="F181" s="67" t="n">
        <v>45236</v>
      </c>
      <c r="G181" s="66" t="n"/>
      <c r="H181" s="67" t="n">
        <v>45259</v>
      </c>
      <c r="I181" s="66" t="n"/>
      <c r="J181" s="28">
        <f>IF(ISBLANK(F181:G181),,IF(COUNTA(F181)=0,G181,F181))</f>
        <v/>
      </c>
      <c r="K181" s="6">
        <f>IFERROR(__xludf.DUMMYFUNCTION("if(isblank(J181),,index(googlefinance(A181,K$2,J181-1),2,2))"),129.0)</f>
        <v/>
      </c>
      <c r="L181" s="29">
        <f>IF(ISBLANK(H181:I181),,IF(COUNTA(H181)=0,I181,H181))</f>
        <v/>
      </c>
      <c r="M181" s="7">
        <f>IFERROR(__xludf.DUMMYFUNCTION("if(isblank(L181),, index(googlefinance(A181,M$2,L181-1),2,2))"),144.11)</f>
        <v/>
      </c>
      <c r="N181" s="8">
        <f>IFERROR(__xludf.DUMMYFUNCTION("if(isblank(A181),,googlefinance(A181))"),150.16)</f>
        <v/>
      </c>
      <c r="O181" s="59">
        <f>IF(ISBLANK(J181),,IF(ISBLANK(L181),"Ongoing","Completed"))</f>
        <v/>
      </c>
      <c r="P181" s="68">
        <f>IF(ISBLANK(A181),,IF(AND(COUNTA(F181)=1,S181&gt;0),"Profit",IF(AND(COUNTA(G181)=1,S181&lt;0),"Profit","Loss")))</f>
        <v/>
      </c>
      <c r="Q181" s="26">
        <f>IF(ISBLANK(T181),,IF(P181="Profit",IF(S181&lt;0,T181*-S181,T181*S181),IF(S181&gt;0,T181*-S181,T181*S181)))</f>
        <v/>
      </c>
      <c r="R181" s="59">
        <f>IF($Q181&gt;0, TRUE, FALSE)</f>
        <v/>
      </c>
      <c r="S181" s="59">
        <f>IF(ISBLANK(J181),,IF(ISBLANK(L181),N181-K181,M181-K181))</f>
        <v/>
      </c>
      <c r="T181" s="61">
        <f>IF(ISBLANK(J181),,ROUNDDOWN(T$1/K181,0))</f>
        <v/>
      </c>
      <c r="U181" s="62" t="n"/>
      <c r="V181" s="57" t="n"/>
      <c r="W181" s="57" t="n"/>
      <c r="X181" s="57" t="n"/>
      <c r="Y181" s="57" t="n"/>
      <c r="Z181" s="57" t="n"/>
      <c r="AA181" s="63" t="n"/>
    </row>
    <row r="182" hidden="1" ht="13.5" customHeight="1" s="56">
      <c r="A182" s="57" t="inlineStr">
        <is>
          <t>DAL</t>
        </is>
      </c>
      <c r="B182" s="69" t="n">
        <v>14</v>
      </c>
      <c r="C182" s="61" t="n">
        <v>435.78</v>
      </c>
      <c r="D182" s="61" t="n">
        <v>35.714</v>
      </c>
      <c r="E182" s="73" t="n">
        <v>2.006</v>
      </c>
      <c r="F182" s="67" t="n">
        <v>45236</v>
      </c>
      <c r="G182" s="66" t="n"/>
      <c r="H182" s="67" t="n">
        <v>45265</v>
      </c>
      <c r="I182" s="66" t="n"/>
      <c r="J182" s="28">
        <f>IF(ISBLANK(F182:G182),,IF(COUNTA(F182)=0,G182,F182))</f>
        <v/>
      </c>
      <c r="K182" s="6">
        <f>IFERROR(__xludf.DUMMYFUNCTION("if(isblank(J182),,index(googlefinance(A182,K$2,J182-1),2,2))"),32.92)</f>
        <v/>
      </c>
      <c r="L182" s="29">
        <f>IF(ISBLANK(H182:I182),,IF(COUNTA(H182)=0,I182,H182))</f>
        <v/>
      </c>
      <c r="M182" s="7">
        <f>IFERROR(__xludf.DUMMYFUNCTION("if(isblank(L182),, index(googlefinance(A182,M$2,L182-1),2,2))"),38.16)</f>
        <v/>
      </c>
      <c r="N182" s="8">
        <f>IFERROR(__xludf.DUMMYFUNCTION("if(isblank(A182),,googlefinance(A182))"),43.12)</f>
        <v/>
      </c>
      <c r="O182" s="59">
        <f>IF(ISBLANK(J182),,IF(ISBLANK(L182),"Ongoing","Completed"))</f>
        <v/>
      </c>
      <c r="P182" s="68">
        <f>IF(ISBLANK(A182),,IF(AND(COUNTA(F182)=1,S182&gt;0),"Profit",IF(AND(COUNTA(G182)=1,S182&lt;0),"Profit","Loss")))</f>
        <v/>
      </c>
      <c r="Q182" s="26">
        <f>IF(ISBLANK(T182),,IF(P182="Profit",IF(S182&lt;0,T182*-S182,T182*S182),IF(S182&gt;0,T182*-S182,T182*S182)))</f>
        <v/>
      </c>
      <c r="R182" s="59">
        <f>IF($Q182&gt;0, TRUE, FALSE)</f>
        <v/>
      </c>
      <c r="S182" s="59">
        <f>IF(ISBLANK(J182),,IF(ISBLANK(L182),N182-K182,M182-K182))</f>
        <v/>
      </c>
      <c r="T182" s="61">
        <f>IF(ISBLANK(J182),,ROUNDDOWN(T$1/K182,0))</f>
        <v/>
      </c>
      <c r="U182" s="62" t="n"/>
      <c r="V182" s="57" t="n"/>
      <c r="W182" s="57" t="n"/>
      <c r="X182" s="57" t="n"/>
      <c r="Y182" s="57" t="n"/>
      <c r="Z182" s="57" t="n"/>
      <c r="AA182" s="63" t="n"/>
    </row>
    <row r="183" hidden="1" ht="13.5" customHeight="1" s="56">
      <c r="A183" s="57" t="inlineStr">
        <is>
          <t>DOV</t>
        </is>
      </c>
      <c r="B183" s="69" t="n">
        <v>14</v>
      </c>
      <c r="C183" s="61" t="n">
        <v>62.52</v>
      </c>
      <c r="D183" s="61" t="n">
        <v>42.857</v>
      </c>
      <c r="E183" s="61" t="n">
        <v>1.417</v>
      </c>
      <c r="F183" s="67" t="n">
        <v>45236</v>
      </c>
      <c r="G183" s="66" t="n"/>
      <c r="H183" s="67" t="n">
        <v>45237</v>
      </c>
      <c r="I183" s="66" t="n"/>
      <c r="J183" s="28">
        <f>IF(ISBLANK(F183:G183),,IF(COUNTA(F183)=0,G183,F183))</f>
        <v/>
      </c>
      <c r="K183" s="6">
        <f>IFERROR(__xludf.DUMMYFUNCTION("if(isblank(J183),,index(googlefinance(A183,K$2,J183-1),2,2))"),132.76)</f>
        <v/>
      </c>
      <c r="L183" s="29">
        <f>IF(ISBLANK(H183:I183),,IF(COUNTA(H183)=0,I183,H183))</f>
        <v/>
      </c>
      <c r="M183" s="7">
        <f>IFERROR(__xludf.DUMMYFUNCTION("if(isblank(L183),, index(googlefinance(A183,M$2,L183-1),2,2))"),132.76)</f>
        <v/>
      </c>
      <c r="N183" s="8">
        <f>IFERROR(__xludf.DUMMYFUNCTION("if(isblank(A183),,googlefinance(A183))"),175.53)</f>
        <v/>
      </c>
      <c r="O183" s="59">
        <f>IF(ISBLANK(J183),,IF(ISBLANK(L183),"Ongoing","Completed"))</f>
        <v/>
      </c>
      <c r="P183" s="70">
        <f>IF(ISBLANK(A183),,IF(AND(COUNTA(F183)=1,S183&gt;0),"Profit",IF(AND(COUNTA(G183)=1,S183&lt;0),"Profit","Loss")))</f>
        <v/>
      </c>
      <c r="Q183" s="60">
        <f>IF(ISBLANK(T183),,IF(P183="Profit",IF(S183&lt;0,T183*-S183,T183*S183),IF(S183&gt;0,T183*-S183,T183*S183)))</f>
        <v/>
      </c>
      <c r="R183" s="59">
        <f>IF($Q183&gt;0, TRUE, FALSE)</f>
        <v/>
      </c>
      <c r="S183" s="59">
        <f>IF(ISBLANK(J183),,IF(ISBLANK(L183),N183-K183,M183-K183))</f>
        <v/>
      </c>
      <c r="T183" s="61">
        <f>IF(ISBLANK(J183),,ROUNDDOWN(T$1/K183,0))</f>
        <v/>
      </c>
      <c r="U183" s="62" t="n"/>
      <c r="V183" s="57" t="n"/>
      <c r="W183" s="57" t="n"/>
      <c r="X183" s="57" t="n"/>
      <c r="Y183" s="57" t="n"/>
      <c r="Z183" s="57" t="n"/>
      <c r="AA183" s="63" t="n"/>
    </row>
    <row r="184" hidden="1" ht="13.5" customHeight="1" s="56">
      <c r="A184" s="57" t="inlineStr">
        <is>
          <t>EMR</t>
        </is>
      </c>
      <c r="B184" s="69" t="n">
        <v>11</v>
      </c>
      <c r="C184" s="61" t="n">
        <v>0.87</v>
      </c>
      <c r="D184" s="61" t="n">
        <v>36.364</v>
      </c>
      <c r="E184" s="61" t="n">
        <v>1.007</v>
      </c>
      <c r="F184" s="67" t="n">
        <v>45236</v>
      </c>
      <c r="G184" s="66" t="n"/>
      <c r="H184" s="67" t="n">
        <v>45237</v>
      </c>
      <c r="I184" s="66" t="n"/>
      <c r="J184" s="28">
        <f>IF(ISBLANK(F184:G184),,IF(COUNTA(F184)=0,G184,F184))</f>
        <v/>
      </c>
      <c r="K184" s="6">
        <f>IFERROR(__xludf.DUMMYFUNCTION("if(isblank(J184),,index(googlefinance(A184,K$2,J184-1),2,2))"),91.74)</f>
        <v/>
      </c>
      <c r="L184" s="29">
        <f>IF(ISBLANK(H184:I184),,IF(COUNTA(H184)=0,I184,H184))</f>
        <v/>
      </c>
      <c r="M184" s="7">
        <f>IFERROR(__xludf.DUMMYFUNCTION("if(isblank(L184),, index(googlefinance(A184,M$2,L184-1),2,2))"),91.74)</f>
        <v/>
      </c>
      <c r="N184" s="8">
        <f>IFERROR(__xludf.DUMMYFUNCTION("if(isblank(A184),,googlefinance(A184))"),110.59)</f>
        <v/>
      </c>
      <c r="O184" s="59">
        <f>IF(ISBLANK(J184),,IF(ISBLANK(L184),"Ongoing","Completed"))</f>
        <v/>
      </c>
      <c r="P184" s="70">
        <f>IF(ISBLANK(A184),,IF(AND(COUNTA(F184)=1,S184&gt;0),"Profit",IF(AND(COUNTA(G184)=1,S184&lt;0),"Profit","Loss")))</f>
        <v/>
      </c>
      <c r="Q184" s="60">
        <f>IF(ISBLANK(T184),,IF(P184="Profit",IF(S184&lt;0,T184*-S184,T184*S184),IF(S184&gt;0,T184*-S184,T184*S184)))</f>
        <v/>
      </c>
      <c r="R184" s="59">
        <f>IF($Q184&gt;0, TRUE, FALSE)</f>
        <v/>
      </c>
      <c r="S184" s="59">
        <f>IF(ISBLANK(J184),,IF(ISBLANK(L184),N184-K184,M184-K184))</f>
        <v/>
      </c>
      <c r="T184" s="61">
        <f>IF(ISBLANK(J184),,ROUNDDOWN(T$1/K184,0))</f>
        <v/>
      </c>
      <c r="U184" s="62" t="n"/>
      <c r="V184" s="57" t="n"/>
      <c r="W184" s="57" t="n"/>
      <c r="X184" s="57" t="n"/>
      <c r="Y184" s="57" t="n"/>
      <c r="Z184" s="57" t="n"/>
      <c r="AA184" s="63" t="n"/>
    </row>
    <row r="185" hidden="1" ht="13.5" customHeight="1" s="56">
      <c r="A185" s="57" t="inlineStr">
        <is>
          <t>JNJ</t>
        </is>
      </c>
      <c r="B185" s="69" t="n">
        <v>9</v>
      </c>
      <c r="C185" s="61" t="n">
        <v>81.02</v>
      </c>
      <c r="D185" s="61" t="n">
        <v>55.556</v>
      </c>
      <c r="E185" s="61" t="n">
        <v>2.796</v>
      </c>
      <c r="F185" s="67" t="n">
        <v>45236</v>
      </c>
      <c r="G185" s="66" t="n"/>
      <c r="H185" s="67" t="n">
        <v>45239</v>
      </c>
      <c r="I185" s="66" t="n"/>
      <c r="J185" s="28">
        <f>IF(ISBLANK(F185:G185),,IF(COUNTA(F185)=0,G185,F185))</f>
        <v/>
      </c>
      <c r="K185" s="6">
        <f>IFERROR(__xludf.DUMMYFUNCTION("if(isblank(J185),,index(googlefinance(A185,K$2,J185-1),2,2))"),151.7)</f>
        <v/>
      </c>
      <c r="L185" s="29">
        <f>IF(ISBLANK(H185:I185),,IF(COUNTA(H185)=0,I185,H185))</f>
        <v/>
      </c>
      <c r="M185" s="7">
        <f>IFERROR(__xludf.DUMMYFUNCTION("if(isblank(L185),, index(googlefinance(A185,M$2,L185-1),2,2))"),150.35)</f>
        <v/>
      </c>
      <c r="N185" s="8">
        <f>IFERROR(__xludf.DUMMYFUNCTION("if(isblank(A185),,googlefinance(A185))"),158.18)</f>
        <v/>
      </c>
      <c r="O185" s="59">
        <f>IF(ISBLANK(J185),,IF(ISBLANK(L185),"Ongoing","Completed"))</f>
        <v/>
      </c>
      <c r="P185" s="70">
        <f>IF(ISBLANK(A185),,IF(AND(COUNTA(F185)=1,S185&gt;0),"Profit",IF(AND(COUNTA(G185)=1,S185&lt;0),"Profit","Loss")))</f>
        <v/>
      </c>
      <c r="Q185" s="31">
        <f>IF(ISBLANK(T185),,IF(P185="Profit",IF(S185&lt;0,T185*-S185,T185*S185),IF(S185&gt;0,T185*-S185,T185*S185)))</f>
        <v/>
      </c>
      <c r="R185" s="59">
        <f>IF($Q185&gt;0, TRUE, FALSE)</f>
        <v/>
      </c>
      <c r="S185" s="59">
        <f>IF(ISBLANK(J185),,IF(ISBLANK(L185),N185-K185,M185-K185))</f>
        <v/>
      </c>
      <c r="T185" s="61">
        <f>IF(ISBLANK(J185),,ROUNDDOWN(T$1/K185,0))</f>
        <v/>
      </c>
      <c r="U185" s="62" t="n"/>
      <c r="V185" s="57" t="n"/>
      <c r="W185" s="57" t="n"/>
      <c r="X185" s="57" t="n"/>
      <c r="Y185" s="57" t="n"/>
      <c r="Z185" s="57" t="n"/>
      <c r="AA185" s="63" t="n"/>
    </row>
    <row r="186" hidden="1" ht="13.5" customHeight="1" s="56">
      <c r="A186" s="57" t="inlineStr">
        <is>
          <t>MAA</t>
        </is>
      </c>
      <c r="B186" s="69" t="n">
        <v>11</v>
      </c>
      <c r="C186" s="61" t="n">
        <v>40.26</v>
      </c>
      <c r="D186" s="61" t="n">
        <v>36.364</v>
      </c>
      <c r="E186" s="61" t="n">
        <v>1.165</v>
      </c>
      <c r="F186" s="67" t="n">
        <v>45236</v>
      </c>
      <c r="G186" s="66" t="n"/>
      <c r="H186" s="67" t="n">
        <v>45237</v>
      </c>
      <c r="I186" s="66" t="n"/>
      <c r="J186" s="28">
        <f>IF(ISBLANK(F186:G186),,IF(COUNTA(F186)=0,G186,F186))</f>
        <v/>
      </c>
      <c r="K186" s="6">
        <f>IFERROR(__xludf.DUMMYFUNCTION("if(isblank(J186),,index(googlefinance(A186,K$2,J186-1),2,2))"),121.76)</f>
        <v/>
      </c>
      <c r="L186" s="29">
        <f>IF(ISBLANK(H186:I186),,IF(COUNTA(H186)=0,I186,H186))</f>
        <v/>
      </c>
      <c r="M186" s="7">
        <f>IFERROR(__xludf.DUMMYFUNCTION("if(isblank(L186),, index(googlefinance(A186,M$2,L186-1),2,2))"),121.76)</f>
        <v/>
      </c>
      <c r="N186" s="8">
        <f>IFERROR(__xludf.DUMMYFUNCTION("if(isblank(A186),,googlefinance(A186))"),130.34)</f>
        <v/>
      </c>
      <c r="O186" s="59">
        <f>IF(ISBLANK(J186),,IF(ISBLANK(L186),"Ongoing","Completed"))</f>
        <v/>
      </c>
      <c r="P186" s="70">
        <f>IF(ISBLANK(A186),,IF(AND(COUNTA(F186)=1,S186&gt;0),"Profit",IF(AND(COUNTA(G186)=1,S186&lt;0),"Profit","Loss")))</f>
        <v/>
      </c>
      <c r="Q186" s="60">
        <f>IF(ISBLANK(T186),,IF(P186="Profit",IF(S186&lt;0,T186*-S186,T186*S186),IF(S186&gt;0,T186*-S186,T186*S186)))</f>
        <v/>
      </c>
      <c r="R186" s="59">
        <f>IF($Q186&gt;0, TRUE, FALSE)</f>
        <v/>
      </c>
      <c r="S186" s="59">
        <f>IF(ISBLANK(J186),,IF(ISBLANK(L186),N186-K186,M186-K186))</f>
        <v/>
      </c>
      <c r="T186" s="61">
        <f>IF(ISBLANK(J186),,ROUNDDOWN(T$1/K186,0))</f>
        <v/>
      </c>
      <c r="U186" s="62" t="n"/>
      <c r="V186" s="57" t="n"/>
      <c r="W186" s="57" t="n"/>
      <c r="X186" s="57" t="n"/>
      <c r="Y186" s="57" t="n"/>
      <c r="Z186" s="57" t="n"/>
      <c r="AA186" s="63" t="n"/>
    </row>
    <row r="187" hidden="1" ht="13.5" customHeight="1" s="56">
      <c r="A187" s="57" t="inlineStr">
        <is>
          <t>PFE</t>
        </is>
      </c>
      <c r="B187" s="69" t="n">
        <v>9</v>
      </c>
      <c r="C187" s="61" t="n">
        <v>139.688</v>
      </c>
      <c r="D187" s="61" t="n">
        <v>33.333</v>
      </c>
      <c r="E187" s="61" t="n">
        <v>1.666</v>
      </c>
      <c r="F187" s="67" t="n">
        <v>45236</v>
      </c>
      <c r="G187" s="66" t="n"/>
      <c r="H187" s="67" t="n">
        <v>45239</v>
      </c>
      <c r="I187" s="66" t="n"/>
      <c r="J187" s="28">
        <f>IF(ISBLANK(F187:G187),,IF(COUNTA(F187)=0,G187,F187))</f>
        <v/>
      </c>
      <c r="K187" s="6">
        <f>IFERROR(__xludf.DUMMYFUNCTION("if(isblank(J187),,index(googlefinance(A187,K$2,J187-1),2,2))"),31.18)</f>
        <v/>
      </c>
      <c r="L187" s="29">
        <f>IF(ISBLANK(H187:I187),,IF(COUNTA(H187)=0,I187,H187))</f>
        <v/>
      </c>
      <c r="M187" s="7">
        <f>IFERROR(__xludf.DUMMYFUNCTION("if(isblank(L187),, index(googlefinance(A187,M$2,L187-1),2,2))"),30.82)</f>
        <v/>
      </c>
      <c r="N187" s="8">
        <f>IFERROR(__xludf.DUMMYFUNCTION("if(isblank(A187),,googlefinance(A187))"),27.94)</f>
        <v/>
      </c>
      <c r="O187" s="59">
        <f>IF(ISBLANK(J187),,IF(ISBLANK(L187),"Ongoing","Completed"))</f>
        <v/>
      </c>
      <c r="P187" s="70">
        <f>IF(ISBLANK(A187),,IF(AND(COUNTA(F187)=1,S187&gt;0),"Profit",IF(AND(COUNTA(G187)=1,S187&lt;0),"Profit","Loss")))</f>
        <v/>
      </c>
      <c r="Q187" s="31">
        <f>IF(ISBLANK(T187),,IF(P187="Profit",IF(S187&lt;0,T187*-S187,T187*S187),IF(S187&gt;0,T187*-S187,T187*S187)))</f>
        <v/>
      </c>
      <c r="R187" s="59">
        <f>IF($Q187&gt;0, TRUE, FALSE)</f>
        <v/>
      </c>
      <c r="S187" s="59">
        <f>IF(ISBLANK(J187),,IF(ISBLANK(L187),N187-K187,M187-K187))</f>
        <v/>
      </c>
      <c r="T187" s="61">
        <f>IF(ISBLANK(J187),,ROUNDDOWN(T$1/K187,0))</f>
        <v/>
      </c>
      <c r="U187" s="62" t="n"/>
      <c r="V187" s="57" t="n"/>
      <c r="W187" s="57" t="n"/>
      <c r="X187" s="57" t="n"/>
      <c r="Y187" s="57" t="n"/>
      <c r="Z187" s="57" t="n"/>
      <c r="AA187" s="63" t="n"/>
    </row>
    <row r="188" hidden="1" ht="13.5" customHeight="1" s="56">
      <c r="A188" s="57" t="inlineStr">
        <is>
          <t>UAL</t>
        </is>
      </c>
      <c r="B188" s="61" t="n">
        <v>10</v>
      </c>
      <c r="C188" s="61" t="n">
        <v>988.49</v>
      </c>
      <c r="D188" s="61" t="n">
        <v>50</v>
      </c>
      <c r="E188" s="73" t="n">
        <v>5.72</v>
      </c>
      <c r="F188" s="67" t="n">
        <v>45236</v>
      </c>
      <c r="G188" s="66" t="n"/>
      <c r="H188" s="67" t="n">
        <v>45278</v>
      </c>
      <c r="I188" s="66" t="n"/>
      <c r="J188" s="28">
        <f>IF(ISBLANK(F188:G188),,IF(COUNTA(F188)=0,G188,F188))</f>
        <v/>
      </c>
      <c r="K188" s="6">
        <f>IFERROR(__xludf.DUMMYFUNCTION("if(isblank(J188),,index(googlefinance(A188,K$2,J188-1),2,2))"),36.76)</f>
        <v/>
      </c>
      <c r="L188" s="29">
        <f>IF(ISBLANK(H188:I188),,IF(COUNTA(H188)=0,I188,H188))</f>
        <v/>
      </c>
      <c r="M188" s="7">
        <f>IFERROR(__xludf.DUMMYFUNCTION("if(isblank(L188),, index(googlefinance(A188,M$2,L188-1),2,2))"),42.33)</f>
        <v/>
      </c>
      <c r="N188" s="8">
        <f>IFERROR(__xludf.DUMMYFUNCTION("if(isblank(A188),,googlefinance(A188))"),43.62)</f>
        <v/>
      </c>
      <c r="O188" s="59">
        <f>IF(ISBLANK(J188),,IF(ISBLANK(L188),"Ongoing","Completed"))</f>
        <v/>
      </c>
      <c r="P188" s="68">
        <f>IF(ISBLANK(A188),,IF(AND(COUNTA(F188)=1,S188&gt;0),"Profit",IF(AND(COUNTA(G188)=1,S188&lt;0),"Profit","Loss")))</f>
        <v/>
      </c>
      <c r="Q188" s="26">
        <f>IF(ISBLANK(T188),,IF(P188="Profit",IF(S188&lt;0,T188*-S188,T188*S188),IF(S188&gt;0,T188*-S188,T188*S188)))</f>
        <v/>
      </c>
      <c r="R188" s="59">
        <f>IF($Q188&gt;0, TRUE, FALSE)</f>
        <v/>
      </c>
      <c r="S188" s="59">
        <f>IF(ISBLANK(J188),,IF(ISBLANK(L188),N188-K188,M188-K188))</f>
        <v/>
      </c>
      <c r="T188" s="61">
        <f>IF(ISBLANK(J188),,ROUNDDOWN(T$1/K188,0))</f>
        <v/>
      </c>
      <c r="U188" s="62" t="n"/>
      <c r="V188" s="57" t="n"/>
      <c r="W188" s="57" t="n"/>
      <c r="X188" s="57" t="n"/>
      <c r="Y188" s="57" t="n"/>
      <c r="Z188" s="57" t="n"/>
      <c r="AA188" s="63" t="n"/>
    </row>
    <row r="189" hidden="1" ht="13.5" customHeight="1" s="56">
      <c r="A189" s="57" t="inlineStr">
        <is>
          <t>PLD</t>
        </is>
      </c>
      <c r="B189" s="69" t="n">
        <v>12</v>
      </c>
      <c r="C189" s="61" t="n">
        <v>91.38</v>
      </c>
      <c r="D189" s="61" t="n">
        <v>58.333</v>
      </c>
      <c r="E189" s="61" t="n">
        <v>1.651</v>
      </c>
      <c r="F189" s="67" t="n">
        <v>45236</v>
      </c>
      <c r="G189" s="66" t="n"/>
      <c r="H189" s="67" t="n">
        <v>45275</v>
      </c>
      <c r="I189" s="66" t="n"/>
      <c r="J189" s="28">
        <f>IF(ISBLANK(F189:G189),,IF(COUNTA(F189)=0,G189,F189))</f>
        <v/>
      </c>
      <c r="K189" s="6">
        <f>IFERROR(__xludf.DUMMYFUNCTION("if(isblank(J189),,index(googlefinance(A189,K$2,J189-1),2,2))"),104.93)</f>
        <v/>
      </c>
      <c r="L189" s="29">
        <f>IF(ISBLANK(H189:I189),,IF(COUNTA(H189)=0,I189,H189))</f>
        <v/>
      </c>
      <c r="M189" s="7">
        <f>IFERROR(__xludf.DUMMYFUNCTION("if(isblank(L189),, index(googlefinance(A189,M$2,L189-1),2,2))"),137.12)</f>
        <v/>
      </c>
      <c r="N189" s="8">
        <f>IFERROR(__xludf.DUMMYFUNCTION("if(isblank(A189),,googlefinance(A189))"),129.02)</f>
        <v/>
      </c>
      <c r="O189" s="59">
        <f>IF(ISBLANK(J189),,IF(ISBLANK(L189),"Ongoing","Completed"))</f>
        <v/>
      </c>
      <c r="P189" s="68">
        <f>IF(ISBLANK(A189),,IF(AND(COUNTA(F189)=1,S189&gt;0),"Profit",IF(AND(COUNTA(G189)=1,S189&lt;0),"Profit","Loss")))</f>
        <v/>
      </c>
      <c r="Q189" s="26">
        <f>IF(ISBLANK(T189),,IF(P189="Profit",IF(S189&lt;0,T189*-S189,T189*S189),IF(S189&gt;0,T189*-S189,T189*S189)))</f>
        <v/>
      </c>
      <c r="R189" s="59">
        <f>IF($Q189&gt;0, TRUE, FALSE)</f>
        <v/>
      </c>
      <c r="S189" s="59">
        <f>IF(ISBLANK(J189),,IF(ISBLANK(L189),N189-K189,M189-K189))</f>
        <v/>
      </c>
      <c r="T189" s="61">
        <f>IF(ISBLANK(J189),,ROUNDDOWN(T$1/K189,0))</f>
        <v/>
      </c>
      <c r="U189" s="62" t="n"/>
      <c r="V189" s="57" t="n"/>
      <c r="W189" s="57" t="n"/>
      <c r="X189" s="57" t="n"/>
      <c r="Y189" s="57" t="n"/>
      <c r="Z189" s="57" t="n"/>
      <c r="AA189" s="63" t="n"/>
    </row>
    <row r="190" hidden="1" ht="13.5" customHeight="1" s="56">
      <c r="A190" s="57" t="inlineStr">
        <is>
          <t>WST</t>
        </is>
      </c>
      <c r="B190" s="69" t="n">
        <v>8</v>
      </c>
      <c r="C190" s="61" t="n">
        <v>139.65</v>
      </c>
      <c r="D190" s="61" t="n">
        <v>37.5</v>
      </c>
      <c r="E190" s="61" t="n">
        <v>1.955</v>
      </c>
      <c r="F190" s="67" t="n">
        <v>45237</v>
      </c>
      <c r="G190" s="66" t="n"/>
      <c r="H190" s="67" t="n">
        <v>45259</v>
      </c>
      <c r="I190" s="66" t="n"/>
      <c r="J190" s="28">
        <f>IF(ISBLANK(F190:G190),,IF(COUNTA(F190)=0,G190,F190))</f>
        <v/>
      </c>
      <c r="K190" s="6">
        <f>IFERROR(__xludf.DUMMYFUNCTION("if(isblank(J190),,index(googlefinance(A190,K$2,J190-1),2,2))"),333.03)</f>
        <v/>
      </c>
      <c r="L190" s="29">
        <f>IF(ISBLANK(H190:I190),,IF(COUNTA(H190)=0,I190,H190))</f>
        <v/>
      </c>
      <c r="M190" s="7">
        <f>IFERROR(__xludf.DUMMYFUNCTION("if(isblank(L190),, index(googlefinance(A190,M$2,L190-1),2,2))"),352.42)</f>
        <v/>
      </c>
      <c r="N190" s="8">
        <f>IFERROR(__xludf.DUMMYFUNCTION("if(isblank(A190),,googlefinance(A190))"),387.62)</f>
        <v/>
      </c>
      <c r="O190" s="59">
        <f>IF(ISBLANK(J190),,IF(ISBLANK(L190),"Ongoing","Completed"))</f>
        <v/>
      </c>
      <c r="P190" s="68">
        <f>IF(ISBLANK(A190),,IF(AND(COUNTA(F190)=1,S190&gt;0),"Profit",IF(AND(COUNTA(G190)=1,S190&lt;0),"Profit","Loss")))</f>
        <v/>
      </c>
      <c r="Q190" s="26">
        <f>IF(ISBLANK(T190),,IF(P190="Profit",IF(S190&lt;0,T190*-S190,T190*S190),IF(S190&gt;0,T190*-S190,T190*S190)))</f>
        <v/>
      </c>
      <c r="R190" s="59">
        <f>IF($Q190&gt;0, TRUE, FALSE)</f>
        <v/>
      </c>
      <c r="S190" s="59">
        <f>IF(ISBLANK(J190),,IF(ISBLANK(L190),N190-K190,M190-K190))</f>
        <v/>
      </c>
      <c r="T190" s="61">
        <f>IF(ISBLANK(J190),,ROUNDDOWN(T$1/K190,0))</f>
        <v/>
      </c>
      <c r="U190" s="62" t="n"/>
      <c r="V190" s="57" t="n"/>
      <c r="W190" s="57" t="n"/>
      <c r="X190" s="57" t="n"/>
      <c r="Y190" s="57" t="n"/>
      <c r="Z190" s="57" t="n"/>
      <c r="AA190" s="63" t="n"/>
    </row>
    <row r="191" hidden="1" ht="13.5" customHeight="1" s="56">
      <c r="A191" s="57" t="inlineStr">
        <is>
          <t>ALK</t>
        </is>
      </c>
      <c r="B191" s="69" t="n">
        <v>12</v>
      </c>
      <c r="C191" s="61" t="n">
        <v>282.81</v>
      </c>
      <c r="D191" s="61" t="n">
        <v>50</v>
      </c>
      <c r="E191" s="61" t="n">
        <v>2.731</v>
      </c>
      <c r="F191" s="67" t="n">
        <v>45238</v>
      </c>
      <c r="G191" s="66" t="n"/>
      <c r="H191" s="67" t="n">
        <v>45264</v>
      </c>
      <c r="I191" s="66" t="n"/>
      <c r="J191" s="28">
        <f>IF(ISBLANK(F191:G191),,IF(COUNTA(F191)=0,G191,F191))</f>
        <v/>
      </c>
      <c r="K191" s="6">
        <f>IFERROR(__xludf.DUMMYFUNCTION("if(isblank(J191),,index(googlefinance(A191,K$2,J191-1),2,2))"),33.16)</f>
        <v/>
      </c>
      <c r="L191" s="29">
        <f>IF(ISBLANK(H191:I191),,IF(COUNTA(H191)=0,I191,H191))</f>
        <v/>
      </c>
      <c r="M191" s="7">
        <f>IFERROR(__xludf.DUMMYFUNCTION("if(isblank(L191),, index(googlefinance(A191,M$2,L191-1),2,2))"),34.08)</f>
        <v/>
      </c>
      <c r="N191" s="8">
        <f>IFERROR(__xludf.DUMMYFUNCTION("if(isblank(A191),,googlefinance(A191))"),38.18)</f>
        <v/>
      </c>
      <c r="O191" s="59">
        <f>IF(ISBLANK(J191),,IF(ISBLANK(L191),"Ongoing","Completed"))</f>
        <v/>
      </c>
      <c r="P191" s="68">
        <f>IF(ISBLANK(A191),,IF(AND(COUNTA(F191)=1,S191&gt;0),"Profit",IF(AND(COUNTA(G191)=1,S191&lt;0),"Profit","Loss")))</f>
        <v/>
      </c>
      <c r="Q191" s="26">
        <f>IF(ISBLANK(T191),,IF(P191="Profit",IF(S191&lt;0,T191*-S191,T191*S191),IF(S191&gt;0,T191*-S191,T191*S191)))</f>
        <v/>
      </c>
      <c r="R191" s="59">
        <f>IF($Q191&gt;0, TRUE, FALSE)</f>
        <v/>
      </c>
      <c r="S191" s="59">
        <f>IF(ISBLANK(J191),,IF(ISBLANK(L191),N191-K191,M191-K191))</f>
        <v/>
      </c>
      <c r="T191" s="61">
        <f>IF(ISBLANK(J191),,ROUNDDOWN(T$1/K191,0))</f>
        <v/>
      </c>
      <c r="U191" s="62" t="n"/>
      <c r="V191" s="57" t="n"/>
      <c r="W191" s="57" t="n"/>
      <c r="X191" s="57" t="n"/>
      <c r="Y191" s="57" t="n"/>
      <c r="Z191" s="57" t="n"/>
      <c r="AA191" s="63" t="n"/>
    </row>
    <row r="192" hidden="1" ht="13.5" customHeight="1" s="56">
      <c r="A192" s="57" t="inlineStr">
        <is>
          <t>EXR</t>
        </is>
      </c>
      <c r="B192" s="61" t="n">
        <v>18</v>
      </c>
      <c r="C192" s="61" t="n">
        <v>207.1</v>
      </c>
      <c r="D192" s="61" t="n">
        <v>27.778</v>
      </c>
      <c r="E192" s="73" t="n">
        <v>2.011</v>
      </c>
      <c r="F192" s="67" t="n">
        <v>45238</v>
      </c>
      <c r="G192" s="66" t="n"/>
      <c r="H192" s="67" t="n">
        <v>45278</v>
      </c>
      <c r="I192" s="66" t="n"/>
      <c r="J192" s="28">
        <f>IF(ISBLANK(F192:G192),,IF(COUNTA(F192)=0,G192,F192))</f>
        <v/>
      </c>
      <c r="K192" s="6">
        <f>IFERROR(__xludf.DUMMYFUNCTION("if(isblank(J192),,index(googlefinance(A192,K$2,J192-1),2,2))"),107.2)</f>
        <v/>
      </c>
      <c r="L192" s="29">
        <f>IF(ISBLANK(H192:I192),,IF(COUNTA(H192)=0,I192,H192))</f>
        <v/>
      </c>
      <c r="M192" s="7">
        <f>IFERROR(__xludf.DUMMYFUNCTION("if(isblank(L192),, index(googlefinance(A192,M$2,L192-1),2,2))"),151.61)</f>
        <v/>
      </c>
      <c r="N192" s="8">
        <f>IFERROR(__xludf.DUMMYFUNCTION("if(isblank(A192),,googlefinance(A192))"),139.33)</f>
        <v/>
      </c>
      <c r="O192" s="59">
        <f>IF(ISBLANK(J192),,IF(ISBLANK(L192),"Ongoing","Completed"))</f>
        <v/>
      </c>
      <c r="P192" s="68">
        <f>IF(ISBLANK(A192),,IF(AND(COUNTA(F192)=1,S192&gt;0),"Profit",IF(AND(COUNTA(G192)=1,S192&lt;0),"Profit","Loss")))</f>
        <v/>
      </c>
      <c r="Q192" s="26">
        <f>IF(ISBLANK(T192),,IF(P192="Profit",IF(S192&lt;0,T192*-S192,T192*S192),IF(S192&gt;0,T192*-S192,T192*S192)))</f>
        <v/>
      </c>
      <c r="R192" s="59">
        <f>IF($Q192&gt;0, TRUE, FALSE)</f>
        <v/>
      </c>
      <c r="S192" s="59">
        <f>IF(ISBLANK(J192),,IF(ISBLANK(L192),N192-K192,M192-K192))</f>
        <v/>
      </c>
      <c r="T192" s="61">
        <f>IF(ISBLANK(J192),,ROUNDDOWN(T$1/K192,0))</f>
        <v/>
      </c>
      <c r="U192" s="62" t="n"/>
      <c r="V192" s="57" t="n"/>
      <c r="W192" s="57" t="n"/>
      <c r="X192" s="57" t="n"/>
      <c r="Y192" s="57" t="n"/>
      <c r="Z192" s="57" t="n"/>
      <c r="AA192" s="63" t="n"/>
    </row>
    <row r="193" hidden="1" ht="13.5" customHeight="1" s="56">
      <c r="A193" s="57" t="inlineStr">
        <is>
          <t>BBY</t>
        </is>
      </c>
      <c r="B193" s="69" t="n">
        <v>13</v>
      </c>
      <c r="C193" s="61" t="n">
        <v>173.07</v>
      </c>
      <c r="D193" s="61" t="n">
        <v>46.154</v>
      </c>
      <c r="E193" s="61" t="n">
        <v>1.741</v>
      </c>
      <c r="F193" s="67" t="n">
        <v>45244</v>
      </c>
      <c r="G193" s="66" t="n"/>
      <c r="H193" s="67" t="n">
        <v>45272</v>
      </c>
      <c r="I193" s="66" t="n"/>
      <c r="J193" s="28">
        <f>IF(ISBLANK(F193:G193),,IF(COUNTA(F193)=0,G193,F193))</f>
        <v/>
      </c>
      <c r="K193" s="6">
        <f>IFERROR(__xludf.DUMMYFUNCTION("if(isblank(J193),,index(googlefinance(A193,K$2,J193-1),2,2))"),63.84)</f>
        <v/>
      </c>
      <c r="L193" s="29">
        <f>IF(ISBLANK(H193:I193),,IF(COUNTA(H193)=0,I193,H193))</f>
        <v/>
      </c>
      <c r="M193" s="7">
        <f>IFERROR(__xludf.DUMMYFUNCTION("if(isblank(L193),, index(googlefinance(A193,M$2,L193-1),2,2))"),74.14)</f>
        <v/>
      </c>
      <c r="N193" s="8">
        <f>IFERROR(__xludf.DUMMYFUNCTION("if(isblank(A193),,googlefinance(A193))"),78.02)</f>
        <v/>
      </c>
      <c r="O193" s="59">
        <f>IF(ISBLANK(J193),,IF(ISBLANK(L193),"Ongoing","Completed"))</f>
        <v/>
      </c>
      <c r="P193" s="68">
        <f>IF(ISBLANK(A193),,IF(AND(COUNTA(F193)=1,S193&gt;0),"Profit",IF(AND(COUNTA(G193)=1,S193&lt;0),"Profit","Loss")))</f>
        <v/>
      </c>
      <c r="Q193" s="26">
        <f>IF(ISBLANK(T193),,IF(P193="Profit",IF(S193&lt;0,T193*-S193,T193*S193),IF(S193&gt;0,T193*-S193,T193*S193)))</f>
        <v/>
      </c>
      <c r="R193" s="59">
        <f>IF($Q193&gt;0, TRUE, FALSE)</f>
        <v/>
      </c>
      <c r="S193" s="59">
        <f>IF(ISBLANK(J193),,IF(ISBLANK(L193),N193-K193,M193-K193))</f>
        <v/>
      </c>
      <c r="T193" s="61">
        <f>IF(ISBLANK(J193),,ROUNDDOWN(T$1/K193,0))</f>
        <v/>
      </c>
      <c r="U193" s="62" t="n"/>
      <c r="V193" s="57" t="n"/>
      <c r="W193" s="57" t="n"/>
      <c r="X193" s="57" t="n"/>
      <c r="Y193" s="57" t="n"/>
      <c r="Z193" s="57" t="n"/>
      <c r="AA193" s="63" t="n"/>
    </row>
    <row r="194" hidden="1" ht="13.5" customHeight="1" s="56">
      <c r="A194" s="57" t="inlineStr">
        <is>
          <t>BXP</t>
        </is>
      </c>
      <c r="B194" s="69" t="n">
        <v>11</v>
      </c>
      <c r="C194" s="61" t="n">
        <v>0.61</v>
      </c>
      <c r="D194" s="61" t="n">
        <v>9.090999999999999</v>
      </c>
      <c r="E194" s="61" t="n">
        <v>1.002</v>
      </c>
      <c r="F194" s="67" t="n">
        <v>45244</v>
      </c>
      <c r="G194" s="66" t="n"/>
      <c r="H194" s="67" t="n">
        <v>45251</v>
      </c>
      <c r="I194" s="66" t="n"/>
      <c r="J194" s="28">
        <f>IF(ISBLANK(F194:G194),,IF(COUNTA(F194)=0,G194,F194))</f>
        <v/>
      </c>
      <c r="K194" s="6">
        <f>IFERROR(__xludf.DUMMYFUNCTION("if(isblank(J194),,index(googlefinance(A194,K$2,J194-1),2,2))"),51.21)</f>
        <v/>
      </c>
      <c r="L194" s="29">
        <f>IF(ISBLANK(H194:I194),,IF(COUNTA(H194)=0,I194,H194))</f>
        <v/>
      </c>
      <c r="M194" s="7">
        <f>IFERROR(__xludf.DUMMYFUNCTION("if(isblank(L194),, index(googlefinance(A194,M$2,L194-1),2,2))"),55.09)</f>
        <v/>
      </c>
      <c r="N194" s="8">
        <f>IFERROR(__xludf.DUMMYFUNCTION("if(isblank(A194),,googlefinance(A194))"),62.6)</f>
        <v/>
      </c>
      <c r="O194" s="59">
        <f>IF(ISBLANK(J194),,IF(ISBLANK(L194),"Ongoing","Completed"))</f>
        <v/>
      </c>
      <c r="P194" s="68">
        <f>IF(ISBLANK(A194),,IF(AND(COUNTA(F194)=1,S194&gt;0),"Profit",IF(AND(COUNTA(G194)=1,S194&lt;0),"Profit","Loss")))</f>
        <v/>
      </c>
      <c r="Q194" s="26">
        <f>IF(ISBLANK(T194),,IF(P194="Profit",IF(S194&lt;0,T194*-S194,T194*S194),IF(S194&gt;0,T194*-S194,T194*S194)))</f>
        <v/>
      </c>
      <c r="R194" s="59">
        <f>IF($Q194&gt;0, TRUE, FALSE)</f>
        <v/>
      </c>
      <c r="S194" s="59">
        <f>IF(ISBLANK(J194),,IF(ISBLANK(L194),N194-K194,M194-K194))</f>
        <v/>
      </c>
      <c r="T194" s="61">
        <f>IF(ISBLANK(J194),,ROUNDDOWN(T$1/K194,0))</f>
        <v/>
      </c>
      <c r="U194" s="62" t="n"/>
      <c r="V194" s="57" t="n"/>
      <c r="W194" s="57" t="n"/>
      <c r="X194" s="57" t="n"/>
      <c r="Y194" s="57" t="n"/>
      <c r="Z194" s="57" t="n"/>
      <c r="AA194" s="63" t="n"/>
    </row>
    <row r="195" hidden="1" ht="13.5" customHeight="1" s="56">
      <c r="A195" s="57" t="inlineStr">
        <is>
          <t>WMT</t>
        </is>
      </c>
      <c r="B195" s="69" t="n">
        <v>11</v>
      </c>
      <c r="C195" s="61" t="n">
        <v>33.94</v>
      </c>
      <c r="D195" s="61" t="n">
        <v>45.455</v>
      </c>
      <c r="E195" s="61" t="n">
        <v>1.243</v>
      </c>
      <c r="F195" s="66" t="n"/>
      <c r="G195" s="67" t="n">
        <v>45246</v>
      </c>
      <c r="H195" s="66" t="n"/>
      <c r="I195" s="67" t="n">
        <v>45273</v>
      </c>
      <c r="J195" s="23">
        <f>IF(ISBLANK(F195:G195),,IF(COUNTA(F195)=0,G195,F195))</f>
        <v/>
      </c>
      <c r="K195" s="6">
        <f>IFERROR(__xludf.DUMMYFUNCTION("if(isblank(J195),,index(googlefinance(A195,K$2,J195-1),2,2))"),56.59)</f>
        <v/>
      </c>
      <c r="L195" s="24">
        <f>IF(ISBLANK(H195:I195),,IF(COUNTA(H195)=0,I195,H195))</f>
        <v/>
      </c>
      <c r="M195" s="7">
        <f>IFERROR(__xludf.DUMMYFUNCTION("if(isblank(L195),, index(googlefinance(A195,M$2,L195-1),2,2))"),50.45)</f>
        <v/>
      </c>
      <c r="N195" s="8">
        <f>IFERROR(__xludf.DUMMYFUNCTION("if(isblank(A195),,googlefinance(A195))"),60.68)</f>
        <v/>
      </c>
      <c r="O195" s="59">
        <f>IF(ISBLANK(J195),,IF(ISBLANK(L195),"Ongoing","Completed"))</f>
        <v/>
      </c>
      <c r="P195" s="68">
        <f>IF(ISBLANK(A195),,IF(AND(COUNTA(F195)=1,S195&gt;0),"Profit",IF(AND(COUNTA(G195)=1,S195&lt;0),"Profit","Loss")))</f>
        <v/>
      </c>
      <c r="Q195" s="26">
        <f>IF(ISBLANK(T195),,IF(P195="Profit",IF(S195&lt;0,T195*-S195,T195*S195),IF(S195&gt;0,T195*-S195,T195*S195)))</f>
        <v/>
      </c>
      <c r="R195" s="59">
        <f>IF($Q195&gt;0, TRUE, FALSE)</f>
        <v/>
      </c>
      <c r="S195" s="59">
        <f>IF(ISBLANK(J195),,IF(ISBLANK(L195),N195-K195,M195-K195))</f>
        <v/>
      </c>
      <c r="T195" s="61">
        <f>IF(ISBLANK(J195),,ROUNDDOWN(T$1/K195,0))</f>
        <v/>
      </c>
      <c r="U195" s="62" t="n"/>
      <c r="V195" s="57" t="n"/>
      <c r="W195" s="57" t="n"/>
      <c r="X195" s="57" t="n"/>
      <c r="Y195" s="57" t="n"/>
      <c r="Z195" s="57" t="n"/>
      <c r="AA195" s="63" t="n"/>
    </row>
    <row r="196" hidden="1" ht="13.5" customHeight="1" s="56">
      <c r="A196" s="57" t="inlineStr">
        <is>
          <t>MTCH</t>
        </is>
      </c>
      <c r="B196" s="69" t="n">
        <v>16</v>
      </c>
      <c r="C196" s="61" t="n">
        <v>123.335</v>
      </c>
      <c r="D196" s="61" t="n">
        <v>31.25</v>
      </c>
      <c r="E196" s="73" t="n">
        <v>1.201</v>
      </c>
      <c r="F196" s="66" t="n"/>
      <c r="G196" s="67" t="n">
        <v>45247</v>
      </c>
      <c r="H196" s="66" t="n"/>
      <c r="I196" s="67" t="n">
        <v>45268</v>
      </c>
      <c r="J196" s="23">
        <f>IF(ISBLANK(F196:G196),,IF(COUNTA(F196)=0,G196,F196))</f>
        <v/>
      </c>
      <c r="K196" s="6">
        <f>IFERROR(__xludf.DUMMYFUNCTION("if(isblank(J196),,index(googlefinance(A196,K$2,J196-1),2,2))"),31.58)</f>
        <v/>
      </c>
      <c r="L196" s="24">
        <f>IF(ISBLANK(H196:I196),,IF(COUNTA(H196)=0,I196,H196))</f>
        <v/>
      </c>
      <c r="M196" s="7">
        <f>IFERROR(__xludf.DUMMYFUNCTION("if(isblank(L196),, index(googlefinance(A196,M$2,L196-1),2,2))"),32.24)</f>
        <v/>
      </c>
      <c r="N196" s="8">
        <f>IFERROR(__xludf.DUMMYFUNCTION("if(isblank(A196),,googlefinance(A196))"),33.55)</f>
        <v/>
      </c>
      <c r="O196" s="59">
        <f>IF(ISBLANK(J196),,IF(ISBLANK(L196),"Ongoing","Completed"))</f>
        <v/>
      </c>
      <c r="P196" s="70">
        <f>IF(ISBLANK(A196),,IF(AND(COUNTA(F196)=1,S196&gt;0),"Profit",IF(AND(COUNTA(G196)=1,S196&lt;0),"Profit","Loss")))</f>
        <v/>
      </c>
      <c r="Q196" s="31">
        <f>IF(ISBLANK(T196),,IF(P196="Profit",IF(S196&lt;0,T196*-S196,T196*S196),IF(S196&gt;0,T196*-S196,T196*S196)))</f>
        <v/>
      </c>
      <c r="R196" s="59">
        <f>IF($Q196&gt;0, TRUE, FALSE)</f>
        <v/>
      </c>
      <c r="S196" s="59">
        <f>IF(ISBLANK(J196),,IF(ISBLANK(L196),N196-K196,M196-K196))</f>
        <v/>
      </c>
      <c r="T196" s="61">
        <f>IF(ISBLANK(J196),,ROUNDDOWN(T$1/K196,0))</f>
        <v/>
      </c>
      <c r="U196" s="62" t="n"/>
      <c r="V196" s="57" t="n"/>
      <c r="W196" s="57" t="n"/>
      <c r="X196" s="57" t="n"/>
      <c r="Y196" s="57" t="n"/>
      <c r="Z196" s="57" t="n"/>
      <c r="AA196" s="63" t="n"/>
    </row>
    <row r="197" hidden="1" ht="13.5" customHeight="1" s="56">
      <c r="A197" s="57" t="inlineStr">
        <is>
          <t>AON</t>
        </is>
      </c>
      <c r="B197" s="69" t="n">
        <v>20</v>
      </c>
      <c r="C197" s="61" t="n">
        <v>287.44</v>
      </c>
      <c r="D197" s="61" t="n">
        <v>50</v>
      </c>
      <c r="E197" s="61" t="n">
        <v>2.171</v>
      </c>
      <c r="F197" s="66" t="n"/>
      <c r="G197" s="67" t="n">
        <v>45251</v>
      </c>
      <c r="H197" s="66" t="n"/>
      <c r="I197" s="67" t="n">
        <v>45252</v>
      </c>
      <c r="J197" s="23">
        <f>IF(ISBLANK(F197:G197),,IF(COUNTA(F197)=0,G197,F197))</f>
        <v/>
      </c>
      <c r="K197" s="6">
        <f>IFERROR(__xludf.DUMMYFUNCTION("if(isblank(J197),,index(googlefinance(A197,K$2,J197-1),2,2))"),331.2)</f>
        <v/>
      </c>
      <c r="L197" s="24">
        <f>IF(ISBLANK(H197:I197),,IF(COUNTA(H197)=0,I197,H197))</f>
        <v/>
      </c>
      <c r="M197" s="7">
        <f>IFERROR(__xludf.DUMMYFUNCTION("if(isblank(L197),, index(googlefinance(A197,M$2,L197-1),2,2))"),325.93)</f>
        <v/>
      </c>
      <c r="N197" s="8">
        <f>IFERROR(__xludf.DUMMYFUNCTION("if(isblank(A197),,googlefinance(A197))"),318.99)</f>
        <v/>
      </c>
      <c r="O197" s="59">
        <f>IF(ISBLANK(J197),,IF(ISBLANK(L197),"Ongoing","Completed"))</f>
        <v/>
      </c>
      <c r="P197" s="68">
        <f>IF(ISBLANK(A197),,IF(AND(COUNTA(F197)=1,S197&gt;0),"Profit",IF(AND(COUNTA(G197)=1,S197&lt;0),"Profit","Loss")))</f>
        <v/>
      </c>
      <c r="Q197" s="26">
        <f>IF(ISBLANK(T197),,IF(P197="Profit",IF(S197&lt;0,T197*-S197,T197*S197),IF(S197&gt;0,T197*-S197,T197*S197)))</f>
        <v/>
      </c>
      <c r="R197" s="59">
        <f>IF($Q197&gt;0, TRUE, FALSE)</f>
        <v/>
      </c>
      <c r="S197" s="59">
        <f>IF(ISBLANK(J197),,IF(ISBLANK(L197),N197-K197,M197-K197))</f>
        <v/>
      </c>
      <c r="T197" s="61">
        <f>IF(ISBLANK(J197),,ROUNDDOWN(T$1/K197,0))</f>
        <v/>
      </c>
      <c r="U197" s="62" t="n"/>
      <c r="V197" s="57" t="n"/>
      <c r="W197" s="57" t="n"/>
      <c r="X197" s="57" t="n"/>
      <c r="Y197" s="57" t="n"/>
      <c r="Z197" s="57" t="n"/>
      <c r="AA197" s="63" t="n"/>
    </row>
    <row r="198" hidden="1" ht="13.5" customHeight="1" s="56">
      <c r="A198" s="57" t="inlineStr">
        <is>
          <t>ADSK</t>
        </is>
      </c>
      <c r="B198" s="69" t="n">
        <v>12</v>
      </c>
      <c r="C198" s="61" t="n">
        <v>37.58</v>
      </c>
      <c r="D198" s="61" t="n">
        <v>25</v>
      </c>
      <c r="E198" s="61" t="n">
        <v>1.139</v>
      </c>
      <c r="F198" s="66" t="n"/>
      <c r="G198" s="67" t="n">
        <v>45252</v>
      </c>
      <c r="H198" s="66" t="n"/>
      <c r="I198" s="67" t="n">
        <v>45259</v>
      </c>
      <c r="J198" s="23">
        <f>IF(ISBLANK(F198:G198),,IF(COUNTA(F198)=0,G198,F198))</f>
        <v/>
      </c>
      <c r="K198" s="6">
        <f>IFERROR(__xludf.DUMMYFUNCTION("if(isblank(J198),,index(googlefinance(A198,K$2,J198-1),2,2))"),217.67)</f>
        <v/>
      </c>
      <c r="L198" s="24">
        <f>IF(ISBLANK(H198:I198),,IF(COUNTA(H198)=0,I198,H198))</f>
        <v/>
      </c>
      <c r="M198" s="7">
        <f>IFERROR(__xludf.DUMMYFUNCTION("if(isblank(L198),, index(googlefinance(A198,M$2,L198-1),2,2))"),207.37)</f>
        <v/>
      </c>
      <c r="N198" s="8">
        <f>IFERROR(__xludf.DUMMYFUNCTION("if(isblank(A198),,googlefinance(A198))"),254.24)</f>
        <v/>
      </c>
      <c r="O198" s="59">
        <f>IF(ISBLANK(J198),,IF(ISBLANK(L198),"Ongoing","Completed"))</f>
        <v/>
      </c>
      <c r="P198" s="68">
        <f>IF(ISBLANK(A198),,IF(AND(COUNTA(F198)=1,S198&gt;0),"Profit",IF(AND(COUNTA(G198)=1,S198&lt;0),"Profit","Loss")))</f>
        <v/>
      </c>
      <c r="Q198" s="26">
        <f>IF(ISBLANK(T198),,IF(P198="Profit",IF(S198&lt;0,T198*-S198,T198*S198),IF(S198&gt;0,T198*-S198,T198*S198)))</f>
        <v/>
      </c>
      <c r="R198" s="59">
        <f>IF($Q198&gt;0, TRUE, FALSE)</f>
        <v/>
      </c>
      <c r="S198" s="59">
        <f>IF(ISBLANK(J198),,IF(ISBLANK(L198),N198-K198,M198-K198))</f>
        <v/>
      </c>
      <c r="T198" s="61">
        <f>IF(ISBLANK(J198),,ROUNDDOWN(T$1/K198,0))</f>
        <v/>
      </c>
      <c r="U198" s="62" t="n"/>
      <c r="V198" s="57" t="n"/>
      <c r="W198" s="57" t="n"/>
      <c r="X198" s="57" t="n"/>
      <c r="Y198" s="57" t="n"/>
      <c r="Z198" s="57" t="n"/>
      <c r="AA198" s="63" t="n"/>
    </row>
    <row r="199" hidden="1" ht="13.5" customHeight="1" s="56">
      <c r="A199" s="57" t="inlineStr">
        <is>
          <t>HOLX</t>
        </is>
      </c>
      <c r="B199" s="69" t="n">
        <v>14</v>
      </c>
      <c r="C199" s="59" t="n">
        <v>150.26</v>
      </c>
      <c r="D199" s="61" t="n">
        <v>42.857</v>
      </c>
      <c r="E199" s="61" t="n">
        <v>1.987</v>
      </c>
      <c r="F199" s="66" t="n"/>
      <c r="G199" s="67" t="n">
        <v>45258</v>
      </c>
      <c r="H199" s="66" t="n"/>
      <c r="I199" s="67" t="n">
        <v>45260</v>
      </c>
      <c r="J199" s="23">
        <f>IF(ISBLANK(F199:G199),,IF(COUNTA(F199)=0,G199,F199))</f>
        <v/>
      </c>
      <c r="K199" s="6">
        <f>IFERROR(__xludf.DUMMYFUNCTION("if(isblank(J199),,index(googlefinance(A199,K$2,J199-1),2,2))"),71.53)</f>
        <v/>
      </c>
      <c r="L199" s="24">
        <f>IF(ISBLANK(H199:I199),,IF(COUNTA(H199)=0,I199,H199))</f>
        <v/>
      </c>
      <c r="M199" s="7">
        <f>IFERROR(__xludf.DUMMYFUNCTION("if(isblank(L199),, index(googlefinance(A199,M$2,L199-1),2,2))"),70.6)</f>
        <v/>
      </c>
      <c r="N199" s="8">
        <f>IFERROR(__xludf.DUMMYFUNCTION("if(isblank(A199),,googlefinance(A199))"),75.91)</f>
        <v/>
      </c>
      <c r="O199" s="59">
        <f>IF(ISBLANK(J199),,IF(ISBLANK(L199),"Ongoing","Completed"))</f>
        <v/>
      </c>
      <c r="P199" s="68">
        <f>IF(ISBLANK(A199),,IF(AND(COUNTA(F199)=1,S199&gt;0),"Profit",IF(AND(COUNTA(G199)=1,S199&lt;0),"Profit","Loss")))</f>
        <v/>
      </c>
      <c r="Q199" s="26">
        <f>IF(ISBLANK(T199),,IF(P199="Profit",IF(S199&lt;0,T199*-S199,T199*S199),IF(S199&gt;0,T199*-S199,T199*S199)))</f>
        <v/>
      </c>
      <c r="R199" s="59">
        <f>IF($Q199&gt;0, TRUE, FALSE)</f>
        <v/>
      </c>
      <c r="S199" s="59">
        <f>IF(ISBLANK(J199),,IF(ISBLANK(L199),N199-K199,M199-K199))</f>
        <v/>
      </c>
      <c r="T199" s="61">
        <f>IF(ISBLANK(J199),,ROUNDDOWN(T$1/K199,0))</f>
        <v/>
      </c>
      <c r="U199" s="62" t="n"/>
      <c r="V199" s="57" t="n"/>
      <c r="W199" s="57" t="n"/>
      <c r="X199" s="57" t="n"/>
      <c r="Y199" s="57" t="n"/>
      <c r="Z199" s="57" t="n"/>
      <c r="AA199" s="63" t="n"/>
    </row>
    <row r="200" hidden="1" ht="13.5" customHeight="1" s="56">
      <c r="A200" s="57" t="inlineStr">
        <is>
          <t>AVGO</t>
        </is>
      </c>
      <c r="B200" s="69" t="n">
        <v>16</v>
      </c>
      <c r="C200" s="59" t="n">
        <v>122.3</v>
      </c>
      <c r="D200" s="61" t="n">
        <v>31.25</v>
      </c>
      <c r="E200" s="61" t="n">
        <v>1.533</v>
      </c>
      <c r="F200" s="61" t="n"/>
      <c r="G200" s="67" t="n">
        <v>45259</v>
      </c>
      <c r="H200" s="74" t="n"/>
      <c r="I200" s="67" t="n">
        <v>45268</v>
      </c>
      <c r="J200" s="23">
        <f>IF(ISBLANK(F200:G200),,IF(COUNTA(F200)=0,G200,F200))</f>
        <v/>
      </c>
      <c r="K200" s="6">
        <f>IFERROR(__xludf.DUMMYFUNCTION("if(isblank(J200),,index(googlefinance(A200,K$2,J200-1),2,2))"),946.35)</f>
        <v/>
      </c>
      <c r="L200" s="24">
        <f>IF(ISBLANK(H200:I200),,IF(COUNTA(H200)=0,I200,H200))</f>
        <v/>
      </c>
      <c r="M200" s="7">
        <f>IFERROR(__xludf.DUMMYFUNCTION("if(isblank(L200),, index(googlefinance(A200,M$2,L200-1),2,2))"),922.26)</f>
        <v/>
      </c>
      <c r="N200" s="8">
        <f>IFERROR(__xludf.DUMMYFUNCTION("if(isblank(A200),,googlefinance(A200))"),1235.5)</f>
        <v/>
      </c>
      <c r="O200" s="59">
        <f>IF(ISBLANK(J200),,IF(ISBLANK(L200),"Ongoing","Completed"))</f>
        <v/>
      </c>
      <c r="P200" s="68">
        <f>IF(ISBLANK(A200),,IF(AND(COUNTA(F200)=1,S200&gt;0),"Profit",IF(AND(COUNTA(G200)=1,S200&lt;0),"Profit","Loss")))</f>
        <v/>
      </c>
      <c r="Q200" s="26">
        <f>IF(ISBLANK(T200),,IF(P200="Profit",IF(S200&lt;0,T200*-S200,T200*S200),IF(S200&gt;0,T200*-S200,T200*S200)))</f>
        <v/>
      </c>
      <c r="R200" s="59">
        <f>IF($Q200&gt;0, TRUE, FALSE)</f>
        <v/>
      </c>
      <c r="S200" s="59">
        <f>IF(ISBLANK(J200),,IF(ISBLANK(L200),N200-K200,M200-K200))</f>
        <v/>
      </c>
      <c r="T200" s="61">
        <f>IF(ISBLANK(J200),,ROUNDDOWN(T$1/K200,0))</f>
        <v/>
      </c>
      <c r="U200" s="62" t="n"/>
      <c r="V200" s="57" t="n"/>
      <c r="W200" s="57" t="n"/>
      <c r="X200" s="57" t="n"/>
      <c r="Y200" s="57" t="n"/>
      <c r="Z200" s="57" t="n"/>
      <c r="AA200" s="63" t="n"/>
    </row>
    <row r="201" hidden="1" ht="13.5" customHeight="1" s="56">
      <c r="A201" s="57" t="inlineStr">
        <is>
          <t>GILD</t>
        </is>
      </c>
      <c r="B201" s="69" t="n">
        <v>7</v>
      </c>
      <c r="C201" s="59" t="n">
        <v>129.99</v>
      </c>
      <c r="D201" s="61" t="n">
        <v>71.429</v>
      </c>
      <c r="E201" s="61" t="n">
        <v>5.49</v>
      </c>
      <c r="F201" s="67" t="n">
        <v>45260</v>
      </c>
      <c r="G201" s="74" t="n"/>
      <c r="H201" s="67" t="n">
        <v>45278</v>
      </c>
      <c r="I201" s="74" t="n"/>
      <c r="J201" s="28">
        <f>IF(ISBLANK(F201:G201),,IF(COUNTA(F201)=0,G201,F201))</f>
        <v/>
      </c>
      <c r="K201" s="6">
        <f>IFERROR(__xludf.DUMMYFUNCTION("if(isblank(J201),,index(googlefinance(A201,K$2,J201-1),2,2))"),75.23)</f>
        <v/>
      </c>
      <c r="L201" s="29">
        <f>IF(ISBLANK(H201:I201),,IF(COUNTA(H201)=0,I201,H201))</f>
        <v/>
      </c>
      <c r="M201" s="7">
        <f>IFERROR(__xludf.DUMMYFUNCTION("if(isblank(L201),, index(googlefinance(A201,M$2,L201-1),2,2))"),79.5)</f>
        <v/>
      </c>
      <c r="N201" s="8">
        <f>IFERROR(__xludf.DUMMYFUNCTION("if(isblank(A201),,googlefinance(A201))"),73.69)</f>
        <v/>
      </c>
      <c r="O201" s="59">
        <f>IF(ISBLANK(J201),,IF(ISBLANK(L201),"Ongoing","Completed"))</f>
        <v/>
      </c>
      <c r="P201" s="68">
        <f>IF(ISBLANK(A201),,IF(AND(COUNTA(F201)=1,S201&gt;0),"Profit",IF(AND(COUNTA(G201)=1,S201&lt;0),"Profit","Loss")))</f>
        <v/>
      </c>
      <c r="Q201" s="26">
        <f>IF(ISBLANK(T201),,IF(P201="Profit",IF(S201&lt;0,T201*-S201,T201*S201),IF(S201&gt;0,T201*-S201,T201*S201)))</f>
        <v/>
      </c>
      <c r="R201" s="59">
        <f>IF($Q201&gt;0, TRUE, FALSE)</f>
        <v/>
      </c>
      <c r="S201" s="59">
        <f>IF(ISBLANK(J201),,IF(ISBLANK(L201),N201-K201,M201-K201))</f>
        <v/>
      </c>
      <c r="T201" s="61">
        <f>IF(ISBLANK(J201),,ROUNDDOWN(T$1/K201,0))</f>
        <v/>
      </c>
      <c r="U201" s="62" t="n"/>
      <c r="V201" s="57" t="n"/>
      <c r="W201" s="57" t="n"/>
      <c r="X201" s="57" t="n"/>
      <c r="Y201" s="57" t="n"/>
      <c r="Z201" s="57" t="n"/>
      <c r="AA201" s="63" t="n"/>
    </row>
    <row r="202" hidden="1" ht="13.5" customHeight="1" s="56">
      <c r="A202" s="57" t="inlineStr">
        <is>
          <t>HRL</t>
        </is>
      </c>
      <c r="B202" s="69" t="n">
        <v>13</v>
      </c>
      <c r="C202" s="61" t="n">
        <v>52.32</v>
      </c>
      <c r="D202" s="61" t="n">
        <v>53.846</v>
      </c>
      <c r="E202" s="61" t="n">
        <v>1.757</v>
      </c>
      <c r="F202" s="67" t="n">
        <v>45261</v>
      </c>
      <c r="G202" s="74" t="n"/>
      <c r="H202" s="67" t="n">
        <v>45268</v>
      </c>
      <c r="I202" s="74" t="n"/>
      <c r="J202" s="28">
        <f>IF(ISBLANK(F202:G202),,IF(COUNTA(F202)=0,G202,F202))</f>
        <v/>
      </c>
      <c r="K202" s="6">
        <f>IFERROR(__xludf.DUMMYFUNCTION("if(isblank(J202),,index(googlefinance(A202,K$2,J202-1),2,2))"),30.59)</f>
        <v/>
      </c>
      <c r="L202" s="29">
        <f>IF(ISBLANK(H202:I202),,IF(COUNTA(H202)=0,I202,H202))</f>
        <v/>
      </c>
      <c r="M202" s="7">
        <f>IFERROR(__xludf.DUMMYFUNCTION("if(isblank(L202),, index(googlefinance(A202,M$2,L202-1),2,2))"),31.85)</f>
        <v/>
      </c>
      <c r="N202" s="8">
        <f>IFERROR(__xludf.DUMMYFUNCTION("if(isblank(A202),,googlefinance(A202))"),34.14)</f>
        <v/>
      </c>
      <c r="O202" s="59">
        <f>IF(ISBLANK(J202),,IF(ISBLANK(L202),"Ongoing","Completed"))</f>
        <v/>
      </c>
      <c r="P202" s="68">
        <f>IF(ISBLANK(A202),,IF(AND(COUNTA(F202)=1,S202&gt;0),"Profit",IF(AND(COUNTA(G202)=1,S202&lt;0),"Profit","Loss")))</f>
        <v/>
      </c>
      <c r="Q202" s="26">
        <f>IF(ISBLANK(T202),,IF(P202="Profit",IF(S202&lt;0,T202*-S202,T202*S202),IF(S202&gt;0,T202*-S202,T202*S202)))</f>
        <v/>
      </c>
      <c r="R202" s="59">
        <f>IF($Q202&gt;0, TRUE, FALSE)</f>
        <v/>
      </c>
      <c r="S202" s="59">
        <f>IF(ISBLANK(J202),,IF(ISBLANK(L202),N202-K202,M202-K202))</f>
        <v/>
      </c>
      <c r="T202" s="61">
        <f>IF(ISBLANK(J202),,ROUNDDOWN(T$1/K202,0))</f>
        <v/>
      </c>
      <c r="U202" s="62" t="n"/>
      <c r="V202" s="57" t="n"/>
      <c r="W202" s="57" t="n"/>
      <c r="X202" s="57" t="n"/>
      <c r="Y202" s="57" t="n"/>
      <c r="Z202" s="57" t="n"/>
      <c r="AA202" s="63" t="n"/>
    </row>
    <row r="203" hidden="1" ht="13.5" customHeight="1" s="56">
      <c r="A203" s="57" t="inlineStr">
        <is>
          <t>ALK</t>
        </is>
      </c>
      <c r="B203" s="69" t="n">
        <v>12</v>
      </c>
      <c r="C203" s="61" t="n">
        <v>282.81</v>
      </c>
      <c r="D203" s="61" t="n">
        <v>50</v>
      </c>
      <c r="E203" s="61" t="n">
        <v>2.731</v>
      </c>
      <c r="F203" s="74" t="n"/>
      <c r="G203" s="67" t="n">
        <v>45264</v>
      </c>
      <c r="H203" s="74" t="n"/>
      <c r="I203" s="67" t="n">
        <v>45272</v>
      </c>
      <c r="J203" s="23">
        <f>IF(ISBLANK(F203:G203),,IF(COUNTA(F203)=0,G203,F203))</f>
        <v/>
      </c>
      <c r="K203" s="6">
        <f>IFERROR(__xludf.DUMMYFUNCTION("if(isblank(J203),,index(googlefinance(A203,K$2,J203-1),2,2))"),34.08)</f>
        <v/>
      </c>
      <c r="L203" s="24">
        <f>IF(ISBLANK(H203:I203),,IF(COUNTA(H203)=0,I203,H203))</f>
        <v/>
      </c>
      <c r="M203" s="7">
        <f>IFERROR(__xludf.DUMMYFUNCTION("if(isblank(L203),, index(googlefinance(A203,M$2,L203-1),2,2))"),35.75)</f>
        <v/>
      </c>
      <c r="N203" s="8">
        <f>IFERROR(__xludf.DUMMYFUNCTION("if(isblank(A203),,googlefinance(A203))"),38.18)</f>
        <v/>
      </c>
      <c r="O203" s="59">
        <f>IF(ISBLANK(J203),,IF(ISBLANK(L203),"Ongoing","Completed"))</f>
        <v/>
      </c>
      <c r="P203" s="70">
        <f>IF(ISBLANK(A203),,IF(AND(COUNTA(F203)=1,S203&gt;0),"Profit",IF(AND(COUNTA(G203)=1,S203&lt;0),"Profit","Loss")))</f>
        <v/>
      </c>
      <c r="Q203" s="31">
        <f>IF(ISBLANK(T203),,IF(P203="Profit",IF(S203&lt;0,T203*-S203,T203*S203),IF(S203&gt;0,T203*-S203,T203*S203)))</f>
        <v/>
      </c>
      <c r="R203" s="59">
        <f>IF($Q203&gt;0, TRUE, FALSE)</f>
        <v/>
      </c>
      <c r="S203" s="59">
        <f>IF(ISBLANK(J203),,IF(ISBLANK(L203),N203-K203,M203-K203))</f>
        <v/>
      </c>
      <c r="T203" s="61">
        <f>IF(ISBLANK(J203),,ROUNDDOWN(T$1/K203,0))</f>
        <v/>
      </c>
      <c r="U203" s="62" t="n"/>
      <c r="V203" s="57" t="n"/>
      <c r="W203" s="57" t="n"/>
      <c r="X203" s="57" t="n"/>
      <c r="Y203" s="57" t="n"/>
      <c r="Z203" s="57" t="n"/>
      <c r="AA203" s="63" t="n"/>
    </row>
    <row r="204" hidden="1" ht="13.5" customHeight="1" s="56">
      <c r="A204" s="57" t="inlineStr">
        <is>
          <t>PEG</t>
        </is>
      </c>
      <c r="B204" s="69" t="n">
        <v>11</v>
      </c>
      <c r="C204" s="61" t="n">
        <v>88.3</v>
      </c>
      <c r="D204" s="61" t="n">
        <v>36.364</v>
      </c>
      <c r="E204" s="59" t="n">
        <v>1.912</v>
      </c>
      <c r="F204" s="74" t="n"/>
      <c r="G204" s="67" t="n">
        <v>45264</v>
      </c>
      <c r="H204" s="74" t="n"/>
      <c r="I204" s="67" t="n">
        <v>45273</v>
      </c>
      <c r="J204" s="23">
        <f>IF(ISBLANK(F204:G204),,IF(COUNTA(F204)=0,G204,F204))</f>
        <v/>
      </c>
      <c r="K204" s="6">
        <f>IFERROR(__xludf.DUMMYFUNCTION("if(isblank(J204),,index(googlefinance(A204,K$2,J204-1),2,2))"),63.28)</f>
        <v/>
      </c>
      <c r="L204" s="24">
        <f>IF(ISBLANK(H204:I204),,IF(COUNTA(H204)=0,I204,H204))</f>
        <v/>
      </c>
      <c r="M204" s="7">
        <f>IFERROR(__xludf.DUMMYFUNCTION("if(isblank(L204),, index(googlefinance(A204,M$2,L204-1),2,2))"),62.49)</f>
        <v/>
      </c>
      <c r="N204" s="8">
        <f>IFERROR(__xludf.DUMMYFUNCTION("if(isblank(A204),,googlefinance(A204))"),63.78)</f>
        <v/>
      </c>
      <c r="O204" s="59">
        <f>IF(ISBLANK(J204),,IF(ISBLANK(L204),"Ongoing","Completed"))</f>
        <v/>
      </c>
      <c r="P204" s="68">
        <f>IF(ISBLANK(A204),,IF(AND(COUNTA(F204)=1,S204&gt;0),"Profit",IF(AND(COUNTA(G204)=1,S204&lt;0),"Profit","Loss")))</f>
        <v/>
      </c>
      <c r="Q204" s="26">
        <f>IF(ISBLANK(T204),,IF(P204="Profit",IF(S204&lt;0,T204*-S204,T204*S204),IF(S204&gt;0,T204*-S204,T204*S204)))</f>
        <v/>
      </c>
      <c r="R204" s="59">
        <f>IF($Q204&gt;0, TRUE, FALSE)</f>
        <v/>
      </c>
      <c r="S204" s="59">
        <f>IF(ISBLANK(J204),,IF(ISBLANK(L204),N204-K204,M204-K204))</f>
        <v/>
      </c>
      <c r="T204" s="61">
        <f>IF(ISBLANK(J204),,ROUNDDOWN(T$1/K204,0))</f>
        <v/>
      </c>
      <c r="U204" s="62" t="n"/>
      <c r="V204" s="57" t="n"/>
      <c r="W204" s="57" t="n"/>
      <c r="X204" s="57" t="n"/>
      <c r="Y204" s="57" t="n"/>
      <c r="Z204" s="57" t="n"/>
      <c r="AA204" s="63" t="n"/>
    </row>
    <row r="205" hidden="1" ht="13.5" customHeight="1" s="56">
      <c r="A205" s="57" t="inlineStr">
        <is>
          <t>PM</t>
        </is>
      </c>
      <c r="B205" s="69" t="n">
        <v>13</v>
      </c>
      <c r="C205" s="61" t="n">
        <v>120.2</v>
      </c>
      <c r="D205" s="61" t="n">
        <v>30.769</v>
      </c>
      <c r="E205" s="61" t="n">
        <v>2</v>
      </c>
      <c r="F205" s="74" t="n"/>
      <c r="G205" s="67" t="n">
        <v>45264</v>
      </c>
      <c r="H205" s="74" t="n"/>
      <c r="I205" s="67" t="n">
        <v>45271</v>
      </c>
      <c r="J205" s="23">
        <f>IF(ISBLANK(F205:G205),,IF(COUNTA(F205)=0,G205,F205))</f>
        <v/>
      </c>
      <c r="K205" s="6">
        <f>IFERROR(__xludf.DUMMYFUNCTION("if(isblank(J205),,index(googlefinance(A205,K$2,J205-1),2,2))"),92.93)</f>
        <v/>
      </c>
      <c r="L205" s="24">
        <f>IF(ISBLANK(H205:I205),,IF(COUNTA(H205)=0,I205,H205))</f>
        <v/>
      </c>
      <c r="M205" s="7">
        <f>IFERROR(__xludf.DUMMYFUNCTION("if(isblank(L205),, index(googlefinance(A205,M$2,L205-1),2,2))"),92.99)</f>
        <v/>
      </c>
      <c r="N205" s="8">
        <f>IFERROR(__xludf.DUMMYFUNCTION("if(isblank(A205),,googlefinance(A205))"),94.27)</f>
        <v/>
      </c>
      <c r="O205" s="59">
        <f>IF(ISBLANK(J205),,IF(ISBLANK(L205),"Ongoing","Completed"))</f>
        <v/>
      </c>
      <c r="P205" s="70">
        <f>IF(ISBLANK(A205),,IF(AND(COUNTA(F205)=1,S205&gt;0),"Profit",IF(AND(COUNTA(G205)=1,S205&lt;0),"Profit","Loss")))</f>
        <v/>
      </c>
      <c r="Q205" s="31">
        <f>IF(ISBLANK(T205),,IF(P205="Profit",IF(S205&lt;0,T205*-S205,T205*S205),IF(S205&gt;0,T205*-S205,T205*S205)))</f>
        <v/>
      </c>
      <c r="R205" s="59">
        <f>IF($Q205&gt;0, TRUE, FALSE)</f>
        <v/>
      </c>
      <c r="S205" s="59">
        <f>IF(ISBLANK(J205),,IF(ISBLANK(L205),N205-K205,M205-K205))</f>
        <v/>
      </c>
      <c r="T205" s="61">
        <f>IF(ISBLANK(J205),,ROUNDDOWN(T$1/K205,0))</f>
        <v/>
      </c>
      <c r="U205" s="62" t="n"/>
      <c r="V205" s="57" t="n"/>
      <c r="W205" s="57" t="n"/>
      <c r="X205" s="57" t="n"/>
      <c r="Y205" s="57" t="n"/>
      <c r="Z205" s="57" t="n"/>
      <c r="AA205" s="63" t="n"/>
    </row>
    <row r="206" hidden="1" ht="13.5" customHeight="1" s="56">
      <c r="A206" s="57" t="inlineStr">
        <is>
          <t>BG</t>
        </is>
      </c>
      <c r="B206" s="69" t="n">
        <v>6</v>
      </c>
      <c r="C206" s="61" t="n">
        <v>5.51</v>
      </c>
      <c r="D206" s="61" t="n">
        <v>16.667</v>
      </c>
      <c r="E206" s="61" t="n">
        <v>1.038</v>
      </c>
      <c r="F206" s="74" t="n"/>
      <c r="G206" s="67" t="n">
        <v>45265</v>
      </c>
      <c r="H206" s="74" t="n"/>
      <c r="I206" s="67" t="n">
        <v>45279</v>
      </c>
      <c r="J206" s="23">
        <f>IF(ISBLANK(F206:G206),,IF(COUNTA(F206)=0,G206,F206))</f>
        <v/>
      </c>
      <c r="K206" s="6">
        <f>IFERROR(__xludf.DUMMYFUNCTION("if(isblank(J206),,index(googlefinance(A206,K$2,J206-1),2,2))"),107.74)</f>
        <v/>
      </c>
      <c r="L206" s="24">
        <f>IF(ISBLANK(H206:I206),,IF(COUNTA(H206)=0,I206,H206))</f>
        <v/>
      </c>
      <c r="M206" s="7">
        <f>IFERROR(__xludf.DUMMYFUNCTION("if(isblank(L206),, index(googlefinance(A206,M$2,L206-1),2,2))"),103.73)</f>
        <v/>
      </c>
      <c r="N206" s="8">
        <f>IFERROR(__xludf.DUMMYFUNCTION("if(isblank(A206),,googlefinance(A206))"),95.56)</f>
        <v/>
      </c>
      <c r="O206" s="59">
        <f>IF(ISBLANK(J206),,IF(ISBLANK(L206),"Ongoing","Completed"))</f>
        <v/>
      </c>
      <c r="P206" s="68">
        <f>IF(ISBLANK(A206),,IF(AND(COUNTA(F206)=1,S206&gt;0),"Profit",IF(AND(COUNTA(G206)=1,S206&lt;0),"Profit","Loss")))</f>
        <v/>
      </c>
      <c r="Q206" s="26">
        <f>IF(ISBLANK(T206),,IF(P206="Profit",IF(S206&lt;0,T206*-S206,T206*S206),IF(S206&gt;0,T206*-S206,T206*S206)))</f>
        <v/>
      </c>
      <c r="R206" s="59">
        <f>IF($Q206&gt;0, TRUE, FALSE)</f>
        <v/>
      </c>
      <c r="S206" s="59">
        <f>IF(ISBLANK(J206),,IF(ISBLANK(L206),N206-K206,M206-K206))</f>
        <v/>
      </c>
      <c r="T206" s="61">
        <f>IF(ISBLANK(J206),,ROUNDDOWN(T$1/K206,0))</f>
        <v/>
      </c>
      <c r="U206" s="62" t="n"/>
      <c r="V206" s="57" t="n"/>
      <c r="W206" s="57" t="n"/>
      <c r="X206" s="57" t="n"/>
      <c r="Y206" s="57" t="n"/>
      <c r="Z206" s="57" t="n"/>
      <c r="AA206" s="63" t="n"/>
    </row>
    <row r="207" hidden="1" ht="13.5" customHeight="1" s="56">
      <c r="A207" s="57" t="inlineStr">
        <is>
          <t>KMB</t>
        </is>
      </c>
      <c r="B207" s="69" t="n">
        <v>7</v>
      </c>
      <c r="C207" s="61" t="n">
        <v>67.76000000000001</v>
      </c>
      <c r="D207" s="61" t="n">
        <v>42.857</v>
      </c>
      <c r="E207" s="61" t="n">
        <v>2.524</v>
      </c>
      <c r="F207" s="74" t="n"/>
      <c r="G207" s="67" t="n">
        <v>45265</v>
      </c>
      <c r="H207" s="74" t="n"/>
      <c r="I207" s="67" t="n">
        <v>45272</v>
      </c>
      <c r="J207" s="23">
        <f>IF(ISBLANK(F207:G207),,IF(COUNTA(F207)=0,G207,F207))</f>
        <v/>
      </c>
      <c r="K207" s="6">
        <f>IFERROR(__xludf.DUMMYFUNCTION("if(isblank(J207),,index(googlefinance(A207,K$2,J207-1),2,2))"),124.17)</f>
        <v/>
      </c>
      <c r="L207" s="24">
        <f>IF(ISBLANK(H207:I207),,IF(COUNTA(H207)=0,I207,H207))</f>
        <v/>
      </c>
      <c r="M207" s="7">
        <f>IFERROR(__xludf.DUMMYFUNCTION("if(isblank(L207),, index(googlefinance(A207,M$2,L207-1),2,2))"),120.97)</f>
        <v/>
      </c>
      <c r="N207" s="8">
        <f>IFERROR(__xludf.DUMMYFUNCTION("if(isblank(A207),,googlefinance(A207))"),124.47)</f>
        <v/>
      </c>
      <c r="O207" s="59">
        <f>IF(ISBLANK(J207),,IF(ISBLANK(L207),"Ongoing","Completed"))</f>
        <v/>
      </c>
      <c r="P207" s="68">
        <f>IF(ISBLANK(A207),,IF(AND(COUNTA(F207)=1,S207&gt;0),"Profit",IF(AND(COUNTA(G207)=1,S207&lt;0),"Profit","Loss")))</f>
        <v/>
      </c>
      <c r="Q207" s="26">
        <f>IF(ISBLANK(T207),,IF(P207="Profit",IF(S207&lt;0,T207*-S207,T207*S207),IF(S207&gt;0,T207*-S207,T207*S207)))</f>
        <v/>
      </c>
      <c r="R207" s="59">
        <f>IF($Q207&gt;0, TRUE, FALSE)</f>
        <v/>
      </c>
      <c r="S207" s="59">
        <f>IF(ISBLANK(J207),,IF(ISBLANK(L207),N207-K207,M207-K207))</f>
        <v/>
      </c>
      <c r="T207" s="61">
        <f>IF(ISBLANK(J207),,ROUNDDOWN(T$1/K207,0))</f>
        <v/>
      </c>
      <c r="U207" s="62" t="n"/>
      <c r="V207" s="57" t="n"/>
      <c r="W207" s="57" t="n"/>
      <c r="X207" s="57" t="n"/>
      <c r="Y207" s="57" t="n"/>
      <c r="Z207" s="57" t="n"/>
      <c r="AA207" s="63" t="n"/>
    </row>
    <row r="208" hidden="1" ht="13.5" customHeight="1" s="56">
      <c r="A208" s="57" t="inlineStr">
        <is>
          <t>NWSA</t>
        </is>
      </c>
      <c r="B208" s="69" t="n">
        <v>7</v>
      </c>
      <c r="C208" s="61" t="n">
        <v>226.58</v>
      </c>
      <c r="D208" s="61" t="n">
        <v>28.571</v>
      </c>
      <c r="E208" s="61" t="n">
        <v>3.959</v>
      </c>
      <c r="F208" s="74" t="n"/>
      <c r="G208" s="67" t="n">
        <v>45265</v>
      </c>
      <c r="H208" s="74" t="n"/>
      <c r="I208" s="67" t="n">
        <v>45271</v>
      </c>
      <c r="J208" s="23">
        <f>IF(ISBLANK(F208:G208),,IF(COUNTA(F208)=0,G208,F208))</f>
        <v/>
      </c>
      <c r="K208" s="6">
        <f>IFERROR(__xludf.DUMMYFUNCTION("if(isblank(J208),,index(googlefinance(A208,K$2,J208-1),2,2))"),22.06)</f>
        <v/>
      </c>
      <c r="L208" s="24">
        <f>IF(ISBLANK(H208:I208),,IF(COUNTA(H208)=0,I208,H208))</f>
        <v/>
      </c>
      <c r="M208" s="7">
        <f>IFERROR(__xludf.DUMMYFUNCTION("if(isblank(L208),, index(googlefinance(A208,M$2,L208-1),2,2))"),22.07)</f>
        <v/>
      </c>
      <c r="N208" s="8">
        <f>IFERROR(__xludf.DUMMYFUNCTION("if(isblank(A208),,googlefinance(A208))"),25.51)</f>
        <v/>
      </c>
      <c r="O208" s="59">
        <f>IF(ISBLANK(J208),,IF(ISBLANK(L208),"Ongoing","Completed"))</f>
        <v/>
      </c>
      <c r="P208" s="70">
        <f>IF(ISBLANK(A208),,IF(AND(COUNTA(F208)=1,S208&gt;0),"Profit",IF(AND(COUNTA(G208)=1,S208&lt;0),"Profit","Loss")))</f>
        <v/>
      </c>
      <c r="Q208" s="31">
        <f>IF(ISBLANK(T208),,IF(P208="Profit",IF(S208&lt;0,T208*-S208,T208*S208),IF(S208&gt;0,T208*-S208,T208*S208)))</f>
        <v/>
      </c>
      <c r="R208" s="59">
        <f>IF($Q208&gt;0, TRUE, FALSE)</f>
        <v/>
      </c>
      <c r="S208" s="59">
        <f>IF(ISBLANK(J208),,IF(ISBLANK(L208),N208-K208,M208-K208))</f>
        <v/>
      </c>
      <c r="T208" s="61">
        <f>IF(ISBLANK(J208),,ROUNDDOWN(T$1/K208,0))</f>
        <v/>
      </c>
      <c r="U208" s="62" t="n"/>
      <c r="V208" s="57" t="n"/>
      <c r="W208" s="57" t="n"/>
      <c r="X208" s="57" t="n"/>
      <c r="Y208" s="57" t="n"/>
      <c r="Z208" s="57" t="n"/>
      <c r="AA208" s="63" t="n"/>
    </row>
    <row r="209" hidden="1" ht="13.5" customHeight="1" s="56">
      <c r="A209" s="57" t="inlineStr">
        <is>
          <t>CDNS</t>
        </is>
      </c>
      <c r="B209" s="69" t="n">
        <v>12</v>
      </c>
      <c r="C209" s="61" t="n">
        <v>96.95999999999999</v>
      </c>
      <c r="D209" s="61" t="n">
        <v>41.667</v>
      </c>
      <c r="E209" s="59" t="n">
        <v>1.582</v>
      </c>
      <c r="F209" s="74" t="n"/>
      <c r="G209" s="67" t="n">
        <v>45266</v>
      </c>
      <c r="H209" s="74" t="n"/>
      <c r="I209" s="67" t="n">
        <v>45271</v>
      </c>
      <c r="J209" s="23">
        <f>IF(ISBLANK(F209:G209),,IF(COUNTA(F209)=0,G209,F209))</f>
        <v/>
      </c>
      <c r="K209" s="6">
        <f>IFERROR(__xludf.DUMMYFUNCTION("if(isblank(J209),,index(googlefinance(A209,K$2,J209-1),2,2))"),262.18)</f>
        <v/>
      </c>
      <c r="L209" s="24">
        <f>IF(ISBLANK(H209:I209),,IF(COUNTA(H209)=0,I209,H209))</f>
        <v/>
      </c>
      <c r="M209" s="7">
        <f>IFERROR(__xludf.DUMMYFUNCTION("if(isblank(L209),, index(googlefinance(A209,M$2,L209-1),2,2))"),268.75)</f>
        <v/>
      </c>
      <c r="N209" s="8">
        <f>IFERROR(__xludf.DUMMYFUNCTION("if(isblank(A209),,googlefinance(A209))"),298.44)</f>
        <v/>
      </c>
      <c r="O209" s="59">
        <f>IF(ISBLANK(J209),,IF(ISBLANK(L209),"Ongoing","Completed"))</f>
        <v/>
      </c>
      <c r="P209" s="70">
        <f>IF(ISBLANK(A209),,IF(AND(COUNTA(F209)=1,S209&gt;0),"Profit",IF(AND(COUNTA(G209)=1,S209&lt;0),"Profit","Loss")))</f>
        <v/>
      </c>
      <c r="Q209" s="31">
        <f>IF(ISBLANK(T209),,IF(P209="Profit",IF(S209&lt;0,T209*-S209,T209*S209),IF(S209&gt;0,T209*-S209,T209*S209)))</f>
        <v/>
      </c>
      <c r="R209" s="59">
        <f>IF($Q209&gt;0, TRUE, FALSE)</f>
        <v/>
      </c>
      <c r="S209" s="59">
        <f>IF(ISBLANK(J209),,IF(ISBLANK(L209),N209-K209,M209-K209))</f>
        <v/>
      </c>
      <c r="T209" s="61">
        <f>IF(ISBLANK(J209),,ROUNDDOWN(T$1/K209,0))</f>
        <v/>
      </c>
      <c r="U209" s="62" t="n"/>
      <c r="V209" s="57" t="n"/>
      <c r="W209" s="57" t="n"/>
      <c r="X209" s="57" t="n"/>
      <c r="Y209" s="57" t="n"/>
      <c r="Z209" s="57" t="n"/>
      <c r="AA209" s="63" t="n"/>
    </row>
    <row r="210" hidden="1" ht="13.5" customHeight="1" s="56">
      <c r="A210" s="57" t="inlineStr">
        <is>
          <t>NWS</t>
        </is>
      </c>
      <c r="B210" s="69" t="n">
        <v>10</v>
      </c>
      <c r="C210" s="61" t="n">
        <v>144.06</v>
      </c>
      <c r="D210" s="61" t="n">
        <v>10</v>
      </c>
      <c r="E210" s="61" t="n">
        <v>1.788</v>
      </c>
      <c r="F210" s="74" t="n"/>
      <c r="G210" s="67" t="n">
        <v>45266</v>
      </c>
      <c r="H210" s="74" t="n"/>
      <c r="I210" s="67" t="n">
        <v>45271</v>
      </c>
      <c r="J210" s="23">
        <f>IF(ISBLANK(F210:G210),,IF(COUNTA(F210)=0,G210,F210))</f>
        <v/>
      </c>
      <c r="K210" s="6">
        <f>IFERROR(__xludf.DUMMYFUNCTION("if(isblank(J210),,index(googlefinance(A210,K$2,J210-1),2,2))"),22.72)</f>
        <v/>
      </c>
      <c r="L210" s="24">
        <f>IF(ISBLANK(H210:I210),,IF(COUNTA(H210)=0,I210,H210))</f>
        <v/>
      </c>
      <c r="M210" s="7">
        <f>IFERROR(__xludf.DUMMYFUNCTION("if(isblank(L210),, index(googlefinance(A210,M$2,L210-1),2,2))"),23.1)</f>
        <v/>
      </c>
      <c r="N210" s="8">
        <f>IFERROR(__xludf.DUMMYFUNCTION("if(isblank(A210),,googlefinance(A210))"),26.44)</f>
        <v/>
      </c>
      <c r="O210" s="59">
        <f>IF(ISBLANK(J210),,IF(ISBLANK(L210),"Ongoing","Completed"))</f>
        <v/>
      </c>
      <c r="P210" s="70">
        <f>IF(ISBLANK(A210),,IF(AND(COUNTA(F210)=1,S210&gt;0),"Profit",IF(AND(COUNTA(G210)=1,S210&lt;0),"Profit","Loss")))</f>
        <v/>
      </c>
      <c r="Q210" s="31">
        <f>IF(ISBLANK(T210),,IF(P210="Profit",IF(S210&lt;0,T210*-S210,T210*S210),IF(S210&gt;0,T210*-S210,T210*S210)))</f>
        <v/>
      </c>
      <c r="R210" s="59">
        <f>IF($Q210&gt;0, TRUE, FALSE)</f>
        <v/>
      </c>
      <c r="S210" s="59">
        <f>IF(ISBLANK(J210),,IF(ISBLANK(L210),N210-K210,M210-K210))</f>
        <v/>
      </c>
      <c r="T210" s="61">
        <f>IF(ISBLANK(J210),,ROUNDDOWN(T$1/K210,0))</f>
        <v/>
      </c>
      <c r="U210" s="62" t="n"/>
      <c r="V210" s="57" t="n"/>
      <c r="W210" s="57" t="n"/>
      <c r="X210" s="57" t="n"/>
      <c r="Y210" s="57" t="n"/>
      <c r="Z210" s="57" t="n"/>
      <c r="AA210" s="63" t="n"/>
    </row>
    <row r="211" hidden="1" ht="13.5" customHeight="1" s="56">
      <c r="A211" s="57" t="inlineStr">
        <is>
          <t>WMB</t>
        </is>
      </c>
      <c r="B211" s="69" t="n">
        <v>11</v>
      </c>
      <c r="C211" s="61" t="n">
        <v>429.66</v>
      </c>
      <c r="D211" s="61" t="n">
        <v>45.455</v>
      </c>
      <c r="E211" s="61" t="n">
        <v>3.425</v>
      </c>
      <c r="F211" s="74" t="n"/>
      <c r="G211" s="67" t="n">
        <v>45266</v>
      </c>
      <c r="H211" s="74" t="n"/>
      <c r="I211" s="67" t="n">
        <v>45282</v>
      </c>
      <c r="J211" s="23">
        <f>IF(ISBLANK(F211:G211),,IF(COUNTA(F211)=0,G211,F211))</f>
        <v/>
      </c>
      <c r="K211" s="6">
        <f>IFERROR(__xludf.DUMMYFUNCTION("if(isblank(J211),,index(googlefinance(A211,K$2,J211-1),2,2))"),36.26)</f>
        <v/>
      </c>
      <c r="L211" s="24">
        <f>IF(ISBLANK(H211:I211),,IF(COUNTA(H211)=0,I211,H211))</f>
        <v/>
      </c>
      <c r="M211" s="7">
        <f>IFERROR(__xludf.DUMMYFUNCTION("if(isblank(L211),, index(googlefinance(A211,M$2,L211-1),2,2))"),34.97)</f>
        <v/>
      </c>
      <c r="N211" s="8">
        <f>IFERROR(__xludf.DUMMYFUNCTION("if(isblank(A211),,googlefinance(A211))"),37.0)</f>
        <v/>
      </c>
      <c r="O211" s="59">
        <f>IF(ISBLANK(J211),,IF(ISBLANK(L211),"Ongoing","Completed"))</f>
        <v/>
      </c>
      <c r="P211" s="68">
        <f>IF(ISBLANK(A211),,IF(AND(COUNTA(F211)=1,S211&gt;0),"Profit",IF(AND(COUNTA(G211)=1,S211&lt;0),"Profit","Loss")))</f>
        <v/>
      </c>
      <c r="Q211" s="26">
        <f>IF(ISBLANK(T211),,IF(P211="Profit",IF(S211&lt;0,T211*-S211,T211*S211),IF(S211&gt;0,T211*-S211,T211*S211)))</f>
        <v/>
      </c>
      <c r="R211" s="59">
        <f>IF($Q211&gt;0, TRUE, FALSE)</f>
        <v/>
      </c>
      <c r="S211" s="59">
        <f>IF(ISBLANK(J211),,IF(ISBLANK(L211),N211-K211,M211-K211))</f>
        <v/>
      </c>
      <c r="T211" s="61">
        <f>IF(ISBLANK(J211),,ROUNDDOWN(T$1/K211,0))</f>
        <v/>
      </c>
      <c r="U211" s="62" t="n"/>
      <c r="V211" s="57" t="n"/>
      <c r="W211" s="57" t="n"/>
      <c r="X211" s="57" t="n"/>
      <c r="Y211" s="57" t="n"/>
      <c r="Z211" s="57" t="n"/>
      <c r="AA211" s="63" t="n"/>
    </row>
    <row r="212" hidden="1" ht="13.5" customHeight="1" s="56">
      <c r="A212" s="57" t="inlineStr">
        <is>
          <t>PSX</t>
        </is>
      </c>
      <c r="B212" s="69" t="n">
        <v>16</v>
      </c>
      <c r="C212" s="61" t="n">
        <v>389.78</v>
      </c>
      <c r="D212" s="61" t="n">
        <v>43.75</v>
      </c>
      <c r="E212" s="61" t="n">
        <v>2.145</v>
      </c>
      <c r="F212" s="74" t="n"/>
      <c r="G212" s="67" t="n">
        <v>45268</v>
      </c>
      <c r="H212" s="74" t="n"/>
      <c r="I212" s="67" t="n">
        <v>45273</v>
      </c>
      <c r="J212" s="23">
        <f>IF(ISBLANK(F212:G212),,IF(COUNTA(F212)=0,G212,F212))</f>
        <v/>
      </c>
      <c r="K212" s="6">
        <f>IFERROR(__xludf.DUMMYFUNCTION("if(isblank(J212),,index(googlefinance(A212,K$2,J212-1),2,2))"),124.62)</f>
        <v/>
      </c>
      <c r="L212" s="24">
        <f>IF(ISBLANK(H212:I212),,IF(COUNTA(H212)=0,I212,H212))</f>
        <v/>
      </c>
      <c r="M212" s="7">
        <f>IFERROR(__xludf.DUMMYFUNCTION("if(isblank(L212),, index(googlefinance(A212,M$2,L212-1),2,2))"),125.22)</f>
        <v/>
      </c>
      <c r="N212" s="8">
        <f>IFERROR(__xludf.DUMMYFUNCTION("if(isblank(A212),,googlefinance(A212))"),159.03)</f>
        <v/>
      </c>
      <c r="O212" s="59">
        <f>IF(ISBLANK(J212),,IF(ISBLANK(L212),"Ongoing","Completed"))</f>
        <v/>
      </c>
      <c r="P212" s="70">
        <f>IF(ISBLANK(A212),,IF(AND(COUNTA(F212)=1,S212&gt;0),"Profit",IF(AND(COUNTA(G212)=1,S212&lt;0),"Profit","Loss")))</f>
        <v/>
      </c>
      <c r="Q212" s="31">
        <f>IF(ISBLANK(T212),,IF(P212="Profit",IF(S212&lt;0,T212*-S212,T212*S212),IF(S212&gt;0,T212*-S212,T212*S212)))</f>
        <v/>
      </c>
      <c r="R212" s="59">
        <f>IF($Q212&gt;0, TRUE, FALSE)</f>
        <v/>
      </c>
      <c r="S212" s="59">
        <f>IF(ISBLANK(J212),,IF(ISBLANK(L212),N212-K212,M212-K212))</f>
        <v/>
      </c>
      <c r="T212" s="61">
        <f>IF(ISBLANK(J212),,ROUNDDOWN(T$1/K212,0))</f>
        <v/>
      </c>
      <c r="U212" s="62" t="n"/>
      <c r="V212" s="57" t="n"/>
      <c r="W212" s="57" t="n"/>
      <c r="X212" s="57" t="n"/>
      <c r="Y212" s="57" t="n"/>
      <c r="Z212" s="57" t="n"/>
      <c r="AA212" s="63" t="n"/>
    </row>
    <row r="213" hidden="1" ht="13.5" customHeight="1" s="56">
      <c r="A213" s="57" t="inlineStr">
        <is>
          <t>STLD</t>
        </is>
      </c>
      <c r="B213" s="69" t="n">
        <v>15</v>
      </c>
      <c r="C213" s="61" t="n">
        <v>193.84</v>
      </c>
      <c r="D213" s="61" t="n">
        <v>33.333</v>
      </c>
      <c r="E213" s="61" t="n">
        <v>1.539</v>
      </c>
      <c r="F213" s="74" t="n"/>
      <c r="G213" s="67" t="n">
        <v>45268</v>
      </c>
      <c r="H213" s="74" t="n"/>
      <c r="I213" s="67" t="n">
        <v>45274</v>
      </c>
      <c r="J213" s="23">
        <f>IF(ISBLANK(F213:G213),,IF(COUNTA(F213)=0,G213,F213))</f>
        <v/>
      </c>
      <c r="K213" s="6">
        <f>IFERROR(__xludf.DUMMYFUNCTION("if(isblank(J213),,index(googlefinance(A213,K$2,J213-1),2,2))"),114.41)</f>
        <v/>
      </c>
      <c r="L213" s="24">
        <f>IF(ISBLANK(H213:I213),,IF(COUNTA(H213)=0,I213,H213))</f>
        <v/>
      </c>
      <c r="M213" s="7">
        <f>IFERROR(__xludf.DUMMYFUNCTION("if(isblank(L213),, index(googlefinance(A213,M$2,L213-1),2,2))"),115.36)</f>
        <v/>
      </c>
      <c r="N213" s="8">
        <f>IFERROR(__xludf.DUMMYFUNCTION("if(isblank(A213),,googlefinance(A213))"),137.9)</f>
        <v/>
      </c>
      <c r="O213" s="59">
        <f>IF(ISBLANK(J213),,IF(ISBLANK(L213),"Ongoing","Completed"))</f>
        <v/>
      </c>
      <c r="P213" s="70">
        <f>IF(ISBLANK(A213),,IF(AND(COUNTA(F213)=1,S213&gt;0),"Profit",IF(AND(COUNTA(G213)=1,S213&lt;0),"Profit","Loss")))</f>
        <v/>
      </c>
      <c r="Q213" s="31">
        <f>IF(ISBLANK(T213),,IF(P213="Profit",IF(S213&lt;0,T213*-S213,T213*S213),IF(S213&gt;0,T213*-S213,T213*S213)))</f>
        <v/>
      </c>
      <c r="R213" s="59">
        <f>IF($Q213&gt;0, TRUE, FALSE)</f>
        <v/>
      </c>
      <c r="S213" s="59">
        <f>IF(ISBLANK(J213),,IF(ISBLANK(L213),N213-K213,M213-K213))</f>
        <v/>
      </c>
      <c r="T213" s="61">
        <f>IF(ISBLANK(J213),,ROUNDDOWN(T$1/K213,0))</f>
        <v/>
      </c>
      <c r="U213" s="62" t="n"/>
      <c r="V213" s="57" t="n"/>
      <c r="W213" s="57" t="n"/>
      <c r="X213" s="57" t="n"/>
      <c r="Y213" s="57" t="n"/>
      <c r="Z213" s="57" t="n"/>
      <c r="AA213" s="63" t="n"/>
    </row>
    <row r="214" hidden="1" ht="13.5" customHeight="1" s="56">
      <c r="A214" s="57" t="inlineStr">
        <is>
          <t>NUE</t>
        </is>
      </c>
      <c r="B214" s="69" t="n">
        <v>11</v>
      </c>
      <c r="C214" s="61" t="n">
        <v>184.14</v>
      </c>
      <c r="D214" s="61" t="n">
        <v>36.364</v>
      </c>
      <c r="E214" s="59" t="n">
        <v>1.735</v>
      </c>
      <c r="F214" s="66" t="n"/>
      <c r="G214" s="67" t="n">
        <v>45268</v>
      </c>
      <c r="H214" s="74" t="n"/>
      <c r="I214" s="67" t="n">
        <v>45273</v>
      </c>
      <c r="J214" s="23">
        <f>IF(ISBLANK(F214:G214),,IF(COUNTA(F214)=0,G214,F214))</f>
        <v/>
      </c>
      <c r="K214" s="6">
        <f>IFERROR(__xludf.DUMMYFUNCTION("if(isblank(J214),,index(googlefinance(A214,K$2,J214-1),2,2))"),163.22)</f>
        <v/>
      </c>
      <c r="L214" s="24">
        <f>IF(ISBLANK(H214:I214),,IF(COUNTA(H214)=0,I214,H214))</f>
        <v/>
      </c>
      <c r="M214" s="7">
        <f>IFERROR(__xludf.DUMMYFUNCTION("if(isblank(L214),, index(googlefinance(A214,M$2,L214-1),2,2))"),163.76)</f>
        <v/>
      </c>
      <c r="N214" s="8">
        <f>IFERROR(__xludf.DUMMYFUNCTION("if(isblank(A214),,googlefinance(A214))"),188.48)</f>
        <v/>
      </c>
      <c r="O214" s="59">
        <f>IF(ISBLANK(J214),,IF(ISBLANK(L214),"Ongoing","Completed"))</f>
        <v/>
      </c>
      <c r="P214" s="70">
        <f>IF(ISBLANK(A214),,IF(AND(COUNTA(F214)=1,S214&gt;0),"Profit",IF(AND(COUNTA(G214)=1,S214&lt;0),"Profit","Loss")))</f>
        <v/>
      </c>
      <c r="Q214" s="31">
        <f>IF(ISBLANK(T214),,IF(P214="Profit",IF(S214&lt;0,T214*-S214,T214*S214),IF(S214&gt;0,T214*-S214,T214*S214)))</f>
        <v/>
      </c>
      <c r="R214" s="59">
        <f>IF($Q214&gt;0, TRUE, FALSE)</f>
        <v/>
      </c>
      <c r="S214" s="59">
        <f>IF(ISBLANK(J214),,IF(ISBLANK(L214),N214-K214,M214-K214))</f>
        <v/>
      </c>
      <c r="T214" s="61">
        <f>IF(ISBLANK(J214),,ROUNDDOWN(T$1/K214,0))</f>
        <v/>
      </c>
      <c r="U214" s="62" t="n"/>
      <c r="V214" s="57" t="n"/>
      <c r="W214" s="57" t="n"/>
      <c r="X214" s="57" t="n"/>
      <c r="Y214" s="57" t="n"/>
      <c r="Z214" s="57" t="n"/>
      <c r="AA214" s="63" t="n"/>
    </row>
    <row r="215" hidden="1" ht="13.5" customHeight="1" s="56">
      <c r="A215" s="57" t="inlineStr">
        <is>
          <t>MKC</t>
        </is>
      </c>
      <c r="B215" s="69" t="n">
        <v>12</v>
      </c>
      <c r="C215" s="61" t="n">
        <v>257.865</v>
      </c>
      <c r="D215" s="61" t="n">
        <v>66.667</v>
      </c>
      <c r="E215" s="61" t="n">
        <v>2.292</v>
      </c>
      <c r="F215" s="66" t="n"/>
      <c r="G215" s="67" t="n">
        <v>45275</v>
      </c>
      <c r="H215" s="74" t="n"/>
      <c r="I215" s="67" t="n">
        <v>45287</v>
      </c>
      <c r="J215" s="23">
        <f>IF(ISBLANK(F215:G215),,IF(COUNTA(F215)=0,G215,F215))</f>
        <v/>
      </c>
      <c r="K215" s="6">
        <f>IFERROR(__xludf.DUMMYFUNCTION("if(isblank(J215),,index(googlefinance(A215,K$2,J215-1),2,2))"),68.28)</f>
        <v/>
      </c>
      <c r="L215" s="24">
        <f>IF(ISBLANK(H215:I215),,IF(COUNTA(H215)=0,I215,H215))</f>
        <v/>
      </c>
      <c r="M215" s="7">
        <f>IFERROR(__xludf.DUMMYFUNCTION("if(isblank(L215),, index(googlefinance(A215,M$2,L215-1),2,2))"),68.16)</f>
        <v/>
      </c>
      <c r="N215" s="8">
        <f>IFERROR(__xludf.DUMMYFUNCTION("if(isblank(A215),,googlefinance(A215))"),68.17)</f>
        <v/>
      </c>
      <c r="O215" s="59">
        <f>IF(ISBLANK(J215),,IF(ISBLANK(L215),"Ongoing","Completed"))</f>
        <v/>
      </c>
      <c r="P215" s="68">
        <f>IF(ISBLANK(A215),,IF(AND(COUNTA(F215)=1,S215&gt;0),"Profit",IF(AND(COUNTA(G215)=1,S215&lt;0),"Profit","Loss")))</f>
        <v/>
      </c>
      <c r="Q215" s="26">
        <f>IF(ISBLANK(T215),,IF(P215="Profit",IF(S215&lt;0,T215*-S215,T215*S215),IF(S215&gt;0,T215*-S215,T215*S215)))</f>
        <v/>
      </c>
      <c r="R215" s="59">
        <f>IF($Q215&gt;0, TRUE, FALSE)</f>
        <v/>
      </c>
      <c r="S215" s="59">
        <f>IF(ISBLANK(J215),,IF(ISBLANK(L215),N215-K215,M215-K215))</f>
        <v/>
      </c>
      <c r="T215" s="61">
        <f>IF(ISBLANK(J215),,ROUNDDOWN(T$1/K215,0))</f>
        <v/>
      </c>
      <c r="U215" s="62" t="n"/>
      <c r="V215" s="57" t="n"/>
      <c r="W215" s="57" t="n"/>
      <c r="X215" s="57" t="n"/>
      <c r="Y215" s="57" t="n"/>
      <c r="Z215" s="57" t="n"/>
      <c r="AA215" s="63" t="n"/>
    </row>
    <row r="216" hidden="1" ht="13.5" customHeight="1" s="56">
      <c r="A216" s="57" t="inlineStr">
        <is>
          <t>NEE</t>
        </is>
      </c>
      <c r="B216" s="69" t="n">
        <v>13</v>
      </c>
      <c r="C216" s="61" t="n">
        <v>3.05</v>
      </c>
      <c r="D216" s="61" t="n">
        <v>30.769</v>
      </c>
      <c r="E216" s="61" t="n">
        <v>1.013</v>
      </c>
      <c r="F216" s="66" t="n"/>
      <c r="G216" s="67" t="n">
        <v>45275</v>
      </c>
      <c r="H216" s="74" t="n"/>
      <c r="I216" s="67" t="n">
        <v>45288</v>
      </c>
      <c r="J216" s="23">
        <f>IF(ISBLANK(F216:G216),,IF(COUNTA(F216)=0,G216,F216))</f>
        <v/>
      </c>
      <c r="K216" s="6">
        <f>IFERROR(__xludf.DUMMYFUNCTION("if(isblank(J216),,index(googlefinance(A216,K$2,J216-1),2,2))"),62.78)</f>
        <v/>
      </c>
      <c r="L216" s="24">
        <f>IF(ISBLANK(H216:I216),,IF(COUNTA(H216)=0,I216,H216))</f>
        <v/>
      </c>
      <c r="M216" s="7">
        <f>IFERROR(__xludf.DUMMYFUNCTION("if(isblank(L216),, index(googlefinance(A216,M$2,L216-1),2,2))"),60.58)</f>
        <v/>
      </c>
      <c r="N216" s="8">
        <f>IFERROR(__xludf.DUMMYFUNCTION("if(isblank(A216),,googlefinance(A216))"),60.08)</f>
        <v/>
      </c>
      <c r="O216" s="59">
        <f>IF(ISBLANK(J216),,IF(ISBLANK(L216),"Ongoing","Completed"))</f>
        <v/>
      </c>
      <c r="P216" s="68">
        <f>IF(ISBLANK(A216),,IF(AND(COUNTA(F216)=1,S216&gt;0),"Profit",IF(AND(COUNTA(G216)=1,S216&lt;0),"Profit","Loss")))</f>
        <v/>
      </c>
      <c r="Q216" s="26">
        <f>IF(ISBLANK(T216),,IF(P216="Profit",IF(S216&lt;0,T216*-S216,T216*S216),IF(S216&gt;0,T216*-S216,T216*S216)))</f>
        <v/>
      </c>
      <c r="R216" s="59">
        <f>IF($Q216&gt;0, TRUE, FALSE)</f>
        <v/>
      </c>
      <c r="S216" s="59">
        <f>IF(ISBLANK(J216),,IF(ISBLANK(L216),N216-K216,M216-K216))</f>
        <v/>
      </c>
      <c r="T216" s="61">
        <f>IF(ISBLANK(J216),,ROUNDDOWN(T$1/K216,0))</f>
        <v/>
      </c>
      <c r="U216" s="62" t="n"/>
      <c r="V216" s="57" t="n"/>
      <c r="W216" s="57" t="n"/>
      <c r="X216" s="57" t="n"/>
      <c r="Y216" s="57" t="n"/>
      <c r="Z216" s="57" t="n"/>
      <c r="AA216" s="63" t="n"/>
    </row>
    <row r="217" hidden="1" ht="13.5" customHeight="1" s="56">
      <c r="A217" s="57" t="inlineStr">
        <is>
          <t>OXY</t>
        </is>
      </c>
      <c r="B217" s="69" t="n">
        <v>7</v>
      </c>
      <c r="C217" s="61" t="n">
        <v>624.45</v>
      </c>
      <c r="D217" s="61" t="n">
        <v>57.143</v>
      </c>
      <c r="E217" s="61" t="n">
        <v>5.575</v>
      </c>
      <c r="F217" s="67" t="n">
        <v>45275</v>
      </c>
      <c r="G217" s="66" t="n"/>
      <c r="H217" s="74" t="n"/>
      <c r="I217" s="74" t="n"/>
      <c r="J217" s="28">
        <f>IF(ISBLANK(F217:G217),,IF(COUNTA(F217)=0,G217,F217))</f>
        <v/>
      </c>
      <c r="K217" s="6">
        <f>IFERROR(__xludf.DUMMYFUNCTION("if(isblank(J217),,index(googlefinance(A217,K$2,J217-1),2,2))"),58.76)</f>
        <v/>
      </c>
      <c r="L217" s="37">
        <f>IF(ISBLANK(H217:I217),,IF(COUNTA(H217)=0,I217,H217))</f>
        <v/>
      </c>
      <c r="M217" s="7">
        <f>IFERROR(__xludf.DUMMYFUNCTION("if(isblank(L217),, index(googlefinance(A217,M$2,L217-1),2,2))"),"")</f>
        <v/>
      </c>
      <c r="N217" s="8">
        <f>IFERROR(__xludf.DUMMYFUNCTION("if(isblank(A217),,googlefinance(A217))"),62.65)</f>
        <v/>
      </c>
      <c r="O217" s="38">
        <f>IF(ISBLANK(J217),,IF(ISBLANK(L217),"Ongoing","Completed"))</f>
        <v/>
      </c>
      <c r="P217" s="68">
        <f>IF(ISBLANK(A217),,IF(AND(COUNTA(F217)=1,S217&gt;0),"Profit",IF(AND(COUNTA(G217)=1,S217&lt;0),"Profit","Loss")))</f>
        <v/>
      </c>
      <c r="Q217" s="26">
        <f>IF(ISBLANK(T217),,IF(P217="Profit",IF(S217&lt;0,T217*-S217,T217*S217),IF(S217&gt;0,T217*-S217,T217*S217)))</f>
        <v/>
      </c>
      <c r="R217" s="59">
        <f>IF($Q217&gt;0, TRUE, FALSE)</f>
        <v/>
      </c>
      <c r="S217" s="59">
        <f>IF(ISBLANK(J217),,IF(ISBLANK(L217),N217-K217,M217-K217))</f>
        <v/>
      </c>
      <c r="T217" s="61">
        <f>IF(ISBLANK(J217),,ROUNDDOWN(T$1/K217,0))</f>
        <v/>
      </c>
      <c r="U217" s="62" t="n"/>
      <c r="V217" s="57" t="n"/>
      <c r="W217" s="57" t="n"/>
      <c r="X217" s="57" t="n"/>
      <c r="Y217" s="57" t="n"/>
      <c r="Z217" s="57" t="n"/>
      <c r="AA217" s="63" t="n"/>
    </row>
    <row r="218" hidden="1" ht="13.5" customHeight="1" s="56">
      <c r="A218" s="57" t="inlineStr">
        <is>
          <t>SLB</t>
        </is>
      </c>
      <c r="B218" s="69" t="n">
        <v>12</v>
      </c>
      <c r="C218" s="61" t="n">
        <v>339.73</v>
      </c>
      <c r="D218" s="61" t="n">
        <v>41.667</v>
      </c>
      <c r="E218" s="61" t="n">
        <v>2.329</v>
      </c>
      <c r="F218" s="67" t="n">
        <v>45275</v>
      </c>
      <c r="G218" s="66" t="n"/>
      <c r="H218" s="74" t="n"/>
      <c r="I218" s="74" t="n"/>
      <c r="J218" s="28">
        <f>IF(ISBLANK(F218:G218),,IF(COUNTA(F218)=0,G218,F218))</f>
        <v/>
      </c>
      <c r="K218" s="6">
        <f>IFERROR(__xludf.DUMMYFUNCTION("if(isblank(J218),,index(googlefinance(A218,K$2,J218-1),2,2))"),52.42)</f>
        <v/>
      </c>
      <c r="L218" s="37">
        <f>IF(ISBLANK(H218:I218),,IF(COUNTA(H218)=0,I218,H218))</f>
        <v/>
      </c>
      <c r="M218" s="7">
        <f>IFERROR(__xludf.DUMMYFUNCTION("if(isblank(L218),, index(googlefinance(A218,M$2,L218-1),2,2))"),"")</f>
        <v/>
      </c>
      <c r="N218" s="8">
        <f>IFERROR(__xludf.DUMMYFUNCTION("if(isblank(A218),,googlefinance(A218))"),52.87)</f>
        <v/>
      </c>
      <c r="O218" s="38">
        <f>IF(ISBLANK(J218),,IF(ISBLANK(L218),"Ongoing","Completed"))</f>
        <v/>
      </c>
      <c r="P218" s="70">
        <f>IF(ISBLANK(A218),,IF(AND(COUNTA(F218)=1,S218&gt;0),"Profit",IF(AND(COUNTA(G218)=1,S218&lt;0),"Profit","Loss")))</f>
        <v/>
      </c>
      <c r="Q218" s="31">
        <f>IF(ISBLANK(T218),,IF(P218="Profit",IF(S218&lt;0,T218*-S218,T218*S218),IF(S218&gt;0,T218*-S218,T218*S218)))</f>
        <v/>
      </c>
      <c r="R218" s="59">
        <f>IF($Q218&gt;0, TRUE, FALSE)</f>
        <v/>
      </c>
      <c r="S218" s="59">
        <f>IF(ISBLANK(J218),,IF(ISBLANK(L218),N218-K218,M218-K218))</f>
        <v/>
      </c>
      <c r="T218" s="61">
        <f>IF(ISBLANK(J218),,ROUNDDOWN(T$1/K218,0))</f>
        <v/>
      </c>
      <c r="U218" s="62" t="n"/>
      <c r="V218" s="57" t="n"/>
      <c r="W218" s="57" t="n"/>
      <c r="X218" s="57" t="n"/>
      <c r="Y218" s="57" t="n"/>
      <c r="Z218" s="57" t="n"/>
      <c r="AA218" s="63" t="n"/>
    </row>
    <row r="219" hidden="1" ht="13.5" customHeight="1" s="56">
      <c r="A219" s="57" t="inlineStr">
        <is>
          <t>CPB</t>
        </is>
      </c>
      <c r="B219" s="69" t="n">
        <v>11</v>
      </c>
      <c r="C219" s="61" t="n">
        <v>81.88</v>
      </c>
      <c r="D219" s="61" t="n">
        <v>63.636</v>
      </c>
      <c r="E219" s="61" t="n">
        <v>2.456</v>
      </c>
      <c r="F219" s="66" t="n"/>
      <c r="G219" s="67" t="n">
        <v>45278</v>
      </c>
      <c r="H219" s="74" t="n"/>
      <c r="I219" s="67" t="n">
        <v>45293</v>
      </c>
      <c r="J219" s="23">
        <f>IF(ISBLANK(F219:G219),,IF(COUNTA(F219)=0,G219,F219))</f>
        <v/>
      </c>
      <c r="K219" s="6">
        <f>IFERROR(__xludf.DUMMYFUNCTION("if(isblank(J219),,index(googlefinance(A219,K$2,J219-1),2,2))"),43.76)</f>
        <v/>
      </c>
      <c r="L219" s="24">
        <f>IF(ISBLANK(H219:I219),,IF(COUNTA(H219)=0,I219,H219))</f>
        <v/>
      </c>
      <c r="M219" s="7">
        <f>IFERROR(__xludf.DUMMYFUNCTION("if(isblank(L219),, index(googlefinance(A219,M$2,L219-1),2,2))"),44.74)</f>
        <v/>
      </c>
      <c r="N219" s="8">
        <f>IFERROR(__xludf.DUMMYFUNCTION("if(isblank(A219),,googlefinance(A219))"),42.71)</f>
        <v/>
      </c>
      <c r="O219" s="59">
        <f>IF(ISBLANK(J219),,IF(ISBLANK(L219),"Ongoing","Completed"))</f>
        <v/>
      </c>
      <c r="P219" s="70">
        <f>IF(ISBLANK(A219),,IF(AND(COUNTA(F219)=1,S219&gt;0),"Profit",IF(AND(COUNTA(G219)=1,S219&lt;0),"Profit","Loss")))</f>
        <v/>
      </c>
      <c r="Q219" s="31">
        <f>IF(ISBLANK(T219),,IF(P219="Profit",IF(S219&lt;0,T219*-S219,T219*S219),IF(S219&gt;0,T219*-S219,T219*S219)))</f>
        <v/>
      </c>
      <c r="R219" s="59">
        <f>IF($Q219&gt;0, TRUE, FALSE)</f>
        <v/>
      </c>
      <c r="S219" s="59">
        <f>IF(ISBLANK(J219),,IF(ISBLANK(L219),N219-K219,M219-K219))</f>
        <v/>
      </c>
      <c r="T219" s="61">
        <f>IF(ISBLANK(J219),,ROUNDDOWN(T$1/K219,0))</f>
        <v/>
      </c>
      <c r="U219" s="62" t="n"/>
      <c r="V219" s="57" t="n"/>
      <c r="W219" s="57" t="n"/>
      <c r="X219" s="57" t="n"/>
      <c r="Y219" s="57" t="n"/>
      <c r="Z219" s="57" t="n"/>
      <c r="AA219" s="63" t="n"/>
    </row>
    <row r="220" hidden="1" ht="13.5" customHeight="1" s="56">
      <c r="A220" s="57" t="inlineStr">
        <is>
          <t>EVRG</t>
        </is>
      </c>
      <c r="B220" s="69" t="n">
        <v>12</v>
      </c>
      <c r="C220" s="61" t="n">
        <v>296.31</v>
      </c>
      <c r="D220" s="61" t="n">
        <v>33.333</v>
      </c>
      <c r="E220" s="61" t="n">
        <v>3.573</v>
      </c>
      <c r="F220" s="66" t="n"/>
      <c r="G220" s="67" t="n">
        <v>45278</v>
      </c>
      <c r="H220" s="74" t="n"/>
      <c r="I220" s="67" t="n">
        <v>45288</v>
      </c>
      <c r="J220" s="23">
        <f>IF(ISBLANK(F220:G220),,IF(COUNTA(F220)=0,G220,F220))</f>
        <v/>
      </c>
      <c r="K220" s="6">
        <f>IFERROR(__xludf.DUMMYFUNCTION("if(isblank(J220),,index(googlefinance(A220,K$2,J220-1),2,2))"),51.46)</f>
        <v/>
      </c>
      <c r="L220" s="24">
        <f>IF(ISBLANK(H220:I220),,IF(COUNTA(H220)=0,I220,H220))</f>
        <v/>
      </c>
      <c r="M220" s="7">
        <f>IFERROR(__xludf.DUMMYFUNCTION("if(isblank(L220),, index(googlefinance(A220,M$2,L220-1),2,2))"),51.85)</f>
        <v/>
      </c>
      <c r="N220" s="8">
        <f>IFERROR(__xludf.DUMMYFUNCTION("if(isblank(A220),,googlefinance(A220))"),51.6)</f>
        <v/>
      </c>
      <c r="O220" s="59">
        <f>IF(ISBLANK(J220),,IF(ISBLANK(L220),"Ongoing","Completed"))</f>
        <v/>
      </c>
      <c r="P220" s="70">
        <f>IF(ISBLANK(A220),,IF(AND(COUNTA(F220)=1,S220&gt;0),"Profit",IF(AND(COUNTA(G220)=1,S220&lt;0),"Profit","Loss")))</f>
        <v/>
      </c>
      <c r="Q220" s="31">
        <f>IF(ISBLANK(T220),,IF(P220="Profit",IF(S220&lt;0,T220*-S220,T220*S220),IF(S220&gt;0,T220*-S220,T220*S220)))</f>
        <v/>
      </c>
      <c r="R220" s="59">
        <f>IF($Q220&gt;0, TRUE, FALSE)</f>
        <v/>
      </c>
      <c r="S220" s="59">
        <f>IF(ISBLANK(J220),,IF(ISBLANK(L220),N220-K220,M220-K220))</f>
        <v/>
      </c>
      <c r="T220" s="61">
        <f>IF(ISBLANK(J220),,ROUNDDOWN(T$1/K220,0))</f>
        <v/>
      </c>
      <c r="U220" s="62" t="n"/>
      <c r="V220" s="57" t="n"/>
      <c r="W220" s="57" t="n"/>
      <c r="X220" s="57" t="n"/>
      <c r="Y220" s="57" t="n"/>
      <c r="Z220" s="57" t="n"/>
      <c r="AA220" s="63" t="n"/>
    </row>
    <row r="221" hidden="1" ht="13.5" customHeight="1" s="56">
      <c r="A221" s="57" t="inlineStr">
        <is>
          <t>INCY</t>
        </is>
      </c>
      <c r="B221" s="69" t="n">
        <v>9</v>
      </c>
      <c r="C221" s="61" t="n">
        <v>455.73</v>
      </c>
      <c r="D221" s="61" t="n">
        <v>44.444</v>
      </c>
      <c r="E221" s="61" t="n">
        <v>3.993</v>
      </c>
      <c r="F221" s="66" t="n"/>
      <c r="G221" s="67" t="n">
        <v>45278</v>
      </c>
      <c r="H221" s="74" t="n"/>
      <c r="I221" s="67" t="n">
        <v>45282</v>
      </c>
      <c r="J221" s="23">
        <f>IF(ISBLANK(F221:G221),,IF(COUNTA(F221)=0,G221,F221))</f>
        <v/>
      </c>
      <c r="K221" s="6">
        <f>IFERROR(__xludf.DUMMYFUNCTION("if(isblank(J221),,index(googlefinance(A221,K$2,J221-1),2,2))"),60.62)</f>
        <v/>
      </c>
      <c r="L221" s="24">
        <f>IF(ISBLANK(H221:I221),,IF(COUNTA(H221)=0,I221,H221))</f>
        <v/>
      </c>
      <c r="M221" s="7">
        <f>IFERROR(__xludf.DUMMYFUNCTION("if(isblank(L221),, index(googlefinance(A221,M$2,L221-1),2,2))"),61.69)</f>
        <v/>
      </c>
      <c r="N221" s="8">
        <f>IFERROR(__xludf.DUMMYFUNCTION("if(isblank(A221),,googlefinance(A221))"),58.37)</f>
        <v/>
      </c>
      <c r="O221" s="59">
        <f>IF(ISBLANK(J221),,IF(ISBLANK(L221),"Ongoing","Completed"))</f>
        <v/>
      </c>
      <c r="P221" s="70">
        <f>IF(ISBLANK(A221),,IF(AND(COUNTA(F221)=1,S221&gt;0),"Profit",IF(AND(COUNTA(G221)=1,S221&lt;0),"Profit","Loss")))</f>
        <v/>
      </c>
      <c r="Q221" s="31">
        <f>IF(ISBLANK(T221),,IF(P221="Profit",IF(S221&lt;0,T221*-S221,T221*S221),IF(S221&gt;0,T221*-S221,T221*S221)))</f>
        <v/>
      </c>
      <c r="R221" s="59">
        <f>IF($Q221&gt;0, TRUE, FALSE)</f>
        <v/>
      </c>
      <c r="S221" s="59">
        <f>IF(ISBLANK(J221),,IF(ISBLANK(L221),N221-K221,M221-K221))</f>
        <v/>
      </c>
      <c r="T221" s="61">
        <f>IF(ISBLANK(J221),,ROUNDDOWN(T$1/K221,0))</f>
        <v/>
      </c>
      <c r="U221" s="62" t="n"/>
      <c r="V221" s="57" t="n"/>
      <c r="W221" s="57" t="n"/>
      <c r="X221" s="57" t="n"/>
      <c r="Y221" s="57" t="n"/>
      <c r="Z221" s="57" t="n"/>
      <c r="AA221" s="63" t="n"/>
    </row>
    <row r="222" hidden="1" ht="13.5" customHeight="1" s="56">
      <c r="A222" s="57" t="inlineStr">
        <is>
          <t>KDP</t>
        </is>
      </c>
      <c r="B222" s="69" t="n">
        <v>8</v>
      </c>
      <c r="C222" s="61" t="n">
        <v>74.67</v>
      </c>
      <c r="D222" s="61" t="n">
        <v>37.5</v>
      </c>
      <c r="E222" s="61" t="n">
        <v>2.228</v>
      </c>
      <c r="F222" s="66" t="n"/>
      <c r="G222" s="67" t="n">
        <v>45278</v>
      </c>
      <c r="H222" s="74" t="n"/>
      <c r="I222" s="67" t="n">
        <v>45282</v>
      </c>
      <c r="J222" s="23">
        <f>IF(ISBLANK(F222:G222),,IF(COUNTA(F222)=0,G222,F222))</f>
        <v/>
      </c>
      <c r="K222" s="6">
        <f>IFERROR(__xludf.DUMMYFUNCTION("if(isblank(J222),,index(googlefinance(A222,K$2,J222-1),2,2))"),32.4)</f>
        <v/>
      </c>
      <c r="L222" s="24">
        <f>IF(ISBLANK(H222:I222),,IF(COUNTA(H222)=0,I222,H222))</f>
        <v/>
      </c>
      <c r="M222" s="7">
        <f>IFERROR(__xludf.DUMMYFUNCTION("if(isblank(L222),, index(googlefinance(A222,M$2,L222-1),2,2))"),32.52)</f>
        <v/>
      </c>
      <c r="N222" s="8">
        <f>IFERROR(__xludf.DUMMYFUNCTION("if(isblank(A222),,googlefinance(A222))"),28.88)</f>
        <v/>
      </c>
      <c r="O222" s="59">
        <f>IF(ISBLANK(J222),,IF(ISBLANK(L222),"Ongoing","Completed"))</f>
        <v/>
      </c>
      <c r="P222" s="70">
        <f>IF(ISBLANK(A222),,IF(AND(COUNTA(F222)=1,S222&gt;0),"Profit",IF(AND(COUNTA(G222)=1,S222&lt;0),"Profit","Loss")))</f>
        <v/>
      </c>
      <c r="Q222" s="31">
        <f>IF(ISBLANK(T222),,IF(P222="Profit",IF(S222&lt;0,T222*-S222,T222*S222),IF(S222&gt;0,T222*-S222,T222*S222)))</f>
        <v/>
      </c>
      <c r="R222" s="59">
        <f>IF($Q222&gt;0, TRUE, FALSE)</f>
        <v/>
      </c>
      <c r="S222" s="59">
        <f>IF(ISBLANK(J222),,IF(ISBLANK(L222),N222-K222,M222-K222))</f>
        <v/>
      </c>
      <c r="T222" s="61">
        <f>IF(ISBLANK(J222),,ROUNDDOWN(T$1/K222,0))</f>
        <v/>
      </c>
      <c r="U222" s="62" t="n"/>
      <c r="V222" s="57" t="n"/>
      <c r="W222" s="57" t="n"/>
      <c r="X222" s="57" t="n"/>
      <c r="Y222" s="57" t="n"/>
      <c r="Z222" s="57" t="n"/>
      <c r="AA222" s="63" t="n"/>
    </row>
    <row r="223" hidden="1" ht="13.5" customHeight="1" s="56">
      <c r="A223" s="57" t="inlineStr">
        <is>
          <t>XOM</t>
        </is>
      </c>
      <c r="B223" s="69" t="n">
        <v>7</v>
      </c>
      <c r="C223" s="61" t="n">
        <v>103.4</v>
      </c>
      <c r="D223" s="61" t="n">
        <v>42.857</v>
      </c>
      <c r="E223" s="61" t="n">
        <v>1.976</v>
      </c>
      <c r="F223" s="67" t="n">
        <v>45278</v>
      </c>
      <c r="G223" s="66" t="n"/>
      <c r="H223" s="67" t="n">
        <v>45288</v>
      </c>
      <c r="I223" s="74" t="n"/>
      <c r="J223" s="28">
        <f>IF(ISBLANK(F223:G223),,IF(COUNTA(F223)=0,G223,F223))</f>
        <v/>
      </c>
      <c r="K223" s="6">
        <f>IFERROR(__xludf.DUMMYFUNCTION("if(isblank(J223),,index(googlefinance(A223,K$2,J223-1),2,2))"),101.65)</f>
        <v/>
      </c>
      <c r="L223" s="29">
        <f>IF(ISBLANK(H223:I223),,IF(COUNTA(H223)=0,I223,H223))</f>
        <v/>
      </c>
      <c r="M223" s="7">
        <f>IFERROR(__xludf.DUMMYFUNCTION("if(isblank(L223),, index(googlefinance(A223,M$2,L223-1),2,2))"),101.66)</f>
        <v/>
      </c>
      <c r="N223" s="8">
        <f>IFERROR(__xludf.DUMMYFUNCTION("if(isblank(A223),,googlefinance(A223))"),111.27)</f>
        <v/>
      </c>
      <c r="O223" s="59">
        <f>IF(ISBLANK(J223),,IF(ISBLANK(L223),"Ongoing","Completed"))</f>
        <v/>
      </c>
      <c r="P223" s="68">
        <f>IF(ISBLANK(A223),,IF(AND(COUNTA(F223)=1,S223&gt;0),"Profit",IF(AND(COUNTA(G223)=1,S223&lt;0),"Profit","Loss")))</f>
        <v/>
      </c>
      <c r="Q223" s="26">
        <f>IF(ISBLANK(T223),,IF(P223="Profit",IF(S223&lt;0,T223*-S223,T223*S223),IF(S223&gt;0,T223*-S223,T223*S223)))</f>
        <v/>
      </c>
      <c r="R223" s="59">
        <f>IF($Q223&gt;0, TRUE, FALSE)</f>
        <v/>
      </c>
      <c r="S223" s="59">
        <f>IF(ISBLANK(J223),,IF(ISBLANK(L223),N223-K223,M223-K223))</f>
        <v/>
      </c>
      <c r="T223" s="61">
        <f>IF(ISBLANK(J223),,ROUNDDOWN(T$1/K223,0))</f>
        <v/>
      </c>
      <c r="U223" s="62" t="n"/>
      <c r="V223" s="57" t="n"/>
      <c r="W223" s="57" t="n"/>
      <c r="X223" s="57" t="n"/>
      <c r="Y223" s="57" t="n"/>
      <c r="Z223" s="57" t="n"/>
      <c r="AA223" s="63" t="n"/>
    </row>
    <row r="224" hidden="1" ht="13.5" customHeight="1" s="56">
      <c r="A224" s="57" t="inlineStr">
        <is>
          <t>CAG</t>
        </is>
      </c>
      <c r="B224" s="69" t="n">
        <v>14</v>
      </c>
      <c r="C224" s="61" t="n">
        <v>102.58</v>
      </c>
      <c r="D224" s="61" t="n">
        <v>50</v>
      </c>
      <c r="E224" s="61" t="n">
        <v>1.611</v>
      </c>
      <c r="F224" s="66" t="n"/>
      <c r="G224" s="67" t="n">
        <v>45279</v>
      </c>
      <c r="H224" s="74" t="n"/>
      <c r="I224" s="67" t="n">
        <v>45293</v>
      </c>
      <c r="J224" s="23">
        <f>IF(ISBLANK(F224:G224),,IF(COUNTA(F224)=0,G224,F224))</f>
        <v/>
      </c>
      <c r="K224" s="6">
        <f>IFERROR(__xludf.DUMMYFUNCTION("if(isblank(J224),,index(googlefinance(A224,K$2,J224-1),2,2))"),29.49)</f>
        <v/>
      </c>
      <c r="L224" s="24">
        <f>IF(ISBLANK(H224:I224),,IF(COUNTA(H224)=0,I224,H224))</f>
        <v/>
      </c>
      <c r="M224" s="7">
        <f>IFERROR(__xludf.DUMMYFUNCTION("if(isblank(L224),, index(googlefinance(A224,M$2,L224-1),2,2))"),29.53)</f>
        <v/>
      </c>
      <c r="N224" s="8">
        <f>IFERROR(__xludf.DUMMYFUNCTION("if(isblank(A224),,googlefinance(A224))"),28.07)</f>
        <v/>
      </c>
      <c r="O224" s="59">
        <f>IF(ISBLANK(J224),,IF(ISBLANK(L224),"Ongoing","Completed"))</f>
        <v/>
      </c>
      <c r="P224" s="70">
        <f>IF(ISBLANK(A224),,IF(AND(COUNTA(F224)=1,S224&gt;0),"Profit",IF(AND(COUNTA(G224)=1,S224&lt;0),"Profit","Loss")))</f>
        <v/>
      </c>
      <c r="Q224" s="31">
        <f>IF(ISBLANK(T224),,IF(P224="Profit",IF(S224&lt;0,T224*-S224,T224*S224),IF(S224&gt;0,T224*-S224,T224*S224)))</f>
        <v/>
      </c>
      <c r="R224" s="59">
        <f>IF($Q224&gt;0, TRUE, FALSE)</f>
        <v/>
      </c>
      <c r="S224" s="59">
        <f>IF(ISBLANK(J224),,IF(ISBLANK(L224),N224-K224,M224-K224))</f>
        <v/>
      </c>
      <c r="T224" s="61">
        <f>IF(ISBLANK(J224),,ROUNDDOWN(T$1/K224,0))</f>
        <v/>
      </c>
      <c r="U224" s="62" t="n"/>
      <c r="V224" s="57" t="n"/>
      <c r="W224" s="57" t="n"/>
      <c r="X224" s="57" t="n"/>
      <c r="Y224" s="57" t="n"/>
      <c r="Z224" s="57" t="n"/>
      <c r="AA224" s="63" t="n"/>
    </row>
    <row r="225" hidden="1" ht="13.5" customHeight="1" s="56">
      <c r="A225" s="57" t="inlineStr">
        <is>
          <t>MOH</t>
        </is>
      </c>
      <c r="B225" s="69" t="n">
        <v>11</v>
      </c>
      <c r="C225" s="61" t="n">
        <v>235.18</v>
      </c>
      <c r="D225" s="61" t="n">
        <v>45.455</v>
      </c>
      <c r="E225" s="61" t="n">
        <v>2.571</v>
      </c>
      <c r="F225" s="66" t="n"/>
      <c r="G225" s="67" t="n">
        <v>45279</v>
      </c>
      <c r="H225" s="74" t="n"/>
      <c r="I225" s="67" t="n">
        <v>45293</v>
      </c>
      <c r="J225" s="23">
        <f>IF(ISBLANK(F225:G225),,IF(COUNTA(F225)=0,G225,F225))</f>
        <v/>
      </c>
      <c r="K225" s="6">
        <f>IFERROR(__xludf.DUMMYFUNCTION("if(isblank(J225),,index(googlefinance(A225,K$2,J225-1),2,2))"),366.24)</f>
        <v/>
      </c>
      <c r="L225" s="24">
        <f>IF(ISBLANK(H225:I225),,IF(COUNTA(H225)=0,I225,H225))</f>
        <v/>
      </c>
      <c r="M225" s="7">
        <f>IFERROR(__xludf.DUMMYFUNCTION("if(isblank(L225),, index(googlefinance(A225,M$2,L225-1),2,2))"),371.53)</f>
        <v/>
      </c>
      <c r="N225" s="8">
        <f>IFERROR(__xludf.DUMMYFUNCTION("if(isblank(A225),,googlefinance(A225))"),404.45)</f>
        <v/>
      </c>
      <c r="O225" s="59">
        <f>IF(ISBLANK(J225),,IF(ISBLANK(L225),"Ongoing","Completed"))</f>
        <v/>
      </c>
      <c r="P225" s="70">
        <f>IF(ISBLANK(A225),,IF(AND(COUNTA(F225)=1,S225&gt;0),"Profit",IF(AND(COUNTA(G225)=1,S225&lt;0),"Profit","Loss")))</f>
        <v/>
      </c>
      <c r="Q225" s="31">
        <f>IF(ISBLANK(T225),,IF(P225="Profit",IF(S225&lt;0,T225*-S225,T225*S225),IF(S225&gt;0,T225*-S225,T225*S225)))</f>
        <v/>
      </c>
      <c r="R225" s="59">
        <f>IF($Q225&gt;0, TRUE, FALSE)</f>
        <v/>
      </c>
      <c r="S225" s="59">
        <f>IF(ISBLANK(J225),,IF(ISBLANK(L225),N225-K225,M225-K225))</f>
        <v/>
      </c>
      <c r="T225" s="61">
        <f>IF(ISBLANK(J225),,ROUNDDOWN(T$1/K225,0))</f>
        <v/>
      </c>
      <c r="U225" s="62" t="n"/>
      <c r="V225" s="57" t="n"/>
      <c r="W225" s="57" t="n"/>
      <c r="X225" s="57" t="n"/>
      <c r="Y225" s="57" t="n"/>
      <c r="Z225" s="57" t="n"/>
      <c r="AA225" s="63" t="n"/>
    </row>
    <row r="226" hidden="1" ht="13.5" customHeight="1" s="56">
      <c r="A226" s="57" t="inlineStr">
        <is>
          <t>PFE</t>
        </is>
      </c>
      <c r="B226" s="69" t="n">
        <v>10</v>
      </c>
      <c r="C226" s="61" t="n">
        <v>91.688</v>
      </c>
      <c r="D226" s="61" t="n">
        <v>30</v>
      </c>
      <c r="E226" s="61" t="n">
        <v>1.356</v>
      </c>
      <c r="F226" s="67" t="n">
        <v>45279</v>
      </c>
      <c r="G226" s="66" t="n"/>
      <c r="H226" s="74" t="inlineStr">
        <is>
          <t>2024/01/10</t>
        </is>
      </c>
      <c r="I226" s="74" t="n"/>
      <c r="J226" s="28">
        <f>IF(ISBLANK(F226:G226),,IF(COUNTA(F226)=0,G226,F226))</f>
        <v/>
      </c>
      <c r="K226" s="6">
        <f>IFERROR(__xludf.DUMMYFUNCTION("if(isblank(J226),,index(googlefinance(A226,K$2,J226-1),2,2))"),27.06)</f>
        <v/>
      </c>
      <c r="L226" s="37">
        <f>IF(ISBLANK(H226:I226),,IF(COUNTA(H226)=0,I226,H226))</f>
        <v/>
      </c>
      <c r="M226" s="7">
        <f>IFERROR(__xludf.DUMMYFUNCTION("if(isblank(L226),, index(googlefinance(A226,M$2,L226-1),2,2))"),29.4)</f>
        <v/>
      </c>
      <c r="N226" s="8">
        <f>IFERROR(__xludf.DUMMYFUNCTION("if(isblank(A226),,googlefinance(A226))"),27.94)</f>
        <v/>
      </c>
      <c r="O226" s="38">
        <f>IF(ISBLANK(J226),,IF(ISBLANK(L226),"Ongoing","Completed"))</f>
        <v/>
      </c>
      <c r="P226" s="68">
        <f>IF(ISBLANK(A226),,IF(AND(COUNTA(F226)=1,S226&gt;0),"Profit",IF(AND(COUNTA(G226)=1,S226&lt;0),"Profit","Loss")))</f>
        <v/>
      </c>
      <c r="Q226" s="26">
        <f>IF(ISBLANK(T226),,IF(P226="Profit",IF(S226&lt;0,T226*-S226,T226*S226),IF(S226&gt;0,T226*-S226,T226*S226)))</f>
        <v/>
      </c>
      <c r="R226" s="59">
        <f>IF($Q226&gt;0, TRUE, FALSE)</f>
        <v/>
      </c>
      <c r="S226" s="59">
        <f>IF(ISBLANK(J226),,IF(ISBLANK(L226),N226-K226,M226-K226))</f>
        <v/>
      </c>
      <c r="T226" s="61">
        <f>IF(ISBLANK(J226),,ROUNDDOWN(T$1/K226,0))</f>
        <v/>
      </c>
      <c r="U226" s="62" t="n"/>
      <c r="V226" s="63" t="n"/>
      <c r="W226" s="63" t="n"/>
      <c r="X226" s="63" t="n"/>
      <c r="Y226" s="57" t="n"/>
      <c r="Z226" s="57" t="n"/>
      <c r="AA226" s="63" t="n"/>
    </row>
    <row r="227" hidden="1" ht="13.5" customHeight="1" s="56">
      <c r="A227" s="57" t="inlineStr">
        <is>
          <t>REGN</t>
        </is>
      </c>
      <c r="B227" s="69" t="n">
        <v>10</v>
      </c>
      <c r="C227" s="61" t="n">
        <v>0.39</v>
      </c>
      <c r="D227" s="61" t="n">
        <v>30</v>
      </c>
      <c r="E227" s="61" t="n">
        <v>1.002</v>
      </c>
      <c r="F227" s="66" t="n"/>
      <c r="G227" s="67" t="n">
        <v>45279</v>
      </c>
      <c r="H227" s="74" t="n"/>
      <c r="I227" s="67" t="n">
        <v>45287</v>
      </c>
      <c r="J227" s="23">
        <f>IF(ISBLANK(F227:G227),,IF(COUNTA(F227)=0,G227,F227))</f>
        <v/>
      </c>
      <c r="K227" s="6">
        <f>IFERROR(__xludf.DUMMYFUNCTION("if(isblank(J227),,index(googlefinance(A227,K$2,J227-1),2,2))"),850.87)</f>
        <v/>
      </c>
      <c r="L227" s="24">
        <f>IF(ISBLANK(H227:I227),,IF(COUNTA(H227)=0,I227,H227))</f>
        <v/>
      </c>
      <c r="M227" s="7">
        <f>IFERROR(__xludf.DUMMYFUNCTION("if(isblank(L227),, index(googlefinance(A227,M$2,L227-1),2,2))"),849.53)</f>
        <v/>
      </c>
      <c r="N227" s="8">
        <f>IFERROR(__xludf.DUMMYFUNCTION("if(isblank(A227),,googlefinance(A227))"),964.47)</f>
        <v/>
      </c>
      <c r="O227" s="59">
        <f>IF(ISBLANK(J227),,IF(ISBLANK(L227),"Ongoing","Completed"))</f>
        <v/>
      </c>
      <c r="P227" s="68">
        <f>IF(ISBLANK(A227),,IF(AND(COUNTA(F227)=1,S227&gt;0),"Profit",IF(AND(COUNTA(G227)=1,S227&lt;0),"Profit","Loss")))</f>
        <v/>
      </c>
      <c r="Q227" s="26">
        <f>IF(ISBLANK(T227),,IF(P227="Profit",IF(S227&lt;0,T227*-S227,T227*S227),IF(S227&gt;0,T227*-S227,T227*S227)))</f>
        <v/>
      </c>
      <c r="R227" s="59">
        <f>IF($Q227&gt;0, TRUE, FALSE)</f>
        <v/>
      </c>
      <c r="S227" s="59">
        <f>IF(ISBLANK(J227),,IF(ISBLANK(L227),N227-K227,M227-K227))</f>
        <v/>
      </c>
      <c r="T227" s="61">
        <f>IF(ISBLANK(J227),,ROUNDDOWN(T$1/K227,0))</f>
        <v/>
      </c>
      <c r="U227" s="62" t="n"/>
      <c r="V227" s="57" t="n"/>
      <c r="W227" s="57" t="n"/>
      <c r="X227" s="57" t="n"/>
      <c r="Y227" s="57" t="n"/>
      <c r="Z227" s="57" t="n"/>
      <c r="AA227" s="63" t="n"/>
    </row>
    <row r="228" hidden="1" ht="13.5" customHeight="1" s="56">
      <c r="A228" s="57" t="inlineStr">
        <is>
          <t>FDX</t>
        </is>
      </c>
      <c r="B228" s="69" t="n">
        <v>11</v>
      </c>
      <c r="C228" s="61" t="n">
        <v>16.73</v>
      </c>
      <c r="D228" s="61" t="n">
        <v>9.090999999999999</v>
      </c>
      <c r="E228" s="61" t="n">
        <v>1.065</v>
      </c>
      <c r="F228" s="74" t="n"/>
      <c r="G228" s="67" t="n">
        <v>45280</v>
      </c>
      <c r="H228" s="74" t="n"/>
      <c r="I228" s="74" t="inlineStr">
        <is>
          <t>2024/01/19</t>
        </is>
      </c>
      <c r="J228" s="23">
        <f>IF(ISBLANK(F228:G228),,IF(COUNTA(F228)=0,G228,F228))</f>
        <v/>
      </c>
      <c r="K228" s="6">
        <f>IFERROR(__xludf.DUMMYFUNCTION("if(isblank(J228),,index(googlefinance(A228,K$2,J228-1),2,2))"),280.0)</f>
        <v/>
      </c>
      <c r="L228" s="37">
        <f>IF(ISBLANK(H228:I228),,IF(COUNTA(H228)=0,I228,H228))</f>
        <v/>
      </c>
      <c r="M228" s="7">
        <f>IFERROR(__xludf.DUMMYFUNCTION("if(isblank(L228),, index(googlefinance(A228,M$2,L228-1),2,2))"),244.07)</f>
        <v/>
      </c>
      <c r="N228" s="8">
        <f>IFERROR(__xludf.DUMMYFUNCTION("if(isblank(A228),,googlefinance(A228))"),253.29)</f>
        <v/>
      </c>
      <c r="O228" s="38">
        <f>IF(ISBLANK(J228),,IF(ISBLANK(L228),"Ongoing","Completed"))</f>
        <v/>
      </c>
      <c r="P228" s="68">
        <f>IF(ISBLANK(A228),,IF(AND(COUNTA(F228)=1,S228&gt;0),"Profit",IF(AND(COUNTA(G228)=1,S228&lt;0),"Profit","Loss")))</f>
        <v/>
      </c>
      <c r="Q228" s="26">
        <f>IF(ISBLANK(T228),,IF(P228="Profit",IF(S228&lt;0,T228*-S228,T228*S228),IF(S228&gt;0,T228*-S228,T228*S228)))</f>
        <v/>
      </c>
      <c r="R228" s="59">
        <f>IF($Q228&gt;0, TRUE, FALSE)</f>
        <v/>
      </c>
      <c r="S228" s="59">
        <f>IF(ISBLANK(J228),,IF(ISBLANK(L228),N228-K228,M228-K228))</f>
        <v/>
      </c>
      <c r="T228" s="61">
        <f>IF(ISBLANK(J228),,ROUNDDOWN(T$1/K228,0))</f>
        <v/>
      </c>
      <c r="U228" s="62" t="n"/>
      <c r="V228" s="57" t="n"/>
      <c r="W228" s="57" t="n"/>
      <c r="X228" s="57" t="n"/>
      <c r="Y228" s="57" t="n"/>
      <c r="Z228" s="57" t="n"/>
      <c r="AA228" s="63" t="n"/>
    </row>
    <row r="229" hidden="1" ht="13.5" customHeight="1" s="56">
      <c r="A229" s="57" t="inlineStr">
        <is>
          <t>MTB</t>
        </is>
      </c>
      <c r="B229" s="69" t="n">
        <v>11</v>
      </c>
      <c r="C229" s="61" t="n">
        <v>131.34</v>
      </c>
      <c r="D229" s="61" t="n">
        <v>36.364</v>
      </c>
      <c r="E229" s="61" t="n">
        <v>1.63</v>
      </c>
      <c r="F229" s="74" t="n"/>
      <c r="G229" s="67" t="n">
        <v>45280</v>
      </c>
      <c r="H229" s="74" t="n"/>
      <c r="I229" s="67" t="n">
        <v>45293</v>
      </c>
      <c r="J229" s="23">
        <f>IF(ISBLANK(F229:G229),,IF(COUNTA(F229)=0,G229,F229))</f>
        <v/>
      </c>
      <c r="K229" s="6">
        <f>IFERROR(__xludf.DUMMYFUNCTION("if(isblank(J229),,index(googlefinance(A229,K$2,J229-1),2,2))"),139.36)</f>
        <v/>
      </c>
      <c r="L229" s="24">
        <f>IF(ISBLANK(H229:I229),,IF(COUNTA(H229)=0,I229,H229))</f>
        <v/>
      </c>
      <c r="M229" s="7">
        <f>IFERROR(__xludf.DUMMYFUNCTION("if(isblank(L229),, index(googlefinance(A229,M$2,L229-1),2,2))"),139.03)</f>
        <v/>
      </c>
      <c r="N229" s="8">
        <f>IFERROR(__xludf.DUMMYFUNCTION("if(isblank(A229),,googlefinance(A229))"),140.53)</f>
        <v/>
      </c>
      <c r="O229" s="59">
        <f>IF(ISBLANK(J229),,IF(ISBLANK(L229),"Ongoing","Completed"))</f>
        <v/>
      </c>
      <c r="P229" s="68">
        <f>IF(ISBLANK(A229),,IF(AND(COUNTA(F229)=1,S229&gt;0),"Profit",IF(AND(COUNTA(G229)=1,S229&lt;0),"Profit","Loss")))</f>
        <v/>
      </c>
      <c r="Q229" s="26">
        <f>IF(ISBLANK(T229),,IF(P229="Profit",IF(S229&lt;0,T229*-S229,T229*S229),IF(S229&gt;0,T229*-S229,T229*S229)))</f>
        <v/>
      </c>
      <c r="R229" s="59">
        <f>IF($Q229&gt;0, TRUE, FALSE)</f>
        <v/>
      </c>
      <c r="S229" s="59">
        <f>IF(ISBLANK(J229),,IF(ISBLANK(L229),N229-K229,M229-K229))</f>
        <v/>
      </c>
      <c r="T229" s="61">
        <f>IF(ISBLANK(J229),,ROUNDDOWN(T$1/K229,0))</f>
        <v/>
      </c>
      <c r="U229" s="62" t="n"/>
      <c r="V229" s="57" t="n"/>
      <c r="W229" s="57" t="n"/>
      <c r="X229" s="57" t="n"/>
      <c r="Y229" s="57" t="n"/>
      <c r="Z229" s="57" t="n"/>
      <c r="AA229" s="63" t="n"/>
    </row>
    <row r="230" hidden="1" ht="13.5" customHeight="1" s="56">
      <c r="A230" s="57" t="inlineStr">
        <is>
          <t>NVDA</t>
        </is>
      </c>
      <c r="B230" s="69" t="n">
        <v>8</v>
      </c>
      <c r="C230" s="61" t="n">
        <v>18.927</v>
      </c>
      <c r="D230" s="61" t="n">
        <v>25</v>
      </c>
      <c r="E230" s="61" t="n">
        <v>1.067</v>
      </c>
      <c r="F230" s="74" t="n"/>
      <c r="G230" s="67" t="n">
        <v>45280</v>
      </c>
      <c r="H230" s="74" t="n"/>
      <c r="I230" s="67" t="n">
        <v>45286</v>
      </c>
      <c r="J230" s="23">
        <f>IF(ISBLANK(F230:G230),,IF(COUNTA(F230)=0,G230,F230))</f>
        <v/>
      </c>
      <c r="K230" s="6">
        <f>IFERROR(__xludf.DUMMYFUNCTION("if(isblank(J230),,index(googlefinance(A230,K$2,J230-1),2,2))"),496.04)</f>
        <v/>
      </c>
      <c r="L230" s="24">
        <f>IF(ISBLANK(H230:I230),,IF(COUNTA(H230)=0,I230,H230))</f>
        <v/>
      </c>
      <c r="M230" s="7">
        <f>IFERROR(__xludf.DUMMYFUNCTION("if(isblank(L230),, index(googlefinance(A230,M$2,L230-1),2,2))"),492.79)</f>
        <v/>
      </c>
      <c r="N230" s="8">
        <f>IFERROR(__xludf.DUMMYFUNCTION("if(isblank(A230),,googlefinance(A230))"),878.37)</f>
        <v/>
      </c>
      <c r="O230" s="59">
        <f>IF(ISBLANK(J230),,IF(ISBLANK(L230),"Ongoing","Completed"))</f>
        <v/>
      </c>
      <c r="P230" s="68">
        <f>IF(ISBLANK(A230),,IF(AND(COUNTA(F230)=1,S230&gt;0),"Profit",IF(AND(COUNTA(G230)=1,S230&lt;0),"Profit","Loss")))</f>
        <v/>
      </c>
      <c r="Q230" s="26">
        <f>IF(ISBLANK(T230),,IF(P230="Profit",IF(S230&lt;0,T230*-S230,T230*S230),IF(S230&gt;0,T230*-S230,T230*S230)))</f>
        <v/>
      </c>
      <c r="R230" s="59">
        <f>IF($Q230&gt;0, TRUE, FALSE)</f>
        <v/>
      </c>
      <c r="S230" s="59">
        <f>IF(ISBLANK(J230),,IF(ISBLANK(L230),N230-K230,M230-K230))</f>
        <v/>
      </c>
      <c r="T230" s="61">
        <f>IF(ISBLANK(J230),,ROUNDDOWN(T$1/K230,0))</f>
        <v/>
      </c>
      <c r="U230" s="62" t="n"/>
      <c r="V230" s="57" t="n"/>
      <c r="W230" s="57" t="n"/>
      <c r="X230" s="57" t="n"/>
      <c r="Y230" s="57" t="n"/>
      <c r="Z230" s="57" t="n"/>
      <c r="AA230" s="63" t="n"/>
    </row>
    <row r="231" hidden="1" ht="13.5" customHeight="1" s="56">
      <c r="A231" s="57" t="inlineStr">
        <is>
          <t>KMX</t>
        </is>
      </c>
      <c r="B231" s="69" t="n">
        <v>8</v>
      </c>
      <c r="C231" s="61" t="n">
        <v>297.94</v>
      </c>
      <c r="D231" s="61" t="n">
        <v>37.5</v>
      </c>
      <c r="E231" s="61" t="n">
        <v>1.868</v>
      </c>
      <c r="F231" s="74" t="n"/>
      <c r="G231" s="67" t="n">
        <v>45282</v>
      </c>
      <c r="H231" s="74" t="n"/>
      <c r="I231" s="74" t="inlineStr">
        <is>
          <t>2024/01/29</t>
        </is>
      </c>
      <c r="J231" s="23">
        <f>IF(ISBLANK(F231:G231),,IF(COUNTA(F231)=0,G231,F231))</f>
        <v/>
      </c>
      <c r="K231" s="6">
        <f>IFERROR(__xludf.DUMMYFUNCTION("if(isblank(J231),,index(googlefinance(A231,K$2,J231-1),2,2))"),78.55)</f>
        <v/>
      </c>
      <c r="L231" s="37">
        <f>IF(ISBLANK(H231:I231),,IF(COUNTA(H231)=0,I231,H231))</f>
        <v/>
      </c>
      <c r="M231" s="7">
        <f>IFERROR(__xludf.DUMMYFUNCTION("if(isblank(L231),, index(googlefinance(A231,M$2,L231-1),2,2))"),72.95)</f>
        <v/>
      </c>
      <c r="N231" s="8">
        <f>IFERROR(__xludf.DUMMYFUNCTION("if(isblank(A231),,googlefinance(A231))"),80.74)</f>
        <v/>
      </c>
      <c r="O231" s="38">
        <f>IF(ISBLANK(J231),,IF(ISBLANK(L231),"Ongoing","Completed"))</f>
        <v/>
      </c>
      <c r="P231" s="68">
        <f>IF(ISBLANK(A231),,IF(AND(COUNTA(F231)=1,S231&gt;0),"Profit",IF(AND(COUNTA(G231)=1,S231&lt;0),"Profit","Loss")))</f>
        <v/>
      </c>
      <c r="Q231" s="26">
        <f>IF(ISBLANK(T231),,IF(P231="Profit",IF(S231&lt;0,T231*-S231,T231*S231),IF(S231&gt;0,T231*-S231,T231*S231)))</f>
        <v/>
      </c>
      <c r="R231" s="59">
        <f>IF($Q231&gt;0, TRUE, FALSE)</f>
        <v/>
      </c>
      <c r="S231" s="59">
        <f>IF(ISBLANK(J231),,IF(ISBLANK(L231),N231-K231,M231-K231))</f>
        <v/>
      </c>
      <c r="T231" s="61">
        <f>IF(ISBLANK(J231),,ROUNDDOWN(T$1/K231,0))</f>
        <v/>
      </c>
      <c r="U231" s="62" t="n"/>
      <c r="V231" s="57" t="n"/>
      <c r="W231" s="57" t="n"/>
      <c r="X231" s="57" t="n"/>
      <c r="Y231" s="57" t="n"/>
      <c r="Z231" s="57" t="n"/>
      <c r="AA231" s="63" t="n"/>
    </row>
    <row r="232" hidden="1" ht="13.5" customHeight="1" s="56">
      <c r="A232" s="57" t="inlineStr">
        <is>
          <t>NKE</t>
        </is>
      </c>
      <c r="B232" s="69" t="n">
        <v>11</v>
      </c>
      <c r="C232" s="61" t="n">
        <v>5.15</v>
      </c>
      <c r="D232" s="61" t="n">
        <v>36.364</v>
      </c>
      <c r="E232" s="61" t="n">
        <v>1.031</v>
      </c>
      <c r="F232" s="74" t="n"/>
      <c r="G232" s="67" t="n">
        <v>45282</v>
      </c>
      <c r="H232" s="74" t="n"/>
      <c r="I232" s="74" t="inlineStr">
        <is>
          <t>2024/01/11</t>
        </is>
      </c>
      <c r="J232" s="23">
        <f>IF(ISBLANK(F232:G232),,IF(COUNTA(F232)=0,G232,F232))</f>
        <v/>
      </c>
      <c r="K232" s="6">
        <f>IFERROR(__xludf.DUMMYFUNCTION("if(isblank(J232),,index(googlefinance(A232,K$2,J232-1),2,2))"),122.53)</f>
        <v/>
      </c>
      <c r="L232" s="37">
        <f>IF(ISBLANK(H232:I232),,IF(COUNTA(H232)=0,I232,H232))</f>
        <v/>
      </c>
      <c r="M232" s="7">
        <f>IFERROR(__xludf.DUMMYFUNCTION("if(isblank(L232),, index(googlefinance(A232,M$2,L232-1),2,2))"),103.77)</f>
        <v/>
      </c>
      <c r="N232" s="8">
        <f>IFERROR(__xludf.DUMMYFUNCTION("if(isblank(A232),,googlefinance(A232))"),99.64)</f>
        <v/>
      </c>
      <c r="O232" s="38">
        <f>IF(ISBLANK(J232),,IF(ISBLANK(L232),"Ongoing","Completed"))</f>
        <v/>
      </c>
      <c r="P232" s="68">
        <f>IF(ISBLANK(A232),,IF(AND(COUNTA(F232)=1,S232&gt;0),"Profit",IF(AND(COUNTA(G232)=1,S232&lt;0),"Profit","Loss")))</f>
        <v/>
      </c>
      <c r="Q232" s="26">
        <f>IF(ISBLANK(T232),,IF(P232="Profit",IF(S232&lt;0,T232*-S232,T232*S232),IF(S232&gt;0,T232*-S232,T232*S232)))</f>
        <v/>
      </c>
      <c r="R232" s="59">
        <f>IF($Q232&gt;0, TRUE, FALSE)</f>
        <v/>
      </c>
      <c r="S232" s="59">
        <f>IF(ISBLANK(J232),,IF(ISBLANK(L232),N232-K232,M232-K232))</f>
        <v/>
      </c>
      <c r="T232" s="61">
        <f>IF(ISBLANK(J232),,ROUNDDOWN(T$1/K232,0))</f>
        <v/>
      </c>
      <c r="U232" s="62" t="n"/>
      <c r="V232" s="57" t="n"/>
      <c r="W232" s="57" t="n"/>
      <c r="X232" s="57" t="n"/>
      <c r="Y232" s="57" t="n"/>
      <c r="Z232" s="57" t="n"/>
      <c r="AA232" s="63" t="n"/>
    </row>
    <row r="233" hidden="1" ht="13.5" customHeight="1" s="56">
      <c r="A233" s="57" t="inlineStr">
        <is>
          <t>PAYX</t>
        </is>
      </c>
      <c r="B233" s="69" t="n">
        <v>14</v>
      </c>
      <c r="C233" s="61" t="n">
        <v>34.47</v>
      </c>
      <c r="D233" s="61" t="n">
        <v>42.857</v>
      </c>
      <c r="E233" s="61" t="n">
        <v>1.18</v>
      </c>
      <c r="F233" s="66" t="n"/>
      <c r="G233" s="67" t="n">
        <v>45282</v>
      </c>
      <c r="H233" s="74" t="n"/>
      <c r="I233" s="74" t="inlineStr">
        <is>
          <t>2024/01/17</t>
        </is>
      </c>
      <c r="J233" s="23">
        <f>IF(ISBLANK(F233:G233),,IF(COUNTA(F233)=0,G233,F233))</f>
        <v/>
      </c>
      <c r="K233" s="6">
        <f>IFERROR(__xludf.DUMMYFUNCTION("if(isblank(J233),,index(googlefinance(A233,K$2,J233-1),2,2))"),118.9)</f>
        <v/>
      </c>
      <c r="L233" s="37">
        <f>IF(ISBLANK(H233:I233),,IF(COUNTA(H233)=0,I233,H233))</f>
        <v/>
      </c>
      <c r="M233" s="7">
        <f>IFERROR(__xludf.DUMMYFUNCTION("if(isblank(L233),, index(googlefinance(A233,M$2,L233-1),2,2))"),119.81)</f>
        <v/>
      </c>
      <c r="N233" s="8">
        <f>IFERROR(__xludf.DUMMYFUNCTION("if(isblank(A233),,googlefinance(A233))"),120.28)</f>
        <v/>
      </c>
      <c r="O233" s="38">
        <f>IF(ISBLANK(J233),,IF(ISBLANK(L233),"Ongoing","Completed"))</f>
        <v/>
      </c>
      <c r="P233" s="68">
        <f>IF(ISBLANK(A233),,IF(AND(COUNTA(F233)=1,S233&gt;0),"Profit",IF(AND(COUNTA(G233)=1,S233&lt;0),"Profit","Loss")))</f>
        <v/>
      </c>
      <c r="Q233" s="26">
        <f>IF(ISBLANK(T233),,IF(P233="Profit",IF(S233&lt;0,T233*-S233,T233*S233),IF(S233&gt;0,T233*-S233,T233*S233)))</f>
        <v/>
      </c>
      <c r="R233" s="59">
        <f>IF($Q233&gt;0, TRUE, FALSE)</f>
        <v/>
      </c>
      <c r="S233" s="59">
        <f>IF(ISBLANK(J233),,IF(ISBLANK(L233),N233-K233,M233-K233))</f>
        <v/>
      </c>
      <c r="T233" s="61">
        <f>IF(ISBLANK(J233),,ROUNDDOWN(T$1/K233,0))</f>
        <v/>
      </c>
      <c r="U233" s="62" t="n"/>
      <c r="V233" s="57" t="n"/>
      <c r="W233" s="57" t="n"/>
      <c r="X233" s="57" t="n"/>
      <c r="Y233" s="57" t="n"/>
      <c r="Z233" s="57" t="n"/>
      <c r="AA233" s="63" t="n"/>
    </row>
    <row r="234" hidden="1" ht="13.5" customHeight="1" s="56">
      <c r="A234" s="57" t="inlineStr">
        <is>
          <t>EXC</t>
        </is>
      </c>
      <c r="B234" s="69" t="n">
        <v>13</v>
      </c>
      <c r="C234" s="61" t="n">
        <v>63.964</v>
      </c>
      <c r="D234" s="61" t="n">
        <v>38.462</v>
      </c>
      <c r="E234" s="61" t="n">
        <v>1.358</v>
      </c>
      <c r="F234" s="67" t="n">
        <v>45288</v>
      </c>
      <c r="G234" s="74" t="n"/>
      <c r="H234" s="74" t="inlineStr">
        <is>
          <t>2024/01/11</t>
        </is>
      </c>
      <c r="I234" s="74" t="n"/>
      <c r="J234" s="28">
        <f>IF(ISBLANK(F234:G234),,IF(COUNTA(F234)=0,G234,F234))</f>
        <v/>
      </c>
      <c r="K234" s="6">
        <f>IFERROR(__xludf.DUMMYFUNCTION("if(isblank(J234),,index(googlefinance(A234,K$2,J234-1),2,2))"),35.41)</f>
        <v/>
      </c>
      <c r="L234" s="37">
        <f>IF(ISBLANK(H234:I234),,IF(COUNTA(H234)=0,I234,H234))</f>
        <v/>
      </c>
      <c r="M234" s="7">
        <f>IFERROR(__xludf.DUMMYFUNCTION("if(isblank(L234),, index(googlefinance(A234,M$2,L234-1),2,2))"),36.64)</f>
        <v/>
      </c>
      <c r="N234" s="8">
        <f>IFERROR(__xludf.DUMMYFUNCTION("if(isblank(A234),,googlefinance(A234))"),36.48)</f>
        <v/>
      </c>
      <c r="O234" s="38">
        <f>IF(ISBLANK(J234),,IF(ISBLANK(L234),"Ongoing","Completed"))</f>
        <v/>
      </c>
      <c r="P234" s="68">
        <f>IF(ISBLANK(A234),,IF(AND(COUNTA(F234)=1,S234&gt;0),"Profit",IF(AND(COUNTA(G234)=1,S234&lt;0),"Profit","Loss")))</f>
        <v/>
      </c>
      <c r="Q234" s="26">
        <f>IF(ISBLANK(T234),,IF(P234="Profit",IF(S234&lt;0,T234*-S234,T234*S234),IF(S234&gt;0,T234*-S234,T234*S234)))</f>
        <v/>
      </c>
      <c r="R234" s="59">
        <f>IF($Q234&gt;0, TRUE, FALSE)</f>
        <v/>
      </c>
      <c r="S234" s="59">
        <f>IF(ISBLANK(J234),,IF(ISBLANK(L234),N234-K234,M234-K234))</f>
        <v/>
      </c>
      <c r="T234" s="61">
        <f>IF(ISBLANK(J234),,ROUNDDOWN(T$1/K234,0))</f>
        <v/>
      </c>
      <c r="U234" s="62" t="n"/>
      <c r="V234" s="57" t="n"/>
      <c r="W234" s="75" t="n"/>
      <c r="X234" s="57" t="n"/>
      <c r="Y234" s="57" t="n"/>
      <c r="Z234" s="57" t="n"/>
      <c r="AA234" s="63" t="n"/>
    </row>
    <row r="235" hidden="1" ht="13.5" customHeight="1" s="56">
      <c r="A235" s="57" t="inlineStr">
        <is>
          <t>CDNS</t>
        </is>
      </c>
      <c r="B235" s="69" t="n">
        <v>12</v>
      </c>
      <c r="C235" s="61" t="n">
        <v>52.68</v>
      </c>
      <c r="D235" s="61" t="n">
        <v>41.667</v>
      </c>
      <c r="E235" s="61" t="n">
        <v>1.25</v>
      </c>
      <c r="F235" s="74" t="n"/>
      <c r="G235" s="67" t="n">
        <v>45289</v>
      </c>
      <c r="H235" s="74" t="n"/>
      <c r="I235" s="74" t="inlineStr">
        <is>
          <t>2024/01/10</t>
        </is>
      </c>
      <c r="J235" s="23">
        <f>IF(ISBLANK(F235:G235),,IF(COUNTA(F235)=0,G235,F235))</f>
        <v/>
      </c>
      <c r="K235" s="6">
        <f>IFERROR(__xludf.DUMMYFUNCTION("if(isblank(J235),,index(googlefinance(A235,K$2,J235-1),2,2))"),273.24)</f>
        <v/>
      </c>
      <c r="L235" s="37">
        <f>IF(ISBLANK(H235:I235),,IF(COUNTA(H235)=0,I235,H235))</f>
        <v/>
      </c>
      <c r="M235" s="7">
        <f>IFERROR(__xludf.DUMMYFUNCTION("if(isblank(L235),, index(googlefinance(A235,M$2,L235-1),2,2))"),261.75)</f>
        <v/>
      </c>
      <c r="N235" s="8">
        <f>IFERROR(__xludf.DUMMYFUNCTION("if(isblank(A235),,googlefinance(A235))"),298.44)</f>
        <v/>
      </c>
      <c r="O235" s="38">
        <f>IF(ISBLANK(J235),,IF(ISBLANK(L235),"Ongoing","Completed"))</f>
        <v/>
      </c>
      <c r="P235" s="68">
        <f>IF(ISBLANK(A235),,IF(AND(COUNTA(F235)=1,S235&gt;0),"Profit",IF(AND(COUNTA(G235)=1,S235&lt;0),"Profit","Loss")))</f>
        <v/>
      </c>
      <c r="Q235" s="26">
        <f>IF(ISBLANK(T235),,IF(P235="Profit",IF(S235&lt;0,T235*-S235,T235*S235),IF(S235&gt;0,T235*-S235,T235*S235)))</f>
        <v/>
      </c>
      <c r="R235" s="59">
        <f>IF($Q235&gt;0, TRUE, FALSE)</f>
        <v/>
      </c>
      <c r="S235" s="59">
        <f>IF(ISBLANK(J235),,IF(ISBLANK(L235),N235-K235,M235-K235))</f>
        <v/>
      </c>
      <c r="T235" s="61">
        <f>IF(ISBLANK(J235),,ROUNDDOWN(T$1/K235,0))</f>
        <v/>
      </c>
      <c r="U235" s="62" t="n"/>
      <c r="V235" s="57" t="n"/>
      <c r="W235" s="57" t="n"/>
      <c r="X235" s="57" t="n"/>
      <c r="Y235" s="57" t="n"/>
      <c r="Z235" s="57" t="n"/>
      <c r="AA235" s="63" t="n"/>
    </row>
    <row r="236" hidden="1" ht="13.5" customHeight="1" s="56">
      <c r="A236" s="57" t="inlineStr">
        <is>
          <t>GOOG</t>
        </is>
      </c>
      <c r="B236" s="69" t="n">
        <v>9</v>
      </c>
      <c r="C236" s="61" t="n">
        <v>99.813</v>
      </c>
      <c r="D236" s="61" t="n">
        <v>44.444</v>
      </c>
      <c r="E236" s="61" t="n">
        <v>1.968</v>
      </c>
      <c r="F236" s="74" t="n"/>
      <c r="G236" s="67" t="n">
        <v>45293</v>
      </c>
      <c r="H236" s="74" t="n"/>
      <c r="I236" s="74" t="inlineStr">
        <is>
          <t>2024/01/08</t>
        </is>
      </c>
      <c r="J236" s="23">
        <f>IF(ISBLANK(F236:G236),,IF(COUNTA(F236)=0,G236,F236))</f>
        <v/>
      </c>
      <c r="K236" s="6">
        <f>IFERROR(__xludf.DUMMYFUNCTION("if(isblank(J236),,index(googlefinance(A236,K$2,J236-1),2,2))"),139.56)</f>
        <v/>
      </c>
      <c r="L236" s="37">
        <f>IF(ISBLANK(H236:I236),,IF(COUNTA(H236)=0,I236,H236))</f>
        <v/>
      </c>
      <c r="M236" s="7">
        <f>IFERROR(__xludf.DUMMYFUNCTION("if(isblank(L236),, index(googlefinance(A236,M$2,L236-1),2,2))"),140.53)</f>
        <v/>
      </c>
      <c r="N236" s="8">
        <f>IFERROR(__xludf.DUMMYFUNCTION("if(isblank(A236),,googlefinance(A236))"),142.17)</f>
        <v/>
      </c>
      <c r="O236" s="38">
        <f>IF(ISBLANK(J236),,IF(ISBLANK(L236),"Ongoing","Completed"))</f>
        <v/>
      </c>
      <c r="P236" s="68">
        <f>IF(ISBLANK(A236),,IF(AND(COUNTA(F236)=1,S236&gt;0),"Profit",IF(AND(COUNTA(G236)=1,S236&lt;0),"Profit","Loss")))</f>
        <v/>
      </c>
      <c r="Q236" s="26">
        <f>IF(ISBLANK(T236),,IF(P236="Profit",IF(S236&lt;0,T236*-S236,T236*S236),IF(S236&gt;0,T236*-S236,T236*S236)))</f>
        <v/>
      </c>
      <c r="R236" s="59">
        <f>IF($Q236&gt;0, TRUE, FALSE)</f>
        <v/>
      </c>
      <c r="S236" s="59">
        <f>IF(ISBLANK(J236),,IF(ISBLANK(L236),N236-K236,M236-K236))</f>
        <v/>
      </c>
      <c r="T236" s="61">
        <f>IF(ISBLANK(J236),,ROUNDDOWN(T$1/K236,0))</f>
        <v/>
      </c>
      <c r="U236" s="62" t="n"/>
      <c r="V236" s="57" t="n"/>
      <c r="W236" s="57" t="n"/>
      <c r="X236" s="57" t="n"/>
      <c r="Y236" s="57" t="n"/>
      <c r="Z236" s="57" t="n"/>
      <c r="AA236" s="63" t="n"/>
    </row>
    <row r="237" hidden="1" ht="13.5" customHeight="1" s="56">
      <c r="A237" s="57" t="inlineStr">
        <is>
          <t>GOOGL</t>
        </is>
      </c>
      <c r="B237" s="69" t="n">
        <v>8</v>
      </c>
      <c r="C237" s="61" t="n">
        <v>263.024</v>
      </c>
      <c r="D237" s="61" t="n">
        <v>75</v>
      </c>
      <c r="E237" s="61" t="n">
        <v>6.32</v>
      </c>
      <c r="F237" s="74" t="n"/>
      <c r="G237" s="67" t="n">
        <v>45293</v>
      </c>
      <c r="H237" s="74" t="n"/>
      <c r="I237" s="74" t="inlineStr">
        <is>
          <t>2024/01/08</t>
        </is>
      </c>
      <c r="J237" s="23">
        <f>IF(ISBLANK(F237:G237),,IF(COUNTA(F237)=0,G237,F237))</f>
        <v/>
      </c>
      <c r="K237" s="6">
        <f>IFERROR(__xludf.DUMMYFUNCTION("if(isblank(J237),,index(googlefinance(A237,K$2,J237-1),2,2))"),138.17)</f>
        <v/>
      </c>
      <c r="L237" s="37">
        <f>IF(ISBLANK(H237:I237),,IF(COUNTA(H237)=0,I237,H237))</f>
        <v/>
      </c>
      <c r="M237" s="7">
        <f>IFERROR(__xludf.DUMMYFUNCTION("if(isblank(L237),, index(googlefinance(A237,M$2,L237-1),2,2))"),138.84)</f>
        <v/>
      </c>
      <c r="N237" s="8">
        <f>IFERROR(__xludf.DUMMYFUNCTION("if(isblank(A237),,googlefinance(A237))"),141.18)</f>
        <v/>
      </c>
      <c r="O237" s="38">
        <f>IF(ISBLANK(J237),,IF(ISBLANK(L237),"Ongoing","Completed"))</f>
        <v/>
      </c>
      <c r="P237" s="68">
        <f>IF(ISBLANK(A237),,IF(AND(COUNTA(F237)=1,S237&gt;0),"Profit",IF(AND(COUNTA(G237)=1,S237&lt;0),"Profit","Loss")))</f>
        <v/>
      </c>
      <c r="Q237" s="26">
        <f>IF(ISBLANK(T237),,IF(P237="Profit",IF(S237&lt;0,T237*-S237,T237*S237),IF(S237&gt;0,T237*-S237,T237*S237)))</f>
        <v/>
      </c>
      <c r="R237" s="59">
        <f>IF($Q237&gt;0, TRUE, FALSE)</f>
        <v/>
      </c>
      <c r="S237" s="59">
        <f>IF(ISBLANK(J237),,IF(ISBLANK(L237),N237-K237,M237-K237))</f>
        <v/>
      </c>
      <c r="T237" s="61">
        <f>IF(ISBLANK(J237),,ROUNDDOWN(T$1/K237,0))</f>
        <v/>
      </c>
      <c r="U237" s="62" t="n"/>
      <c r="V237" s="57" t="n"/>
      <c r="W237" s="57" t="n"/>
      <c r="X237" s="57" t="n"/>
      <c r="Y237" s="57" t="n"/>
      <c r="Z237" s="57" t="n"/>
      <c r="AA237" s="63" t="n"/>
    </row>
    <row r="238" hidden="1" ht="13.5" customHeight="1" s="56">
      <c r="A238" s="57" t="inlineStr">
        <is>
          <t>ADI</t>
        </is>
      </c>
      <c r="B238" s="69" t="n">
        <v>12</v>
      </c>
      <c r="C238" s="61" t="n">
        <v>65.52</v>
      </c>
      <c r="D238" s="61" t="n">
        <v>50</v>
      </c>
      <c r="E238" s="61" t="n">
        <v>1.317</v>
      </c>
      <c r="F238" s="74" t="n"/>
      <c r="G238" s="67" t="n">
        <v>45294</v>
      </c>
      <c r="H238" s="74" t="n"/>
      <c r="I238" s="74" t="inlineStr">
        <is>
          <t>2024/01/18</t>
        </is>
      </c>
      <c r="J238" s="23">
        <f>IF(ISBLANK(F238:G238),,IF(COUNTA(F238)=0,G238,F238))</f>
        <v/>
      </c>
      <c r="K238" s="6">
        <f>IFERROR(__xludf.DUMMYFUNCTION("if(isblank(J238),,index(googlefinance(A238,K$2,J238-1),2,2))"),193.58)</f>
        <v/>
      </c>
      <c r="L238" s="37">
        <f>IF(ISBLANK(H238:I238),,IF(COUNTA(H238)=0,I238,H238))</f>
        <v/>
      </c>
      <c r="M238" s="7">
        <f>IFERROR(__xludf.DUMMYFUNCTION("if(isblank(L238),, index(googlefinance(A238,M$2,L238-1),2,2))"),185.43)</f>
        <v/>
      </c>
      <c r="N238" s="8">
        <f>IFERROR(__xludf.DUMMYFUNCTION("if(isblank(A238),,googlefinance(A238))"),195.2)</f>
        <v/>
      </c>
      <c r="O238" s="38">
        <f>IF(ISBLANK(J238),,IF(ISBLANK(L238),"Ongoing","Completed"))</f>
        <v/>
      </c>
      <c r="P238" s="68">
        <f>IF(ISBLANK(A238),,IF(AND(COUNTA(F238)=1,S238&gt;0),"Profit",IF(AND(COUNTA(G238)=1,S238&lt;0),"Profit","Loss")))</f>
        <v/>
      </c>
      <c r="Q238" s="26">
        <f>IF(ISBLANK(T238),,IF(P238="Profit",IF(S238&lt;0,T238*-S238,T238*S238),IF(S238&gt;0,T238*-S238,T238*S238)))</f>
        <v/>
      </c>
      <c r="R238" s="59">
        <f>IF($Q238&gt;0, TRUE, FALSE)</f>
        <v/>
      </c>
      <c r="S238" s="59">
        <f>IF(ISBLANK(J238),,IF(ISBLANK(L238),N238-K238,M238-K238))</f>
        <v/>
      </c>
      <c r="T238" s="61">
        <f>IF(ISBLANK(J238),,ROUNDDOWN(T$1/K238,0))</f>
        <v/>
      </c>
      <c r="U238" s="62" t="n"/>
      <c r="V238" s="57" t="n"/>
      <c r="W238" s="57" t="n"/>
      <c r="X238" s="57" t="n"/>
      <c r="Y238" s="57" t="n"/>
      <c r="Z238" s="57" t="n"/>
      <c r="AA238" s="63" t="n"/>
    </row>
    <row r="239" hidden="1" ht="13.5" customHeight="1" s="56">
      <c r="A239" s="57" t="inlineStr">
        <is>
          <t>ASML</t>
        </is>
      </c>
      <c r="B239" s="69" t="n">
        <v>7</v>
      </c>
      <c r="C239" s="61" t="n">
        <v>16.83</v>
      </c>
      <c r="D239" s="61" t="n">
        <v>57.143</v>
      </c>
      <c r="E239" s="61" t="n">
        <v>1.153</v>
      </c>
      <c r="F239" s="74" t="n"/>
      <c r="G239" s="67" t="n">
        <v>45294</v>
      </c>
      <c r="H239" s="74" t="n"/>
      <c r="I239" s="74" t="inlineStr">
        <is>
          <t>2024/01/18</t>
        </is>
      </c>
      <c r="J239" s="23">
        <f>IF(ISBLANK(F239:G239),,IF(COUNTA(F239)=0,G239,F239))</f>
        <v/>
      </c>
      <c r="K239" s="6">
        <f>IFERROR(__xludf.DUMMYFUNCTION("if(isblank(J239),,index(googlefinance(A239,K$2,J239-1),2,2))"),716.92)</f>
        <v/>
      </c>
      <c r="L239" s="37">
        <f>IF(ISBLANK(H239:I239),,IF(COUNTA(H239)=0,I239,H239))</f>
        <v/>
      </c>
      <c r="M239" s="7">
        <f>IFERROR(__xludf.DUMMYFUNCTION("if(isblank(L239),, index(googlefinance(A239,M$2,L239-1),2,2))"),712.27)</f>
        <v/>
      </c>
      <c r="N239" s="8">
        <f>IFERROR(__xludf.DUMMYFUNCTION("if(isblank(A239),,googlefinance(A239))"),940.21)</f>
        <v/>
      </c>
      <c r="O239" s="38">
        <f>IF(ISBLANK(J239),,IF(ISBLANK(L239),"Ongoing","Completed"))</f>
        <v/>
      </c>
      <c r="P239" s="68">
        <f>IF(ISBLANK(A239),,IF(AND(COUNTA(F239)=1,S239&gt;0),"Profit",IF(AND(COUNTA(G239)=1,S239&lt;0),"Profit","Loss")))</f>
        <v/>
      </c>
      <c r="Q239" s="26">
        <f>IF(ISBLANK(T239),,IF(P239="Profit",IF(S239&lt;0,T239*-S239,T239*S239),IF(S239&gt;0,T239*-S239,T239*S239)))</f>
        <v/>
      </c>
      <c r="R239" s="59">
        <f>IF($Q239&gt;0, TRUE, FALSE)</f>
        <v/>
      </c>
      <c r="S239" s="59">
        <f>IF(ISBLANK(J239),,IF(ISBLANK(L239),N239-K239,M239-K239))</f>
        <v/>
      </c>
      <c r="T239" s="61">
        <f>IF(ISBLANK(J239),,ROUNDDOWN(T$1/K239,0))</f>
        <v/>
      </c>
      <c r="U239" s="62" t="n"/>
      <c r="V239" s="57" t="n"/>
      <c r="W239" s="57" t="n"/>
      <c r="X239" s="57" t="n"/>
      <c r="Y239" s="57" t="n"/>
      <c r="Z239" s="57" t="n"/>
      <c r="AA239" s="63" t="n"/>
    </row>
    <row r="240" hidden="1" ht="13.5" customHeight="1" s="56">
      <c r="A240" s="57" t="inlineStr">
        <is>
          <t>FDS</t>
        </is>
      </c>
      <c r="B240" s="69" t="n">
        <v>14</v>
      </c>
      <c r="C240" s="61" t="n">
        <v>96.70999999999999</v>
      </c>
      <c r="D240" s="61" t="n">
        <v>42.857</v>
      </c>
      <c r="E240" s="61" t="n">
        <v>1.496</v>
      </c>
      <c r="F240" s="74" t="n"/>
      <c r="G240" s="67" t="n">
        <v>45294</v>
      </c>
      <c r="H240" s="74" t="n"/>
      <c r="I240" s="74" t="inlineStr">
        <is>
          <t>2024/01/10</t>
        </is>
      </c>
      <c r="J240" s="23">
        <f>IF(ISBLANK(F240:G240),,IF(COUNTA(F240)=0,G240,F240))</f>
        <v/>
      </c>
      <c r="K240" s="6">
        <f>IFERROR(__xludf.DUMMYFUNCTION("if(isblank(J240),,index(googlefinance(A240,K$2,J240-1),2,2))"),462.74)</f>
        <v/>
      </c>
      <c r="L240" s="37">
        <f>IF(ISBLANK(H240:I240),,IF(COUNTA(H240)=0,I240,H240))</f>
        <v/>
      </c>
      <c r="M240" s="7">
        <f>IFERROR(__xludf.DUMMYFUNCTION("if(isblank(L240),, index(googlefinance(A240,M$2,L240-1),2,2))"),454.51)</f>
        <v/>
      </c>
      <c r="N240" s="8">
        <f>IFERROR(__xludf.DUMMYFUNCTION("if(isblank(A240),,googlefinance(A240))"),475.96)</f>
        <v/>
      </c>
      <c r="O240" s="38">
        <f>IF(ISBLANK(J240),,IF(ISBLANK(L240),"Ongoing","Completed"))</f>
        <v/>
      </c>
      <c r="P240" s="68">
        <f>IF(ISBLANK(A240),,IF(AND(COUNTA(F240)=1,S240&gt;0),"Profit",IF(AND(COUNTA(G240)=1,S240&lt;0),"Profit","Loss")))</f>
        <v/>
      </c>
      <c r="Q240" s="26">
        <f>IF(ISBLANK(T240),,IF(P240="Profit",IF(S240&lt;0,T240*-S240,T240*S240),IF(S240&gt;0,T240*-S240,T240*S240)))</f>
        <v/>
      </c>
      <c r="R240" s="59">
        <f>IF($Q240&gt;0, TRUE, FALSE)</f>
        <v/>
      </c>
      <c r="S240" s="59">
        <f>IF(ISBLANK(J240),,IF(ISBLANK(L240),N240-K240,M240-K240))</f>
        <v/>
      </c>
      <c r="T240" s="61">
        <f>IF(ISBLANK(J240),,ROUNDDOWN(T$1/K240,0))</f>
        <v/>
      </c>
      <c r="U240" s="62" t="n"/>
      <c r="V240" s="57" t="n"/>
      <c r="W240" s="57" t="n"/>
      <c r="X240" s="57" t="n"/>
      <c r="Y240" s="57" t="n"/>
      <c r="Z240" s="57" t="n"/>
      <c r="AA240" s="63" t="n"/>
    </row>
    <row r="241" hidden="1" ht="13.5" customHeight="1" s="56">
      <c r="A241" s="57" t="inlineStr">
        <is>
          <t>LRCX</t>
        </is>
      </c>
      <c r="B241" s="69" t="n">
        <v>13</v>
      </c>
      <c r="C241" s="61" t="n">
        <v>76.48</v>
      </c>
      <c r="D241" s="61" t="n">
        <v>23.077</v>
      </c>
      <c r="E241" s="61" t="n">
        <v>1.133</v>
      </c>
      <c r="F241" s="74" t="n"/>
      <c r="G241" s="67" t="n">
        <v>45294</v>
      </c>
      <c r="H241" s="74" t="n"/>
      <c r="I241" s="74" t="inlineStr">
        <is>
          <t>2024/01/11</t>
        </is>
      </c>
      <c r="J241" s="23">
        <f>IF(ISBLANK(F241:G241),,IF(COUNTA(F241)=0,G241,F241))</f>
        <v/>
      </c>
      <c r="K241" s="6">
        <f>IFERROR(__xludf.DUMMYFUNCTION("if(isblank(J241),,index(googlefinance(A241,K$2,J241-1),2,2))"),749.3)</f>
        <v/>
      </c>
      <c r="L241" s="37">
        <f>IF(ISBLANK(H241:I241),,IF(COUNTA(H241)=0,I241,H241))</f>
        <v/>
      </c>
      <c r="M241" s="7">
        <f>IFERROR(__xludf.DUMMYFUNCTION("if(isblank(L241),, index(googlefinance(A241,M$2,L241-1),2,2))"),749.69)</f>
        <v/>
      </c>
      <c r="N241" s="8">
        <f>IFERROR(__xludf.DUMMYFUNCTION("if(isblank(A241),,googlefinance(A241))"),910.09)</f>
        <v/>
      </c>
      <c r="O241" s="38">
        <f>IF(ISBLANK(J241),,IF(ISBLANK(L241),"Ongoing","Completed"))</f>
        <v/>
      </c>
      <c r="P241" s="68">
        <f>IF(ISBLANK(A241),,IF(AND(COUNTA(F241)=1,S241&gt;0),"Profit",IF(AND(COUNTA(G241)=1,S241&lt;0),"Profit","Loss")))</f>
        <v/>
      </c>
      <c r="Q241" s="26">
        <f>IF(ISBLANK(T241),,IF(P241="Profit",IF(S241&lt;0,T241*-S241,T241*S241),IF(S241&gt;0,T241*-S241,T241*S241)))</f>
        <v/>
      </c>
      <c r="R241" s="59">
        <f>IF($Q241&gt;0, TRUE, FALSE)</f>
        <v/>
      </c>
      <c r="S241" s="59">
        <f>IF(ISBLANK(J241),,IF(ISBLANK(L241),N241-K241,M241-K241))</f>
        <v/>
      </c>
      <c r="T241" s="61">
        <f>IF(ISBLANK(J241),,ROUNDDOWN(T$1/K241,0))</f>
        <v/>
      </c>
      <c r="U241" s="62" t="n"/>
      <c r="V241" s="57" t="n"/>
      <c r="W241" s="57" t="n"/>
      <c r="X241" s="57" t="n"/>
      <c r="Y241" s="57" t="n"/>
      <c r="Z241" s="57" t="n"/>
      <c r="AA241" s="63" t="n"/>
    </row>
    <row r="242" hidden="1" ht="13.5" customHeight="1" s="56">
      <c r="A242" s="57" t="inlineStr">
        <is>
          <t>MPWR</t>
        </is>
      </c>
      <c r="B242" s="69" t="n">
        <v>12</v>
      </c>
      <c r="C242" s="61" t="n">
        <v>48.5</v>
      </c>
      <c r="D242" s="61" t="n">
        <v>41.667</v>
      </c>
      <c r="E242" s="61" t="n">
        <v>1.147</v>
      </c>
      <c r="F242" s="74" t="n"/>
      <c r="G242" s="67" t="n">
        <v>45294</v>
      </c>
      <c r="H242" s="74" t="n"/>
      <c r="I242" s="74" t="inlineStr">
        <is>
          <t>2024/01/16</t>
        </is>
      </c>
      <c r="J242" s="23">
        <f>IF(ISBLANK(F242:G242),,IF(COUNTA(F242)=0,G242,F242))</f>
        <v/>
      </c>
      <c r="K242" s="6">
        <f>IFERROR(__xludf.DUMMYFUNCTION("if(isblank(J242),,index(googlefinance(A242,K$2,J242-1),2,2))"),604.0)</f>
        <v/>
      </c>
      <c r="L242" s="37">
        <f>IF(ISBLANK(H242:I242),,IF(COUNTA(H242)=0,I242,H242))</f>
        <v/>
      </c>
      <c r="M242" s="7">
        <f>IFERROR(__xludf.DUMMYFUNCTION("if(isblank(L242),, index(googlefinance(A242,M$2,L242-1),2,2))"),596.41)</f>
        <v/>
      </c>
      <c r="N242" s="8">
        <f>IFERROR(__xludf.DUMMYFUNCTION("if(isblank(A242),,googlefinance(A242))"),686.99)</f>
        <v/>
      </c>
      <c r="O242" s="38">
        <f>IF(ISBLANK(J242),,IF(ISBLANK(L242),"Ongoing","Completed"))</f>
        <v/>
      </c>
      <c r="P242" s="68">
        <f>IF(ISBLANK(A242),,IF(AND(COUNTA(F242)=1,S242&gt;0),"Profit",IF(AND(COUNTA(G242)=1,S242&lt;0),"Profit","Loss")))</f>
        <v/>
      </c>
      <c r="Q242" s="26">
        <f>IF(ISBLANK(T242),,IF(P242="Profit",IF(S242&lt;0,T242*-S242,T242*S242),IF(S242&gt;0,T242*-S242,T242*S242)))</f>
        <v/>
      </c>
      <c r="R242" s="59">
        <f>IF($Q242&gt;0, TRUE, FALSE)</f>
        <v/>
      </c>
      <c r="S242" s="59">
        <f>IF(ISBLANK(J242),,IF(ISBLANK(L242),N242-K242,M242-K242))</f>
        <v/>
      </c>
      <c r="T242" s="61">
        <f>IF(ISBLANK(J242),,ROUNDDOWN(T$1/K242,0))</f>
        <v/>
      </c>
      <c r="U242" s="62" t="n"/>
      <c r="V242" s="57" t="n"/>
      <c r="W242" s="57" t="n"/>
      <c r="X242" s="57" t="n"/>
      <c r="Y242" s="57" t="n"/>
      <c r="Z242" s="57" t="n"/>
      <c r="AA242" s="63" t="n"/>
    </row>
    <row r="243" hidden="1" ht="15.75" customHeight="1" s="56">
      <c r="A243" s="57" t="inlineStr">
        <is>
          <t>ACN</t>
        </is>
      </c>
      <c r="B243" s="59" t="n">
        <v>10</v>
      </c>
      <c r="C243" s="59" t="n">
        <v>122.22</v>
      </c>
      <c r="D243" s="59" t="n">
        <v>40</v>
      </c>
      <c r="E243" s="59" t="n">
        <v>1.491</v>
      </c>
      <c r="F243" s="59" t="n"/>
      <c r="G243" s="67" t="n">
        <v>45295</v>
      </c>
      <c r="H243" s="59" t="n"/>
      <c r="I243" s="59" t="inlineStr">
        <is>
          <t>2024/01/11</t>
        </is>
      </c>
      <c r="J243" s="23">
        <f>IF(ISBLANK(F243:G243),,IF(COUNTA(F243)=0,G243,F243))</f>
        <v/>
      </c>
      <c r="K243" s="6">
        <f>IFERROR(__xludf.DUMMYFUNCTION("if(isblank(J243),,index(googlefinance(A243,K$2,J243-1),2,2))"),337.92)</f>
        <v/>
      </c>
      <c r="L243" s="37">
        <f>IF(ISBLANK(H243:I243),,IF(COUNTA(H243)=0,I243,H243))</f>
        <v/>
      </c>
      <c r="M243" s="7">
        <f>IFERROR(__xludf.DUMMYFUNCTION("if(isblank(L243),, index(googlefinance(A243,M$2,L243-1),2,2))"),345.33)</f>
        <v/>
      </c>
      <c r="N243" s="8">
        <f>IFERROR(__xludf.DUMMYFUNCTION("if(isblank(A243),,googlefinance(A243))"),374.6)</f>
        <v/>
      </c>
      <c r="O243" s="38">
        <f>IF(ISBLANK(J243),,IF(ISBLANK(L243),"Ongoing","Completed"))</f>
        <v/>
      </c>
      <c r="P243" s="68">
        <f>IF(ISBLANK(A243),,IF(AND(COUNTA(F243)=1,S243&gt;0),"Profit",IF(AND(COUNTA(G243)=1,S243&lt;0),"Profit","Loss")))</f>
        <v/>
      </c>
      <c r="Q243" s="26">
        <f>IF(ISBLANK(T243),,IF(P243="Profit",IF(S243&lt;0,T243*-S243,T243*S243),IF(S243&gt;0,T243*-S243,T243*S243)))</f>
        <v/>
      </c>
      <c r="R243" s="59">
        <f>IF($Q243&gt;0, TRUE, FALSE)</f>
        <v/>
      </c>
      <c r="S243" s="59">
        <f>IF(ISBLANK(J243),,IF(ISBLANK(L243),N243-K243,M243-K243))</f>
        <v/>
      </c>
      <c r="T243" s="61">
        <f>IF(ISBLANK(J243),,ROUNDDOWN(T$1/K243,0))</f>
        <v/>
      </c>
      <c r="U243" s="62" t="n"/>
      <c r="V243" s="57" t="n"/>
      <c r="W243" s="57" t="n"/>
      <c r="X243" s="57" t="n"/>
      <c r="Y243" s="57" t="n"/>
      <c r="Z243" s="57" t="n"/>
      <c r="AA243" s="63" t="n"/>
    </row>
    <row r="244" hidden="1" ht="15.75" customHeight="1" s="56">
      <c r="A244" s="57" t="inlineStr">
        <is>
          <t>AVGO</t>
        </is>
      </c>
      <c r="B244" s="59" t="n">
        <v>17</v>
      </c>
      <c r="C244" s="59" t="n">
        <v>118.83</v>
      </c>
      <c r="D244" s="59" t="n">
        <v>29.412</v>
      </c>
      <c r="E244" s="59" t="n">
        <v>1.51</v>
      </c>
      <c r="F244" s="59" t="n"/>
      <c r="G244" s="67" t="n">
        <v>45295</v>
      </c>
      <c r="H244" s="59" t="n"/>
      <c r="I244" s="59" t="inlineStr">
        <is>
          <t>2024/01/11</t>
        </is>
      </c>
      <c r="J244" s="23">
        <f>IF(ISBLANK(F244:G244),,IF(COUNTA(F244)=0,G244,F244))</f>
        <v/>
      </c>
      <c r="K244" s="6">
        <f>IFERROR(__xludf.DUMMYFUNCTION("if(isblank(J244),,index(googlefinance(A244,K$2,J244-1),2,2))"),1058.58)</f>
        <v/>
      </c>
      <c r="L244" s="37">
        <f>IF(ISBLANK(H244:I244),,IF(COUNTA(H244)=0,I244,H244))</f>
        <v/>
      </c>
      <c r="M244" s="7">
        <f>IFERROR(__xludf.DUMMYFUNCTION("if(isblank(L244),, index(googlefinance(A244,M$2,L244-1),2,2))"),1080.57)</f>
        <v/>
      </c>
      <c r="N244" s="8">
        <f>IFERROR(__xludf.DUMMYFUNCTION("if(isblank(A244),,googlefinance(A244))"),1235.5)</f>
        <v/>
      </c>
      <c r="O244" s="38">
        <f>IF(ISBLANK(J244),,IF(ISBLANK(L244),"Ongoing","Completed"))</f>
        <v/>
      </c>
      <c r="P244" s="68">
        <f>IF(ISBLANK(A244),,IF(AND(COUNTA(F244)=1,S244&gt;0),"Profit",IF(AND(COUNTA(G244)=1,S244&lt;0),"Profit","Loss")))</f>
        <v/>
      </c>
      <c r="Q244" s="60">
        <f>IF(ISBLANK(T244),,IF(P244="Profit",IF(S244&lt;0,T244*-S244,T244*S244),IF(S244&gt;0,T244*-S244,T244*S244)))</f>
        <v/>
      </c>
      <c r="R244" s="59">
        <f>IF($Q244&gt;0, TRUE, FALSE)</f>
        <v/>
      </c>
      <c r="S244" s="59">
        <f>IF(ISBLANK(J244),,IF(ISBLANK(L244),N244-K244,M244-K244))</f>
        <v/>
      </c>
      <c r="T244" s="61">
        <f>IF(ISBLANK(J244),,ROUNDDOWN(T$1/K244,0))</f>
        <v/>
      </c>
      <c r="U244" s="62" t="n"/>
      <c r="V244" s="57" t="n"/>
      <c r="W244" s="57" t="n"/>
      <c r="X244" s="57" t="n"/>
      <c r="Y244" s="57" t="n"/>
      <c r="Z244" s="57" t="n"/>
      <c r="AA244" s="63" t="n"/>
    </row>
    <row r="245" hidden="1" ht="15.75" customHeight="1" s="56">
      <c r="A245" s="57" t="inlineStr">
        <is>
          <t>CTAS</t>
        </is>
      </c>
      <c r="B245" s="59" t="n">
        <v>9</v>
      </c>
      <c r="C245" s="59" t="n">
        <v>1.29</v>
      </c>
      <c r="D245" s="59" t="n">
        <v>44.444</v>
      </c>
      <c r="E245" s="59" t="n">
        <v>1.013</v>
      </c>
      <c r="F245" s="59" t="n"/>
      <c r="G245" s="67" t="n">
        <v>45295</v>
      </c>
      <c r="H245" s="59" t="n"/>
      <c r="I245" s="59" t="inlineStr">
        <is>
          <t>2024/01/13</t>
        </is>
      </c>
      <c r="J245" s="23">
        <f>IF(ISBLANK(F245:G245),,IF(COUNTA(F245)=0,G245,F245))</f>
        <v/>
      </c>
      <c r="K245" s="6">
        <f>IFERROR(__xludf.DUMMYFUNCTION("if(isblank(J245),,index(googlefinance(A245,K$2,J245-1),2,2))"),580.28)</f>
        <v/>
      </c>
      <c r="L245" s="37">
        <f>IF(ISBLANK(H245:I245),,IF(COUNTA(H245)=0,I245,H245))</f>
        <v/>
      </c>
      <c r="M245" s="7">
        <f>IFERROR(__xludf.DUMMYFUNCTION("if(isblank(L245),, index(googlefinance(A245,M$2,L245-1),2,2))"),593.0)</f>
        <v/>
      </c>
      <c r="N245" s="8">
        <f>IFERROR(__xludf.DUMMYFUNCTION("if(isblank(A245),,googlefinance(A245))"),627.38)</f>
        <v/>
      </c>
      <c r="O245" s="38">
        <f>IF(ISBLANK(J245),,IF(ISBLANK(L245),"Ongoing","Completed"))</f>
        <v/>
      </c>
      <c r="P245" s="68">
        <f>IF(ISBLANK(A245),,IF(AND(COUNTA(F245)=1,S245&gt;0),"Profit",IF(AND(COUNTA(G245)=1,S245&lt;0),"Profit","Loss")))</f>
        <v/>
      </c>
      <c r="Q245" s="26">
        <f>IF(ISBLANK(T245),,IF(P245="Profit",IF(S245&lt;0,T245*-S245,T245*S245),IF(S245&gt;0,T245*-S245,T245*S245)))</f>
        <v/>
      </c>
      <c r="R245" s="59">
        <f>IF($Q245&gt;0, TRUE, FALSE)</f>
        <v/>
      </c>
      <c r="S245" s="59">
        <f>IF(ISBLANK(J245),,IF(ISBLANK(L245),N245-K245,M245-K245))</f>
        <v/>
      </c>
      <c r="T245" s="61">
        <f>IF(ISBLANK(J245),,ROUNDDOWN(T$1/K245,0))</f>
        <v/>
      </c>
      <c r="U245" s="62" t="n"/>
      <c r="V245" s="57" t="n"/>
      <c r="W245" s="57" t="n"/>
      <c r="X245" s="57" t="n"/>
      <c r="Y245" s="57" t="n"/>
      <c r="Z245" s="57" t="n"/>
      <c r="AA245" s="63" t="n"/>
    </row>
    <row r="246" hidden="1" ht="15.75" customHeight="1" s="56">
      <c r="A246" s="57" t="inlineStr">
        <is>
          <t>IQV</t>
        </is>
      </c>
      <c r="B246" s="59" t="n">
        <v>11</v>
      </c>
      <c r="C246" s="59" t="n">
        <v>34.6</v>
      </c>
      <c r="D246" s="59" t="n">
        <v>27.273</v>
      </c>
      <c r="E246" s="59" t="n">
        <v>1.154</v>
      </c>
      <c r="F246" s="59" t="n"/>
      <c r="G246" s="67" t="n">
        <v>45295</v>
      </c>
      <c r="H246" s="59" t="n"/>
      <c r="I246" s="59" t="inlineStr">
        <is>
          <t>2024/01/22</t>
        </is>
      </c>
      <c r="J246" s="23">
        <f>IF(ISBLANK(F246:G246),,IF(COUNTA(F246)=0,G246,F246))</f>
        <v/>
      </c>
      <c r="K246" s="6">
        <f>IFERROR(__xludf.DUMMYFUNCTION("if(isblank(J246),,index(googlefinance(A246,K$2,J246-1),2,2))"),220.01)</f>
        <v/>
      </c>
      <c r="L246" s="37">
        <f>IF(ISBLANK(H246:I246),,IF(COUNTA(H246)=0,I246,H246))</f>
        <v/>
      </c>
      <c r="M246" s="7">
        <f>IFERROR(__xludf.DUMMYFUNCTION("if(isblank(L246),, index(googlefinance(A246,M$2,L246-1),2,2))"),217.75)</f>
        <v/>
      </c>
      <c r="N246" s="8">
        <f>IFERROR(__xludf.DUMMYFUNCTION("if(isblank(A246),,googlefinance(A246))"),252.71)</f>
        <v/>
      </c>
      <c r="O246" s="38">
        <f>IF(ISBLANK(J246),,IF(ISBLANK(L246),"Ongoing","Completed"))</f>
        <v/>
      </c>
      <c r="P246" s="70">
        <f>IF(ISBLANK(A246),,IF(AND(COUNTA(F246)=1,S246&gt;0),"Profit",IF(AND(COUNTA(G246)=1,S246&lt;0),"Profit","Loss")))</f>
        <v/>
      </c>
      <c r="Q246" s="31">
        <f>IF(ISBLANK(T246),,IF(P246="Profit",IF(S246&lt;0,T246*-S246,T246*S246),IF(S246&gt;0,T246*-S246,T246*S246)))</f>
        <v/>
      </c>
      <c r="R246" s="59">
        <f>IF($Q246&gt;0, TRUE, FALSE)</f>
        <v/>
      </c>
      <c r="S246" s="59">
        <f>IF(ISBLANK(J246),,IF(ISBLANK(L246),N246-K246,M246-K246))</f>
        <v/>
      </c>
      <c r="T246" s="61">
        <f>IF(ISBLANK(J246),,ROUNDDOWN(T$1/K246,0))</f>
        <v/>
      </c>
      <c r="U246" s="62" t="n"/>
      <c r="V246" s="57" t="n"/>
      <c r="W246" s="57" t="n"/>
      <c r="X246" s="57" t="n"/>
      <c r="Y246" s="57" t="n"/>
      <c r="Z246" s="57" t="n"/>
      <c r="AA246" s="63" t="n"/>
    </row>
    <row r="247" hidden="1" ht="15.75" customHeight="1" s="56">
      <c r="A247" s="57" t="inlineStr">
        <is>
          <t>LOW</t>
        </is>
      </c>
      <c r="B247" s="59" t="n">
        <v>10</v>
      </c>
      <c r="C247" s="59" t="n">
        <v>37.73</v>
      </c>
      <c r="D247" s="59" t="n">
        <v>60</v>
      </c>
      <c r="E247" s="59" t="n">
        <v>1.231</v>
      </c>
      <c r="F247" s="59" t="n"/>
      <c r="G247" s="67" t="n">
        <v>45295</v>
      </c>
      <c r="H247" s="59" t="n"/>
      <c r="I247" s="59" t="inlineStr">
        <is>
          <t>2024/01/10</t>
        </is>
      </c>
      <c r="J247" s="23">
        <f>IF(ISBLANK(F247:G247),,IF(COUNTA(F247)=0,G247,F247))</f>
        <v/>
      </c>
      <c r="K247" s="6">
        <f>IFERROR(__xludf.DUMMYFUNCTION("if(isblank(J247),,index(googlefinance(A247,K$2,J247-1),2,2))"),212.27)</f>
        <v/>
      </c>
      <c r="L247" s="37">
        <f>IF(ISBLANK(H247:I247),,IF(COUNTA(H247)=0,I247,H247))</f>
        <v/>
      </c>
      <c r="M247" s="7">
        <f>IFERROR(__xludf.DUMMYFUNCTION("if(isblank(L247),, index(googlefinance(A247,M$2,L247-1),2,2))"),217.01)</f>
        <v/>
      </c>
      <c r="N247" s="8">
        <f>IFERROR(__xludf.DUMMYFUNCTION("if(isblank(A247),,googlefinance(A247))"),244.73)</f>
        <v/>
      </c>
      <c r="O247" s="38">
        <f>IF(ISBLANK(J247),,IF(ISBLANK(L247),"Ongoing","Completed"))</f>
        <v/>
      </c>
      <c r="P247" s="70">
        <f>IF(ISBLANK(A247),,IF(AND(COUNTA(F247)=1,S247&gt;0),"Profit",IF(AND(COUNTA(G247)=1,S247&lt;0),"Profit","Loss")))</f>
        <v/>
      </c>
      <c r="Q247" s="31">
        <f>IF(ISBLANK(T247),,IF(P247="Profit",IF(S247&lt;0,T247*-S247,T247*S247),IF(S247&gt;0,T247*-S247,T247*S247)))</f>
        <v/>
      </c>
      <c r="R247" s="59">
        <f>IF($Q247&gt;0, TRUE, FALSE)</f>
        <v/>
      </c>
      <c r="S247" s="59">
        <f>IF(ISBLANK(J247),,IF(ISBLANK(L247),N247-K247,M247-K247))</f>
        <v/>
      </c>
      <c r="T247" s="61">
        <f>IF(ISBLANK(J247),,ROUNDDOWN(T$1/K247,0))</f>
        <v/>
      </c>
      <c r="U247" s="62" t="n"/>
      <c r="V247" s="57" t="n"/>
      <c r="W247" s="57" t="n"/>
      <c r="X247" s="57" t="n"/>
      <c r="Y247" s="57" t="n"/>
      <c r="Z247" s="57" t="n"/>
      <c r="AA247" s="63" t="n"/>
    </row>
    <row r="248" hidden="1" ht="15.75" customHeight="1" s="56">
      <c r="A248" s="57" t="inlineStr">
        <is>
          <t>PAYC</t>
        </is>
      </c>
      <c r="B248" s="59" t="n">
        <v>12</v>
      </c>
      <c r="C248" s="59" t="n">
        <v>131.94</v>
      </c>
      <c r="D248" s="59" t="n">
        <v>33.333</v>
      </c>
      <c r="E248" s="59" t="n">
        <v>1.553</v>
      </c>
      <c r="F248" s="59" t="n"/>
      <c r="G248" s="67" t="n">
        <v>45295</v>
      </c>
      <c r="H248" s="59" t="n"/>
      <c r="I248" s="59" t="inlineStr">
        <is>
          <t>2024/01/08</t>
        </is>
      </c>
      <c r="J248" s="23">
        <f>IF(ISBLANK(F248:G248),,IF(COUNTA(F248)=0,G248,F248))</f>
        <v/>
      </c>
      <c r="K248" s="6">
        <f>IFERROR(__xludf.DUMMYFUNCTION("if(isblank(J248),,index(googlefinance(A248,K$2,J248-1),2,2))"),194.45)</f>
        <v/>
      </c>
      <c r="L248" s="37">
        <f>IF(ISBLANK(H248:I248),,IF(COUNTA(H248)=0,I248,H248))</f>
        <v/>
      </c>
      <c r="M248" s="7">
        <f>IFERROR(__xludf.DUMMYFUNCTION("if(isblank(L248),, index(googlefinance(A248,M$2,L248-1),2,2))"),204.14)</f>
        <v/>
      </c>
      <c r="N248" s="8">
        <f>IFERROR(__xludf.DUMMYFUNCTION("if(isblank(A248),,googlefinance(A248))"),189.7)</f>
        <v/>
      </c>
      <c r="O248" s="38">
        <f>IF(ISBLANK(J248),,IF(ISBLANK(L248),"Ongoing","Completed"))</f>
        <v/>
      </c>
      <c r="P248" s="70">
        <f>IF(ISBLANK(A248),,IF(AND(COUNTA(F248)=1,S248&gt;0),"Profit",IF(AND(COUNTA(G248)=1,S248&lt;0),"Profit","Loss")))</f>
        <v/>
      </c>
      <c r="Q248" s="31">
        <f>IF(ISBLANK(T248),,IF(P248="Profit",IF(S248&lt;0,T248*-S248,T248*S248),IF(S248&gt;0,T248*-S248,T248*S248)))</f>
        <v/>
      </c>
      <c r="R248" s="59">
        <f>IF($Q248&gt;0, TRUE, FALSE)</f>
        <v/>
      </c>
      <c r="S248" s="59">
        <f>IF(ISBLANK(J248),,IF(ISBLANK(L248),N248-K248,M248-K248))</f>
        <v/>
      </c>
      <c r="T248" s="61">
        <f>IF(ISBLANK(J248),,ROUNDDOWN(T$1/K248,0))</f>
        <v/>
      </c>
      <c r="U248" s="62" t="n"/>
      <c r="V248" s="57" t="n"/>
      <c r="W248" s="57" t="n"/>
      <c r="X248" s="57" t="n"/>
      <c r="Y248" s="57" t="n"/>
      <c r="Z248" s="57" t="n"/>
      <c r="AA248" s="63" t="n"/>
    </row>
    <row r="249" hidden="1" ht="15.75" customHeight="1" s="56">
      <c r="A249" s="57" t="inlineStr">
        <is>
          <t>PODD</t>
        </is>
      </c>
      <c r="B249" s="59" t="n">
        <v>12</v>
      </c>
      <c r="C249" s="59" t="n">
        <v>150.57</v>
      </c>
      <c r="D249" s="59" t="n">
        <v>33.333</v>
      </c>
      <c r="E249" s="59" t="n">
        <v>1.562</v>
      </c>
      <c r="F249" s="59" t="n"/>
      <c r="G249" s="67" t="n">
        <v>45295</v>
      </c>
      <c r="H249" s="59" t="n"/>
      <c r="I249" s="59" t="inlineStr">
        <is>
          <t>2024/01/22</t>
        </is>
      </c>
      <c r="J249" s="23">
        <f>IF(ISBLANK(F249:G249),,IF(COUNTA(F249)=0,G249,F249))</f>
        <v/>
      </c>
      <c r="K249" s="6">
        <f>IFERROR(__xludf.DUMMYFUNCTION("if(isblank(J249),,index(googlefinance(A249,K$2,J249-1),2,2))"),194.66)</f>
        <v/>
      </c>
      <c r="L249" s="37">
        <f>IF(ISBLANK(H249:I249),,IF(COUNTA(H249)=0,I249,H249))</f>
        <v/>
      </c>
      <c r="M249" s="7">
        <f>IFERROR(__xludf.DUMMYFUNCTION("if(isblank(L249),, index(googlefinance(A249,M$2,L249-1),2,2))"),206.03)</f>
        <v/>
      </c>
      <c r="N249" s="8">
        <f>IFERROR(__xludf.DUMMYFUNCTION("if(isblank(A249),,googlefinance(A249))"),165.86)</f>
        <v/>
      </c>
      <c r="O249" s="38">
        <f>IF(ISBLANK(J249),,IF(ISBLANK(L249),"Ongoing","Completed"))</f>
        <v/>
      </c>
      <c r="P249" s="70">
        <f>IF(ISBLANK(A249),,IF(AND(COUNTA(F249)=1,S249&gt;0),"Profit",IF(AND(COUNTA(G249)=1,S249&lt;0),"Profit","Loss")))</f>
        <v/>
      </c>
      <c r="Q249" s="31">
        <f>IF(ISBLANK(T249),,IF(P249="Profit",IF(S249&lt;0,T249*-S249,T249*S249),IF(S249&gt;0,T249*-S249,T249*S249)))</f>
        <v/>
      </c>
      <c r="R249" s="59">
        <f>IF($Q249&gt;0, TRUE, FALSE)</f>
        <v/>
      </c>
      <c r="S249" s="59">
        <f>IF(ISBLANK(J249),,IF(ISBLANK(L249),N249-K249,M249-K249))</f>
        <v/>
      </c>
      <c r="T249" s="61">
        <f>IF(ISBLANK(J249),,ROUNDDOWN(T$1/K249,0))</f>
        <v/>
      </c>
      <c r="U249" s="62" t="n"/>
      <c r="V249" s="57" t="n"/>
      <c r="W249" s="57" t="n"/>
      <c r="X249" s="57" t="n"/>
      <c r="Y249" s="57" t="n"/>
      <c r="Z249" s="57" t="n"/>
      <c r="AA249" s="63" t="n"/>
    </row>
    <row r="250" hidden="1" ht="15.75" customHeight="1" s="56">
      <c r="A250" s="57" t="inlineStr">
        <is>
          <t>RCL</t>
        </is>
      </c>
      <c r="B250" s="59" t="n">
        <v>8</v>
      </c>
      <c r="C250" s="59" t="n">
        <v>246.85</v>
      </c>
      <c r="D250" s="59" t="n">
        <v>25</v>
      </c>
      <c r="E250" s="59" t="n">
        <v>2.629</v>
      </c>
      <c r="F250" s="59" t="n"/>
      <c r="G250" s="67" t="n">
        <v>45295</v>
      </c>
      <c r="H250" s="59" t="n"/>
      <c r="I250" s="59" t="inlineStr">
        <is>
          <t>2024/01/18</t>
        </is>
      </c>
      <c r="J250" s="23">
        <f>IF(ISBLANK(F250:G250),,IF(COUNTA(F250)=0,G250,F250))</f>
        <v/>
      </c>
      <c r="K250" s="6">
        <f>IFERROR(__xludf.DUMMYFUNCTION("if(isblank(J250),,index(googlefinance(A250,K$2,J250-1),2,2))"),117.45)</f>
        <v/>
      </c>
      <c r="L250" s="37">
        <f>IF(ISBLANK(H250:I250),,IF(COUNTA(H250)=0,I250,H250))</f>
        <v/>
      </c>
      <c r="M250" s="7">
        <f>IFERROR(__xludf.DUMMYFUNCTION("if(isblank(L250),, index(googlefinance(A250,M$2,L250-1),2,2))"),122.42)</f>
        <v/>
      </c>
      <c r="N250" s="8">
        <f>IFERROR(__xludf.DUMMYFUNCTION("if(isblank(A250),,googlefinance(A250))"),128.92)</f>
        <v/>
      </c>
      <c r="O250" s="38">
        <f>IF(ISBLANK(J250),,IF(ISBLANK(L250),"Ongoing","Completed"))</f>
        <v/>
      </c>
      <c r="P250" s="70">
        <f>IF(ISBLANK(A250),,IF(AND(COUNTA(F250)=1,S250&gt;0),"Profit",IF(AND(COUNTA(G250)=1,S250&lt;0),"Profit","Loss")))</f>
        <v/>
      </c>
      <c r="Q250" s="31">
        <f>IF(ISBLANK(T250),,IF(P250="Profit",IF(S250&lt;0,T250*-S250,T250*S250),IF(S250&gt;0,T250*-S250,T250*S250)))</f>
        <v/>
      </c>
      <c r="R250" s="59">
        <f>IF($Q250&gt;0, TRUE, FALSE)</f>
        <v/>
      </c>
      <c r="S250" s="59">
        <f>IF(ISBLANK(J250),,IF(ISBLANK(L250),N250-K250,M250-K250))</f>
        <v/>
      </c>
      <c r="T250" s="61">
        <f>IF(ISBLANK(J250),,ROUNDDOWN(T$1/K250,0))</f>
        <v/>
      </c>
      <c r="U250" s="62" t="n"/>
      <c r="V250" s="57" t="n"/>
      <c r="W250" s="57" t="n"/>
      <c r="X250" s="57" t="n"/>
      <c r="Y250" s="57" t="n"/>
      <c r="Z250" s="57" t="n"/>
      <c r="AA250" s="63" t="n"/>
    </row>
    <row r="251" hidden="1" ht="15.75" customHeight="1" s="56">
      <c r="A251" s="57" t="inlineStr">
        <is>
          <t>WDC</t>
        </is>
      </c>
      <c r="B251" s="59" t="n">
        <v>11</v>
      </c>
      <c r="C251" s="59" t="n">
        <v>234.82</v>
      </c>
      <c r="D251" s="59" t="n">
        <v>54.545</v>
      </c>
      <c r="E251" s="59" t="n">
        <v>1.736</v>
      </c>
      <c r="F251" s="59" t="n"/>
      <c r="G251" s="67" t="n">
        <v>45295</v>
      </c>
      <c r="H251" s="59" t="n"/>
      <c r="I251" s="59" t="inlineStr">
        <is>
          <t>2024/01/16</t>
        </is>
      </c>
      <c r="J251" s="23">
        <f>IF(ISBLANK(F251:G251),,IF(COUNTA(F251)=0,G251,F251))</f>
        <v/>
      </c>
      <c r="K251" s="6">
        <f>IFERROR(__xludf.DUMMYFUNCTION("if(isblank(J251),,index(googlefinance(A251,K$2,J251-1),2,2))"),50.34)</f>
        <v/>
      </c>
      <c r="L251" s="37">
        <f>IF(ISBLANK(H251:I251),,IF(COUNTA(H251)=0,I251,H251))</f>
        <v/>
      </c>
      <c r="M251" s="7">
        <f>IFERROR(__xludf.DUMMYFUNCTION("if(isblank(L251),, index(googlefinance(A251,M$2,L251-1),2,2))"),52.23)</f>
        <v/>
      </c>
      <c r="N251" s="8">
        <f>IFERROR(__xludf.DUMMYFUNCTION("if(isblank(A251),,googlefinance(A251))"),59.79)</f>
        <v/>
      </c>
      <c r="O251" s="38">
        <f>IF(ISBLANK(J251),,IF(ISBLANK(L251),"Ongoing","Completed"))</f>
        <v/>
      </c>
      <c r="P251" s="68">
        <f>IF(ISBLANK(A251),,IF(AND(COUNTA(F251)=1,S251&gt;0),"Profit",IF(AND(COUNTA(G251)=1,S251&lt;0),"Profit","Loss")))</f>
        <v/>
      </c>
      <c r="Q251" s="26">
        <f>IF(ISBLANK(T251),,IF(P251="Profit",IF(S251&lt;0,T251*-S251,T251*S251),IF(S251&gt;0,T251*-S251,T251*S251)))</f>
        <v/>
      </c>
      <c r="R251" s="59">
        <f>IF($Q251&gt;0, TRUE, FALSE)</f>
        <v/>
      </c>
      <c r="S251" s="59">
        <f>IF(ISBLANK(J251),,IF(ISBLANK(L251),N251-K251,M251-K251))</f>
        <v/>
      </c>
      <c r="T251" s="61">
        <f>IF(ISBLANK(J251),,ROUNDDOWN(T$1/K251,0))</f>
        <v/>
      </c>
      <c r="U251" s="62" t="n"/>
      <c r="V251" s="57" t="n"/>
      <c r="W251" s="57" t="n"/>
      <c r="X251" s="57" t="n"/>
      <c r="Y251" s="57" t="n"/>
      <c r="Z251" s="57" t="n"/>
      <c r="AA251" s="63" t="n"/>
    </row>
    <row r="252" hidden="1" ht="15.75" customHeight="1" s="56">
      <c r="A252" s="57" t="inlineStr">
        <is>
          <t>ZS</t>
        </is>
      </c>
      <c r="B252" s="59" t="n">
        <v>12</v>
      </c>
      <c r="C252" s="59" t="n">
        <v>441.51</v>
      </c>
      <c r="D252" s="59" t="n">
        <v>41.667</v>
      </c>
      <c r="E252" s="59" t="n">
        <v>2.222</v>
      </c>
      <c r="F252" s="59" t="n"/>
      <c r="G252" s="76" t="n">
        <v>45295</v>
      </c>
      <c r="H252" s="59" t="n"/>
      <c r="I252" s="59" t="inlineStr">
        <is>
          <t>2024/01/08</t>
        </is>
      </c>
      <c r="J252" s="23">
        <f>IF(ISBLANK(F252:G252),,IF(COUNTA(F252)=0,G252,F252))</f>
        <v/>
      </c>
      <c r="K252" s="6">
        <f>IFERROR(__xludf.DUMMYFUNCTION("if(isblank(J252),,index(googlefinance(A252,K$2,J252-1),2,2))"),210.24)</f>
        <v/>
      </c>
      <c r="L252" s="37">
        <f>IF(ISBLANK(H252:I252),,IF(COUNTA(H252)=0,I252,H252))</f>
        <v/>
      </c>
      <c r="M252" s="7">
        <f>IFERROR(__xludf.DUMMYFUNCTION("if(isblank(L252),, index(googlefinance(A252,M$2,L252-1),2,2))"),218.1)</f>
        <v/>
      </c>
      <c r="N252" s="8">
        <f>IFERROR(__xludf.DUMMYFUNCTION("if(isblank(A252),,googlefinance(A252))"),194.03)</f>
        <v/>
      </c>
      <c r="O252" s="38">
        <f>IF(ISBLANK(J252),,IF(ISBLANK(L252),"Ongoing","Completed"))</f>
        <v/>
      </c>
      <c r="P252" s="68">
        <f>IF(ISBLANK(A252),,IF(AND(COUNTA(F252)=1,S252&gt;0),"Profit",IF(AND(COUNTA(G252)=1,S252&lt;0),"Profit","Loss")))</f>
        <v/>
      </c>
      <c r="Q252" s="26">
        <f>IF(ISBLANK(T252),,IF(P252="Profit",IF(S252&lt;0,T252*-S252,T252*S252),IF(S252&gt;0,T252*-S252,T252*S252)))</f>
        <v/>
      </c>
      <c r="R252" s="59">
        <f>IF($Q252&gt;0, TRUE, FALSE)</f>
        <v/>
      </c>
      <c r="S252" s="59">
        <f>IF(ISBLANK(J252),,IF(ISBLANK(L252),N252-K252,M252-K252))</f>
        <v/>
      </c>
      <c r="T252" s="61">
        <f>IF(ISBLANK(J252),,ROUNDDOWN(T$1/K252,0))</f>
        <v/>
      </c>
      <c r="U252" s="62" t="n"/>
      <c r="V252" s="57" t="n"/>
      <c r="W252" s="57" t="n"/>
      <c r="X252" s="57" t="n"/>
      <c r="Y252" s="57" t="n"/>
      <c r="Z252" s="57" t="n"/>
      <c r="AA252" s="63" t="n"/>
    </row>
    <row r="253" hidden="1" ht="15.75" customHeight="1" s="56">
      <c r="A253" s="57" t="inlineStr">
        <is>
          <t>BR</t>
        </is>
      </c>
      <c r="B253" s="59" t="n">
        <v>14</v>
      </c>
      <c r="C253" s="59" t="n">
        <v>220.57</v>
      </c>
      <c r="D253" s="59" t="n">
        <v>57.143</v>
      </c>
      <c r="E253" s="59" t="n">
        <v>1.795</v>
      </c>
      <c r="F253" s="59" t="n"/>
      <c r="G253" s="77" t="n">
        <v>45296</v>
      </c>
      <c r="H253" s="59" t="n"/>
      <c r="I253" s="59" t="inlineStr">
        <is>
          <t>2024/01/10</t>
        </is>
      </c>
      <c r="J253" s="23">
        <f>IF(ISBLANK(F253:G253),,IF(COUNTA(F253)=0,G253,F253))</f>
        <v/>
      </c>
      <c r="K253" s="6">
        <f>IFERROR(__xludf.DUMMYFUNCTION("if(isblank(J253),,index(googlefinance(A253,K$2,J253-1),2,2))"),197.09)</f>
        <v/>
      </c>
      <c r="L253" s="37">
        <f>IF(ISBLANK(H253:I253),,IF(COUNTA(H253)=0,I253,H253))</f>
        <v/>
      </c>
      <c r="M253" s="7">
        <f>IFERROR(__xludf.DUMMYFUNCTION("if(isblank(L253),, index(googlefinance(A253,M$2,L253-1),2,2))"),200.0)</f>
        <v/>
      </c>
      <c r="N253" s="8">
        <f>IFERROR(__xludf.DUMMYFUNCTION("if(isblank(A253),,googlefinance(A253))"),200.2)</f>
        <v/>
      </c>
      <c r="O253" s="38">
        <f>IF(ISBLANK(J253),,IF(ISBLANK(L253),"Ongoing","Completed"))</f>
        <v/>
      </c>
      <c r="P253" s="68">
        <f>IF(ISBLANK(A253),,IF(AND(COUNTA(F253)=1,S253&gt;0),"Profit",IF(AND(COUNTA(G253)=1,S253&lt;0),"Profit","Loss")))</f>
        <v/>
      </c>
      <c r="Q253" s="26">
        <f>IF(ISBLANK(T253),,IF(P253="Profit",IF(S253&lt;0,T253*-S253,T253*S253),IF(S253&gt;0,T253*-S253,T253*S253)))</f>
        <v/>
      </c>
      <c r="R253" s="59">
        <f>IF($Q253&gt;0, TRUE, FALSE)</f>
        <v/>
      </c>
      <c r="S253" s="59">
        <f>IF(ISBLANK(J253),,IF(ISBLANK(L253),N253-K253,M253-K253))</f>
        <v/>
      </c>
      <c r="T253" s="61">
        <f>IF(ISBLANK(J253),,ROUNDDOWN(T$1/K253,0))</f>
        <v/>
      </c>
      <c r="U253" s="62" t="n"/>
      <c r="V253" s="57" t="n"/>
      <c r="W253" s="57" t="n"/>
      <c r="X253" s="57" t="n"/>
      <c r="Y253" s="57" t="n"/>
      <c r="Z253" s="57" t="n"/>
      <c r="AA253" s="63" t="n"/>
    </row>
    <row r="254" hidden="1" ht="15.75" customHeight="1" s="56">
      <c r="A254" s="57" t="inlineStr">
        <is>
          <t>BX</t>
        </is>
      </c>
      <c r="B254" s="59" t="n">
        <v>10</v>
      </c>
      <c r="C254" s="59" t="n">
        <v>111.89</v>
      </c>
      <c r="D254" s="59" t="n">
        <v>40</v>
      </c>
      <c r="E254" s="59" t="n">
        <v>1.652</v>
      </c>
      <c r="F254" s="59" t="n"/>
      <c r="G254" s="77" t="n">
        <v>45296</v>
      </c>
      <c r="H254" s="59" t="n"/>
      <c r="I254" s="59" t="inlineStr">
        <is>
          <t>2024/01/25</t>
        </is>
      </c>
      <c r="J254" s="23">
        <f>IF(ISBLANK(F254:G254),,IF(COUNTA(F254)=0,G254,F254))</f>
        <v/>
      </c>
      <c r="K254" s="6">
        <f>IFERROR(__xludf.DUMMYFUNCTION("if(isblank(J254),,index(googlefinance(A254,K$2,J254-1),2,2))"),122.9)</f>
        <v/>
      </c>
      <c r="L254" s="37">
        <f>IF(ISBLANK(H254:I254),,IF(COUNTA(H254)=0,I254,H254))</f>
        <v/>
      </c>
      <c r="M254" s="7">
        <f>IFERROR(__xludf.DUMMYFUNCTION("if(isblank(L254),, index(googlefinance(A254,M$2,L254-1),2,2))"),120.63)</f>
        <v/>
      </c>
      <c r="N254" s="8">
        <f>IFERROR(__xludf.DUMMYFUNCTION("if(isblank(A254),,googlefinance(A254))"),124.97)</f>
        <v/>
      </c>
      <c r="O254" s="38">
        <f>IF(ISBLANK(J254),,IF(ISBLANK(L254),"Ongoing","Completed"))</f>
        <v/>
      </c>
      <c r="P254" s="68">
        <f>IF(ISBLANK(A254),,IF(AND(COUNTA(F254)=1,S254&gt;0),"Profit",IF(AND(COUNTA(G254)=1,S254&lt;0),"Profit","Loss")))</f>
        <v/>
      </c>
      <c r="Q254" s="26">
        <f>IF(ISBLANK(T254),,IF(P254="Profit",IF(S254&lt;0,T254*-S254,T254*S254),IF(S254&gt;0,T254*-S254,T254*S254)))</f>
        <v/>
      </c>
      <c r="R254" s="59">
        <f>IF($Q254&gt;0, TRUE, FALSE)</f>
        <v/>
      </c>
      <c r="S254" s="59">
        <f>IF(ISBLANK(J254),,IF(ISBLANK(L254),N254-K254,M254-K254))</f>
        <v/>
      </c>
      <c r="T254" s="61">
        <f>IF(ISBLANK(J254),,ROUNDDOWN(T$1/K254,0))</f>
        <v/>
      </c>
      <c r="U254" s="62" t="n"/>
      <c r="V254" s="57" t="n"/>
      <c r="W254" s="57" t="n"/>
      <c r="X254" s="57" t="n"/>
      <c r="Y254" s="57" t="n"/>
      <c r="Z254" s="57" t="n"/>
      <c r="AA254" s="63" t="n"/>
    </row>
    <row r="255" hidden="1" ht="15.75" customHeight="1" s="56">
      <c r="A255" s="57" t="inlineStr">
        <is>
          <t>CBRE</t>
        </is>
      </c>
      <c r="B255" s="59" t="n">
        <v>14</v>
      </c>
      <c r="C255" s="59" t="n">
        <v>53.59</v>
      </c>
      <c r="D255" s="59" t="n">
        <v>42.857</v>
      </c>
      <c r="E255" s="59" t="n">
        <v>1.215</v>
      </c>
      <c r="F255" s="59" t="n"/>
      <c r="G255" s="77" t="n">
        <v>45296</v>
      </c>
      <c r="H255" s="59" t="n"/>
      <c r="I255" s="59" t="inlineStr">
        <is>
          <t>2024/01/22</t>
        </is>
      </c>
      <c r="J255" s="23">
        <f>IF(ISBLANK(F255:G255),,IF(COUNTA(F255)=0,G255,F255))</f>
        <v/>
      </c>
      <c r="K255" s="6">
        <f>IFERROR(__xludf.DUMMYFUNCTION("if(isblank(J255),,index(googlefinance(A255,K$2,J255-1),2,2))"),87.42)</f>
        <v/>
      </c>
      <c r="L255" s="37">
        <f>IF(ISBLANK(H255:I255),,IF(COUNTA(H255)=0,I255,H255))</f>
        <v/>
      </c>
      <c r="M255" s="7">
        <f>IFERROR(__xludf.DUMMYFUNCTION("if(isblank(L255),, index(googlefinance(A255,M$2,L255-1),2,2))"),87.41)</f>
        <v/>
      </c>
      <c r="N255" s="8">
        <f>IFERROR(__xludf.DUMMYFUNCTION("if(isblank(A255),,googlefinance(A255))"),93.21)</f>
        <v/>
      </c>
      <c r="O255" s="38">
        <f>IF(ISBLANK(J255),,IF(ISBLANK(L255),"Ongoing","Completed"))</f>
        <v/>
      </c>
      <c r="P255" s="68">
        <f>IF(ISBLANK(A255),,IF(AND(COUNTA(F255)=1,S255&gt;0),"Profit",IF(AND(COUNTA(G255)=1,S255&lt;0),"Profit","Loss")))</f>
        <v/>
      </c>
      <c r="Q255" s="26">
        <f>IF(ISBLANK(T255),,IF(P255="Profit",IF(S255&lt;0,T255*-S255,T255*S255),IF(S255&gt;0,T255*-S255,T255*S255)))</f>
        <v/>
      </c>
      <c r="R255" s="59">
        <f>IF($Q255&gt;0, TRUE, FALSE)</f>
        <v/>
      </c>
      <c r="S255" s="59">
        <f>IF(ISBLANK(J255),,IF(ISBLANK(L255),N255-K255,M255-K255))</f>
        <v/>
      </c>
      <c r="T255" s="61">
        <f>IF(ISBLANK(J255),,ROUNDDOWN(T$1/K255,0))</f>
        <v/>
      </c>
      <c r="U255" s="62" t="n"/>
      <c r="V255" s="57" t="n"/>
      <c r="W255" s="57" t="n"/>
      <c r="X255" s="57" t="n"/>
      <c r="Y255" s="57" t="n"/>
      <c r="Z255" s="57" t="n"/>
      <c r="AA255" s="63" t="n"/>
    </row>
    <row r="256" hidden="1" ht="15.75" customHeight="1" s="56">
      <c r="A256" s="57" t="inlineStr">
        <is>
          <t>ENPH</t>
        </is>
      </c>
      <c r="B256" s="59" t="n">
        <v>10</v>
      </c>
      <c r="C256" s="59" t="n">
        <v>339.09</v>
      </c>
      <c r="D256" s="59" t="n">
        <v>30</v>
      </c>
      <c r="E256" s="59" t="n">
        <v>2.032</v>
      </c>
      <c r="F256" s="59" t="n"/>
      <c r="G256" s="77" t="n">
        <v>45296</v>
      </c>
      <c r="H256" s="59" t="n"/>
      <c r="I256" s="59" t="inlineStr">
        <is>
          <t>2024/01/23</t>
        </is>
      </c>
      <c r="J256" s="23">
        <f>IF(ISBLANK(F256:G256),,IF(COUNTA(F256)=0,G256,F256))</f>
        <v/>
      </c>
      <c r="K256" s="6">
        <f>IFERROR(__xludf.DUMMYFUNCTION("if(isblank(J256),,index(googlefinance(A256,K$2,J256-1),2,2))"),118.07)</f>
        <v/>
      </c>
      <c r="L256" s="37">
        <f>IF(ISBLANK(H256:I256),,IF(COUNTA(H256)=0,I256,H256))</f>
        <v/>
      </c>
      <c r="M256" s="7">
        <f>IFERROR(__xludf.DUMMYFUNCTION("if(isblank(L256),, index(googlefinance(A256,M$2,L256-1),2,2))"),107.15)</f>
        <v/>
      </c>
      <c r="N256" s="8">
        <f>IFERROR(__xludf.DUMMYFUNCTION("if(isblank(A256),,googlefinance(A256))"),107.73)</f>
        <v/>
      </c>
      <c r="O256" s="38">
        <f>IF(ISBLANK(J256),,IF(ISBLANK(L256),"Ongoing","Completed"))</f>
        <v/>
      </c>
      <c r="P256" s="68">
        <f>IF(ISBLANK(A256),,IF(AND(COUNTA(F256)=1,S256&gt;0),"Profit",IF(AND(COUNTA(G256)=1,S256&lt;0),"Profit","Loss")))</f>
        <v/>
      </c>
      <c r="Q256" s="26">
        <f>IF(ISBLANK(T256),,IF(P256="Profit",IF(S256&lt;0,T256*-S256,T256*S256),IF(S256&gt;0,T256*-S256,T256*S256)))</f>
        <v/>
      </c>
      <c r="R256" s="59">
        <f>IF($Q256&gt;0, TRUE, FALSE)</f>
        <v/>
      </c>
      <c r="S256" s="59">
        <f>IF(ISBLANK(J256),,IF(ISBLANK(L256),N256-K256,M256-K256))</f>
        <v/>
      </c>
      <c r="T256" s="61">
        <f>IF(ISBLANK(J256),,ROUNDDOWN(T$1/K256,0))</f>
        <v/>
      </c>
      <c r="U256" s="62" t="n"/>
      <c r="V256" s="57" t="n"/>
      <c r="W256" s="57" t="n"/>
      <c r="X256" s="57" t="n"/>
      <c r="Y256" s="57" t="n"/>
      <c r="Z256" s="57" t="n"/>
      <c r="AA256" s="63" t="n"/>
    </row>
    <row r="257" hidden="1" ht="15.75" customHeight="1" s="56">
      <c r="A257" s="57" t="inlineStr">
        <is>
          <t>GD</t>
        </is>
      </c>
      <c r="B257" s="59" t="n">
        <v>10</v>
      </c>
      <c r="C257" s="59" t="n">
        <v>1.28</v>
      </c>
      <c r="D257" s="59" t="n">
        <v>50</v>
      </c>
      <c r="E257" s="59" t="n">
        <v>1.015</v>
      </c>
      <c r="F257" s="59" t="n"/>
      <c r="G257" s="77" t="n">
        <v>45296</v>
      </c>
      <c r="H257" s="59" t="n"/>
      <c r="I257" s="59" t="inlineStr">
        <is>
          <t>2024/01/13</t>
        </is>
      </c>
      <c r="J257" s="23">
        <f>IF(ISBLANK(F257:G257),,IF(COUNTA(F257)=0,G257,F257))</f>
        <v/>
      </c>
      <c r="K257" s="6">
        <f>IFERROR(__xludf.DUMMYFUNCTION("if(isblank(J257),,index(googlefinance(A257,K$2,J257-1),2,2))"),256.18)</f>
        <v/>
      </c>
      <c r="L257" s="37">
        <f>IF(ISBLANK(H257:I257),,IF(COUNTA(H257)=0,I257,H257))</f>
        <v/>
      </c>
      <c r="M257" s="7">
        <f>IFERROR(__xludf.DUMMYFUNCTION("if(isblank(L257),, index(googlefinance(A257,M$2,L257-1),2,2))"),254.81)</f>
        <v/>
      </c>
      <c r="N257" s="8">
        <f>IFERROR(__xludf.DUMMYFUNCTION("if(isblank(A257),,googlefinance(A257))"),275.21)</f>
        <v/>
      </c>
      <c r="O257" s="38">
        <f>IF(ISBLANK(J257),,IF(ISBLANK(L257),"Ongoing","Completed"))</f>
        <v/>
      </c>
      <c r="P257" s="68">
        <f>IF(ISBLANK(A257),,IF(AND(COUNTA(F257)=1,S257&gt;0),"Profit",IF(AND(COUNTA(G257)=1,S257&lt;0),"Profit","Loss")))</f>
        <v/>
      </c>
      <c r="Q257" s="26">
        <f>IF(ISBLANK(T257),,IF(P257="Profit",IF(S257&lt;0,T257*-S257,T257*S257),IF(S257&gt;0,T257*-S257,T257*S257)))</f>
        <v/>
      </c>
      <c r="R257" s="59">
        <f>IF($Q257&gt;0, TRUE, FALSE)</f>
        <v/>
      </c>
      <c r="S257" s="59">
        <f>IF(ISBLANK(J257),,IF(ISBLANK(L257),N257-K257,M257-K257))</f>
        <v/>
      </c>
      <c r="T257" s="61">
        <f>IF(ISBLANK(J257),,ROUNDDOWN(T$1/K257,0))</f>
        <v/>
      </c>
      <c r="U257" s="62" t="n"/>
      <c r="V257" s="57" t="n"/>
      <c r="W257" s="57" t="n"/>
      <c r="X257" s="57" t="n"/>
      <c r="Y257" s="57" t="n"/>
      <c r="Z257" s="57" t="n"/>
      <c r="AA257" s="63" t="n"/>
    </row>
    <row r="258" hidden="1" ht="15.75" customHeight="1" s="56">
      <c r="A258" s="57" t="inlineStr">
        <is>
          <t>IR</t>
        </is>
      </c>
      <c r="B258" s="59" t="n">
        <v>17</v>
      </c>
      <c r="C258" s="59" t="n">
        <v>297.68</v>
      </c>
      <c r="D258" s="59" t="n">
        <v>35.294</v>
      </c>
      <c r="E258" s="59" t="n">
        <v>1.928</v>
      </c>
      <c r="F258" s="59" t="n"/>
      <c r="G258" s="77" t="n">
        <v>45296</v>
      </c>
      <c r="H258" s="59" t="n"/>
      <c r="I258" s="59" t="inlineStr">
        <is>
          <t>2024/01/10</t>
        </is>
      </c>
      <c r="J258" s="23">
        <f>IF(ISBLANK(F258:G258),,IF(COUNTA(F258)=0,G258,F258))</f>
        <v/>
      </c>
      <c r="K258" s="6">
        <f>IFERROR(__xludf.DUMMYFUNCTION("if(isblank(J258),,index(googlefinance(A258,K$2,J258-1),2,2))"),74.94)</f>
        <v/>
      </c>
      <c r="L258" s="37">
        <f>IF(ISBLANK(H258:I258),,IF(COUNTA(H258)=0,I258,H258))</f>
        <v/>
      </c>
      <c r="M258" s="7">
        <f>IFERROR(__xludf.DUMMYFUNCTION("if(isblank(L258),, index(googlefinance(A258,M$2,L258-1),2,2))"),75.91)</f>
        <v/>
      </c>
      <c r="N258" s="8">
        <f>IFERROR(__xludf.DUMMYFUNCTION("if(isblank(A258),,googlefinance(A258))"),90.47)</f>
        <v/>
      </c>
      <c r="O258" s="38">
        <f>IF(ISBLANK(J258),,IF(ISBLANK(L258),"Ongoing","Completed"))</f>
        <v/>
      </c>
      <c r="P258" s="68">
        <f>IF(ISBLANK(A258),,IF(AND(COUNTA(F258)=1,S258&gt;0),"Profit",IF(AND(COUNTA(G258)=1,S258&lt;0),"Profit","Loss")))</f>
        <v/>
      </c>
      <c r="Q258" s="26">
        <f>IF(ISBLANK(T258),,IF(P258="Profit",IF(S258&lt;0,T258*-S258,T258*S258),IF(S258&gt;0,T258*-S258,T258*S258)))</f>
        <v/>
      </c>
      <c r="R258" s="59">
        <f>IF($Q258&gt;0, TRUE, FALSE)</f>
        <v/>
      </c>
      <c r="S258" s="59">
        <f>IF(ISBLANK(J258),,IF(ISBLANK(L258),N258-K258,M258-K258))</f>
        <v/>
      </c>
      <c r="T258" s="61">
        <f>IF(ISBLANK(J258),,ROUNDDOWN(T$1/K258,0))</f>
        <v/>
      </c>
      <c r="U258" s="62" t="n"/>
      <c r="V258" s="57" t="n"/>
      <c r="W258" s="57" t="n"/>
      <c r="X258" s="57" t="n"/>
      <c r="Y258" s="57" t="n"/>
      <c r="Z258" s="57" t="n"/>
      <c r="AA258" s="63" t="n"/>
    </row>
    <row r="259" hidden="1" ht="15.75" customHeight="1" s="56">
      <c r="A259" s="57" t="inlineStr">
        <is>
          <t>IRM</t>
        </is>
      </c>
      <c r="B259" s="59" t="n">
        <v>11</v>
      </c>
      <c r="C259" s="59" t="n">
        <v>215.37</v>
      </c>
      <c r="D259" s="59" t="n">
        <v>54.545</v>
      </c>
      <c r="E259" s="59" t="n">
        <v>2.427</v>
      </c>
      <c r="F259" s="59" t="n"/>
      <c r="G259" s="77" t="n">
        <v>45296</v>
      </c>
      <c r="H259" s="59" t="n"/>
      <c r="I259" s="59" t="inlineStr">
        <is>
          <t>2024/01/23</t>
        </is>
      </c>
      <c r="J259" s="23">
        <f>IF(ISBLANK(F259:G259),,IF(COUNTA(F259)=0,G259,F259))</f>
        <v/>
      </c>
      <c r="K259" s="6">
        <f>IFERROR(__xludf.DUMMYFUNCTION("if(isblank(J259),,index(googlefinance(A259,K$2,J259-1),2,2))"),66.56)</f>
        <v/>
      </c>
      <c r="L259" s="37">
        <f>IF(ISBLANK(H259:I259),,IF(COUNTA(H259)=0,I259,H259))</f>
        <v/>
      </c>
      <c r="M259" s="7">
        <f>IFERROR(__xludf.DUMMYFUNCTION("if(isblank(L259),, index(googlefinance(A259,M$2,L259-1),2,2))"),67.11)</f>
        <v/>
      </c>
      <c r="N259" s="8">
        <f>IFERROR(__xludf.DUMMYFUNCTION("if(isblank(A259),,googlefinance(A259))"),78.61)</f>
        <v/>
      </c>
      <c r="O259" s="38">
        <f>IF(ISBLANK(J259),,IF(ISBLANK(L259),"Ongoing","Completed"))</f>
        <v/>
      </c>
      <c r="P259" s="70">
        <f>IF(ISBLANK(A259),,IF(AND(COUNTA(F259)=1,S259&gt;0),"Profit",IF(AND(COUNTA(G259)=1,S259&lt;0),"Profit","Loss")))</f>
        <v/>
      </c>
      <c r="Q259" s="31">
        <f>IF(ISBLANK(T259),,IF(P259="Profit",IF(S259&lt;0,T259*-S259,T259*S259),IF(S259&gt;0,T259*-S259,T259*S259)))</f>
        <v/>
      </c>
      <c r="R259" s="59">
        <f>IF($Q259&gt;0, TRUE, FALSE)</f>
        <v/>
      </c>
      <c r="S259" s="59">
        <f>IF(ISBLANK(J259),,IF(ISBLANK(L259),N259-K259,M259-K259))</f>
        <v/>
      </c>
      <c r="T259" s="61">
        <f>IF(ISBLANK(J259),,ROUNDDOWN(T$1/K259,0))</f>
        <v/>
      </c>
      <c r="U259" s="62" t="n"/>
      <c r="V259" s="57" t="n"/>
      <c r="W259" s="57" t="n"/>
      <c r="X259" s="57" t="n"/>
      <c r="Y259" s="57" t="n"/>
      <c r="Z259" s="57" t="n"/>
      <c r="AA259" s="63" t="n"/>
    </row>
    <row r="260" hidden="1" ht="15.75" customHeight="1" s="56">
      <c r="A260" s="57" t="inlineStr">
        <is>
          <t>NDSN</t>
        </is>
      </c>
      <c r="B260" s="59" t="n">
        <v>14</v>
      </c>
      <c r="C260" s="59" t="n">
        <v>10.23</v>
      </c>
      <c r="D260" s="59" t="n">
        <v>21.429</v>
      </c>
      <c r="E260" s="59" t="n">
        <v>1.042</v>
      </c>
      <c r="F260" s="59" t="n"/>
      <c r="G260" s="77" t="n">
        <v>45296</v>
      </c>
      <c r="H260" s="59" t="n"/>
      <c r="I260" s="59" t="inlineStr">
        <is>
          <t>2024/01/19</t>
        </is>
      </c>
      <c r="J260" s="23">
        <f>IF(ISBLANK(F260:G260),,IF(COUNTA(F260)=0,G260,F260))</f>
        <v/>
      </c>
      <c r="K260" s="6">
        <f>IFERROR(__xludf.DUMMYFUNCTION("if(isblank(J260),,index(googlefinance(A260,K$2,J260-1),2,2))"),251.15)</f>
        <v/>
      </c>
      <c r="L260" s="37">
        <f>IF(ISBLANK(H260:I260),,IF(COUNTA(H260)=0,I260,H260))</f>
        <v/>
      </c>
      <c r="M260" s="7">
        <f>IFERROR(__xludf.DUMMYFUNCTION("if(isblank(L260),, index(googlefinance(A260,M$2,L260-1),2,2))"),251.54)</f>
        <v/>
      </c>
      <c r="N260" s="8">
        <f>IFERROR(__xludf.DUMMYFUNCTION("if(isblank(A260),,googlefinance(A260))"),263.2)</f>
        <v/>
      </c>
      <c r="O260" s="38">
        <f>IF(ISBLANK(J260),,IF(ISBLANK(L260),"Ongoing","Completed"))</f>
        <v/>
      </c>
      <c r="P260" s="70">
        <f>IF(ISBLANK(A260),,IF(AND(COUNTA(F260)=1,S260&gt;0),"Profit",IF(AND(COUNTA(G260)=1,S260&lt;0),"Profit","Loss")))</f>
        <v/>
      </c>
      <c r="Q260" s="31">
        <f>IF(ISBLANK(T260),,IF(P260="Profit",IF(S260&lt;0,T260*-S260,T260*S260),IF(S260&gt;0,T260*-S260,T260*S260)))</f>
        <v/>
      </c>
      <c r="R260" s="59">
        <f>IF($Q260&gt;0, TRUE, FALSE)</f>
        <v/>
      </c>
      <c r="S260" s="59">
        <f>IF(ISBLANK(J260),,IF(ISBLANK(L260),N260-K260,M260-K260))</f>
        <v/>
      </c>
      <c r="T260" s="61">
        <f>IF(ISBLANK(J260),,ROUNDDOWN(T$1/K260,0))</f>
        <v/>
      </c>
      <c r="U260" s="62" t="n"/>
      <c r="V260" s="78" t="n"/>
      <c r="W260" s="72" t="n"/>
      <c r="X260" s="72" t="n"/>
      <c r="Y260" s="57" t="n"/>
      <c r="Z260" s="57" t="n"/>
      <c r="AA260" s="63" t="n"/>
    </row>
    <row r="261" hidden="1" ht="15.75" customHeight="1" s="56">
      <c r="A261" s="57" t="inlineStr">
        <is>
          <t>WAT</t>
        </is>
      </c>
      <c r="B261" s="59" t="n">
        <v>12</v>
      </c>
      <c r="C261" s="59" t="n">
        <v>348.77</v>
      </c>
      <c r="D261" s="59" t="n">
        <v>50</v>
      </c>
      <c r="E261" s="59" t="n">
        <v>2.704</v>
      </c>
      <c r="F261" s="59" t="n"/>
      <c r="G261" s="77" t="n">
        <v>45296</v>
      </c>
      <c r="H261" s="59" t="n"/>
      <c r="I261" s="59" t="inlineStr">
        <is>
          <t>2024/01/19</t>
        </is>
      </c>
      <c r="J261" s="23">
        <f>IF(ISBLANK(F261:G261),,IF(COUNTA(F261)=0,G261,F261))</f>
        <v/>
      </c>
      <c r="K261" s="6">
        <f>IFERROR(__xludf.DUMMYFUNCTION("if(isblank(J261),,index(googlefinance(A261,K$2,J261-1),2,2))"),307.37)</f>
        <v/>
      </c>
      <c r="L261" s="37">
        <f>IF(ISBLANK(H261:I261),,IF(COUNTA(H261)=0,I261,H261))</f>
        <v/>
      </c>
      <c r="M261" s="7">
        <f>IFERROR(__xludf.DUMMYFUNCTION("if(isblank(L261),, index(googlefinance(A261,M$2,L261-1),2,2))"),310.16)</f>
        <v/>
      </c>
      <c r="N261" s="8">
        <f>IFERROR(__xludf.DUMMYFUNCTION("if(isblank(A261),,googlefinance(A261))"),352.9)</f>
        <v/>
      </c>
      <c r="O261" s="38">
        <f>IF(ISBLANK(J261),,IF(ISBLANK(L261),"Ongoing","Completed"))</f>
        <v/>
      </c>
      <c r="P261" s="70">
        <f>IF(ISBLANK(A261),,IF(AND(COUNTA(F261)=1,S261&gt;0),"Profit",IF(AND(COUNTA(G261)=1,S261&lt;0),"Profit","Loss")))</f>
        <v/>
      </c>
      <c r="Q261" s="31">
        <f>IF(ISBLANK(T261),,IF(P261="Profit",IF(S261&lt;0,T261*-S261,T261*S261),IF(S261&gt;0,T261*-S261,T261*S261)))</f>
        <v/>
      </c>
      <c r="R261" s="59">
        <f>IF($Q261&gt;0, TRUE, FALSE)</f>
        <v/>
      </c>
      <c r="S261" s="59">
        <f>IF(ISBLANK(J261),,IF(ISBLANK(L261),N261-K261,M261-K261))</f>
        <v/>
      </c>
      <c r="T261" s="61">
        <f>IF(ISBLANK(J261),,ROUNDDOWN(T$1/K261,0))</f>
        <v/>
      </c>
      <c r="U261" s="62" t="n"/>
      <c r="V261" s="57" t="n"/>
      <c r="W261" s="57" t="n"/>
      <c r="X261" s="57" t="n"/>
      <c r="Y261" s="57" t="n"/>
      <c r="Z261" s="57" t="n"/>
      <c r="AA261" s="63" t="n"/>
    </row>
    <row r="262" hidden="1" ht="12.75" customHeight="1" s="56">
      <c r="A262" s="63" t="inlineStr">
        <is>
          <t>HOLX</t>
        </is>
      </c>
      <c r="B262" s="79" t="n">
        <v>14</v>
      </c>
      <c r="C262" s="79" t="n">
        <v>150.26</v>
      </c>
      <c r="D262" s="79" t="n">
        <v>42.857</v>
      </c>
      <c r="E262" s="79" t="n">
        <v>1.987</v>
      </c>
      <c r="F262" s="79" t="inlineStr">
        <is>
          <t xml:space="preserve"> </t>
        </is>
      </c>
      <c r="G262" s="79" t="inlineStr">
        <is>
          <t>2024/01/08</t>
        </is>
      </c>
      <c r="H262" s="79" t="n"/>
      <c r="I262" s="79" t="inlineStr">
        <is>
          <t>2024/02/06</t>
        </is>
      </c>
      <c r="J262" s="23">
        <f>IF(ISBLANK(F262:G262),,IF(COUNTA(F262)=0,G262,F262))</f>
        <v/>
      </c>
      <c r="K262" s="6">
        <f>IFERROR(__xludf.DUMMYFUNCTION("if(isblank(J262),,index(googlefinance(A262,K$2,J262-1),2,2))"),"#VALUE!")</f>
        <v/>
      </c>
      <c r="L262" s="37">
        <f>IF(ISBLANK(H262:I262),,IF(COUNTA(H262)=0,I262,H262))</f>
        <v/>
      </c>
      <c r="M262" s="7">
        <f>IFERROR(__xludf.DUMMYFUNCTION("if(isblank(L262),, index(googlefinance(A262,M$2,L262-1),2,2))"),72.04)</f>
        <v/>
      </c>
      <c r="N262" s="8">
        <f>IFERROR(__xludf.DUMMYFUNCTION("if(isblank(A262),,googlefinance(A262))"),75.91)</f>
        <v/>
      </c>
      <c r="O262" s="38">
        <f>IF(ISBLANK(J262),,IF(ISBLANK(L262),"Ongoing","Completed"))</f>
        <v/>
      </c>
      <c r="P262" s="70">
        <f>IF(ISBLANK(A262),,IF(AND(COUNTA(F262)=1,S262&gt;0),"Profit",IF(AND(COUNTA(G262)=1,S262&lt;0),"Profit","Loss")))</f>
        <v/>
      </c>
      <c r="Q262" s="31">
        <f>IF(ISBLANK(T262),,IF(P262="Profit",IF(S262&lt;0,T262*-S262,T262*S262),IF(S262&gt;0,T262*-S262,T262*S262)))</f>
        <v/>
      </c>
      <c r="R262" s="59">
        <f>IF($Q262&gt;0, TRUE, FALSE)</f>
        <v/>
      </c>
      <c r="S262" s="59">
        <f>IF(ISBLANK(J262),,IF(ISBLANK(L262),N262-K262,M262-K262))</f>
        <v/>
      </c>
      <c r="T262" s="61">
        <f>IF(ISBLANK(J262),,ROUNDDOWN(T$1/K262,0))</f>
        <v/>
      </c>
      <c r="U262" s="63" t="n"/>
      <c r="V262" s="63" t="n"/>
      <c r="W262" s="63" t="n"/>
      <c r="X262" s="63" t="n"/>
      <c r="Y262" s="63" t="n"/>
      <c r="Z262" s="63" t="n"/>
      <c r="AA262" s="63" t="n"/>
    </row>
    <row r="263" hidden="1" ht="12.75" customHeight="1" s="56">
      <c r="A263" s="63" t="inlineStr">
        <is>
          <t>NUE</t>
        </is>
      </c>
      <c r="B263" s="79" t="n">
        <v>11</v>
      </c>
      <c r="C263" s="79" t="n">
        <v>156.36</v>
      </c>
      <c r="D263" s="79" t="n">
        <v>36.364</v>
      </c>
      <c r="E263" s="79" t="n">
        <v>1.562</v>
      </c>
      <c r="F263" s="79" t="n"/>
      <c r="G263" s="79" t="inlineStr">
        <is>
          <t>2024/01/08</t>
        </is>
      </c>
      <c r="H263" s="79" t="n"/>
      <c r="I263" s="79" t="inlineStr">
        <is>
          <t>2024/01/22</t>
        </is>
      </c>
      <c r="J263" s="23">
        <f>IF(ISBLANK(F263:G263),,IF(COUNTA(F263)=0,G263,F263))</f>
        <v/>
      </c>
      <c r="K263" s="6">
        <f>IFERROR(__xludf.DUMMYFUNCTION("if(isblank(J263),,index(googlefinance(A263,K$2,J263-1),2,2))"),172.75)</f>
        <v/>
      </c>
      <c r="L263" s="37">
        <f>IF(ISBLANK(H263:I263),,IF(COUNTA(H263)=0,I263,H263))</f>
        <v/>
      </c>
      <c r="M263" s="7">
        <f>IFERROR(__xludf.DUMMYFUNCTION("if(isblank(L263),, index(googlefinance(A263,M$2,L263-1),2,2))"),170.44)</f>
        <v/>
      </c>
      <c r="N263" s="8">
        <f>IFERROR(__xludf.DUMMYFUNCTION("if(isblank(A263),,googlefinance(A263))"),188.48)</f>
        <v/>
      </c>
      <c r="O263" s="38">
        <f>IF(ISBLANK(J263),,IF(ISBLANK(L263),"Ongoing","Completed"))</f>
        <v/>
      </c>
      <c r="P263" s="70">
        <f>IF(ISBLANK(A263),,IF(AND(COUNTA(F263)=1,S263&gt;0),"Profit",IF(AND(COUNTA(G263)=1,S263&lt;0),"Profit","Loss")))</f>
        <v/>
      </c>
      <c r="Q263" s="31">
        <f>IF(ISBLANK(T263),,IF(P263="Profit",IF(S263&lt;0,T263*-S263,T263*S263),IF(S263&gt;0,T263*-S263,T263*S263)))</f>
        <v/>
      </c>
      <c r="R263" s="59">
        <f>IF($Q263&gt;0, TRUE, FALSE)</f>
        <v/>
      </c>
      <c r="S263" s="59">
        <f>IF(ISBLANK(J263),,IF(ISBLANK(L263),N263-K263,M263-K263))</f>
        <v/>
      </c>
      <c r="T263" s="61">
        <f>IF(ISBLANK(J263),,ROUNDDOWN(T$1/K263,0))</f>
        <v/>
      </c>
      <c r="U263" s="63" t="n"/>
      <c r="V263" s="63" t="n"/>
      <c r="W263" s="63" t="n"/>
      <c r="X263" s="63" t="n"/>
      <c r="Y263" s="63" t="n"/>
      <c r="Z263" s="63" t="n"/>
      <c r="AA263" s="63" t="n"/>
    </row>
    <row r="264" hidden="1" ht="12.75" customHeight="1" s="56">
      <c r="A264" s="63" t="inlineStr">
        <is>
          <t>AIG</t>
        </is>
      </c>
      <c r="B264" s="79" t="n">
        <v>10</v>
      </c>
      <c r="C264" s="79" t="n">
        <v>72.75</v>
      </c>
      <c r="D264" s="79" t="n">
        <v>40</v>
      </c>
      <c r="E264" s="79" t="n">
        <v>1.402</v>
      </c>
      <c r="F264" s="79" t="n"/>
      <c r="G264" s="79" t="inlineStr">
        <is>
          <t>2024/01/10</t>
        </is>
      </c>
      <c r="H264" s="79" t="n"/>
      <c r="I264" s="79" t="inlineStr">
        <is>
          <t>2024/02/07</t>
        </is>
      </c>
      <c r="J264" s="23">
        <f>IF(ISBLANK(F264:G264),,IF(COUNTA(F264)=0,G264,F264))</f>
        <v/>
      </c>
      <c r="K264" s="6">
        <f>IFERROR(__xludf.DUMMYFUNCTION("if(isblank(J264),,index(googlefinance(A264,K$2,J264-1),2,2))"),67.83)</f>
        <v/>
      </c>
      <c r="L264" s="37">
        <f>IF(ISBLANK(H264:I264),,IF(COUNTA(H264)=0,I264,H264))</f>
        <v/>
      </c>
      <c r="M264" s="7">
        <f>IFERROR(__xludf.DUMMYFUNCTION("if(isblank(L264),, index(googlefinance(A264,M$2,L264-1),2,2))"),68.77)</f>
        <v/>
      </c>
      <c r="N264" s="8">
        <f>IFERROR(__xludf.DUMMYFUNCTION("if(isblank(A264),,googlefinance(A264))"),76.27)</f>
        <v/>
      </c>
      <c r="O264" s="38">
        <f>IF(ISBLANK(J264),,IF(ISBLANK(L264),"Ongoing","Completed"))</f>
        <v/>
      </c>
      <c r="P264" s="70">
        <f>IF(ISBLANK(A264),,IF(AND(COUNTA(F264)=1,S264&gt;0),"Profit",IF(AND(COUNTA(G264)=1,S264&lt;0),"Profit","Loss")))</f>
        <v/>
      </c>
      <c r="Q264" s="31">
        <f>IF(ISBLANK(T264),,IF(P264="Profit",IF(S264&lt;0,T264*-S264,T264*S264),IF(S264&gt;0,T264*-S264,T264*S264)))</f>
        <v/>
      </c>
      <c r="R264" s="59">
        <f>IF($Q264&gt;0, TRUE, FALSE)</f>
        <v/>
      </c>
      <c r="S264" s="59">
        <f>IF(ISBLANK(J264),,IF(ISBLANK(L264),N264-K264,M264-K264))</f>
        <v/>
      </c>
      <c r="T264" s="61">
        <f>IF(ISBLANK(J264),,ROUNDDOWN(T$1/K264,0))</f>
        <v/>
      </c>
      <c r="U264" s="63" t="n"/>
      <c r="V264" s="63" t="n"/>
      <c r="W264" s="63" t="n"/>
      <c r="X264" s="63" t="n"/>
      <c r="Y264" s="63" t="n"/>
      <c r="Z264" s="63" t="n"/>
      <c r="AA264" s="63" t="n"/>
    </row>
    <row r="265" hidden="1" ht="12.75" customHeight="1" s="56">
      <c r="A265" s="63" t="inlineStr">
        <is>
          <t>LVS</t>
        </is>
      </c>
      <c r="B265" s="79" t="n">
        <v>8</v>
      </c>
      <c r="C265" s="79" t="n">
        <v>116.67</v>
      </c>
      <c r="D265" s="79" t="n">
        <v>50</v>
      </c>
      <c r="E265" s="79" t="n">
        <v>1.543</v>
      </c>
      <c r="F265" s="79" t="n"/>
      <c r="G265" s="79" t="inlineStr">
        <is>
          <t>2024/01/10</t>
        </is>
      </c>
      <c r="H265" s="79" t="n"/>
      <c r="I265" s="79" t="inlineStr">
        <is>
          <t>2024/01/24</t>
        </is>
      </c>
      <c r="J265" s="23">
        <f>IF(ISBLANK(F265:G265),,IF(COUNTA(F265)=0,G265,F265))</f>
        <v/>
      </c>
      <c r="K265" s="6">
        <f>IFERROR(__xludf.DUMMYFUNCTION("if(isblank(J265),,index(googlefinance(A265,K$2,J265-1),2,2))"),50.01)</f>
        <v/>
      </c>
      <c r="L265" s="37">
        <f>IF(ISBLANK(H265:I265),,IF(COUNTA(H265)=0,I265,H265))</f>
        <v/>
      </c>
      <c r="M265" s="7">
        <f>IFERROR(__xludf.DUMMYFUNCTION("if(isblank(L265),, index(googlefinance(A265,M$2,L265-1),2,2))"),49.02)</f>
        <v/>
      </c>
      <c r="N265" s="8">
        <f>IFERROR(__xludf.DUMMYFUNCTION("if(isblank(A265),,googlefinance(A265))"),51.03)</f>
        <v/>
      </c>
      <c r="O265" s="38">
        <f>IF(ISBLANK(J265),,IF(ISBLANK(L265),"Ongoing","Completed"))</f>
        <v/>
      </c>
      <c r="P265" s="70">
        <f>IF(ISBLANK(A265),,IF(AND(COUNTA(F265)=1,S265&gt;0),"Profit",IF(AND(COUNTA(G265)=1,S265&lt;0),"Profit","Loss")))</f>
        <v/>
      </c>
      <c r="Q265" s="31">
        <f>IF(ISBLANK(T265),,IF(P265="Profit",IF(S265&lt;0,T265*-S265,T265*S265),IF(S265&gt;0,T265*-S265,T265*S265)))</f>
        <v/>
      </c>
      <c r="R265" s="59">
        <f>IF($Q265&gt;0, TRUE, FALSE)</f>
        <v/>
      </c>
      <c r="S265" s="59">
        <f>IF(ISBLANK(J265),,IF(ISBLANK(L265),N265-K265,M265-K265))</f>
        <v/>
      </c>
      <c r="T265" s="61">
        <f>IF(ISBLANK(J265),,ROUNDDOWN(T$1/K265,0))</f>
        <v/>
      </c>
      <c r="U265" s="63" t="n"/>
      <c r="V265" s="63" t="n"/>
      <c r="W265" s="63" t="n"/>
      <c r="X265" s="63" t="n"/>
      <c r="Y265" s="63" t="n"/>
      <c r="Z265" s="63" t="n"/>
      <c r="AA265" s="63" t="n"/>
    </row>
    <row r="266" hidden="1" ht="12.75" customHeight="1" s="56">
      <c r="A266" s="63" t="inlineStr">
        <is>
          <t>MDLZ</t>
        </is>
      </c>
      <c r="B266" s="79" t="n">
        <v>10</v>
      </c>
      <c r="C266" s="79" t="n">
        <v>74.65000000000001</v>
      </c>
      <c r="D266" s="79" t="n">
        <v>30</v>
      </c>
      <c r="E266" s="79" t="n">
        <v>1.64</v>
      </c>
      <c r="F266" s="79" t="n"/>
      <c r="G266" s="79" t="inlineStr">
        <is>
          <t>2024/01/10</t>
        </is>
      </c>
      <c r="H266" s="79" t="n"/>
      <c r="I266" s="79" t="inlineStr">
        <is>
          <t>2024/01/17</t>
        </is>
      </c>
      <c r="J266" s="23">
        <f>IF(ISBLANK(F266:G266),,IF(COUNTA(F266)=0,G266,F266))</f>
        <v/>
      </c>
      <c r="K266" s="6">
        <f>IFERROR(__xludf.DUMMYFUNCTION("if(isblank(J266),,index(googlefinance(A266,K$2,J266-1),2,2))"),73.74)</f>
        <v/>
      </c>
      <c r="L266" s="37">
        <f>IF(ISBLANK(H266:I266),,IF(COUNTA(H266)=0,I266,H266))</f>
        <v/>
      </c>
      <c r="M266" s="7">
        <f>IFERROR(__xludf.DUMMYFUNCTION("if(isblank(L266),, index(googlefinance(A266,M$2,L266-1),2,2))"),72.85)</f>
        <v/>
      </c>
      <c r="N266" s="8">
        <f>IFERROR(__xludf.DUMMYFUNCTION("if(isblank(A266),,googlefinance(A266))"),70.75)</f>
        <v/>
      </c>
      <c r="O266" s="38">
        <f>IF(ISBLANK(J266),,IF(ISBLANK(L266),"Ongoing","Completed"))</f>
        <v/>
      </c>
      <c r="P266" s="70">
        <f>IF(ISBLANK(A266),,IF(AND(COUNTA(F266)=1,S266&gt;0),"Profit",IF(AND(COUNTA(G266)=1,S266&lt;0),"Profit","Loss")))</f>
        <v/>
      </c>
      <c r="Q266" s="31">
        <f>IF(ISBLANK(T266),,IF(P266="Profit",IF(S266&lt;0,T266*-S266,T266*S266),IF(S266&gt;0,T266*-S266,T266*S266)))</f>
        <v/>
      </c>
      <c r="R266" s="59">
        <f>IF($Q266&gt;0, TRUE, FALSE)</f>
        <v/>
      </c>
      <c r="S266" s="59">
        <f>IF(ISBLANK(J266),,IF(ISBLANK(L266),N266-K266,M266-K266))</f>
        <v/>
      </c>
      <c r="T266" s="61">
        <f>IF(ISBLANK(J266),,ROUNDDOWN(T$1/K266,0))</f>
        <v/>
      </c>
      <c r="U266" s="63" t="n"/>
      <c r="V266" s="63" t="n"/>
      <c r="W266" s="63" t="n"/>
      <c r="X266" s="63" t="n"/>
      <c r="Y266" s="63" t="n"/>
      <c r="Z266" s="63" t="n"/>
      <c r="AA266" s="63" t="n"/>
    </row>
    <row r="267" hidden="1" ht="12.75" customHeight="1" s="56">
      <c r="A267" s="63" t="inlineStr">
        <is>
          <t>AEP</t>
        </is>
      </c>
      <c r="B267" s="79" t="n">
        <v>6</v>
      </c>
      <c r="C267" s="79" t="n">
        <v>27.46</v>
      </c>
      <c r="D267" s="79" t="n">
        <v>16.667</v>
      </c>
      <c r="E267" s="79" t="n">
        <v>1.646</v>
      </c>
      <c r="F267" s="79" t="n"/>
      <c r="G267" s="79" t="inlineStr">
        <is>
          <t>2024/01/11</t>
        </is>
      </c>
      <c r="H267" s="79" t="n"/>
      <c r="I267" s="79" t="inlineStr">
        <is>
          <t>2024/01/30</t>
        </is>
      </c>
      <c r="J267" s="23">
        <f>IF(ISBLANK(F267:G267),,IF(COUNTA(F267)=0,G267,F267))</f>
        <v/>
      </c>
      <c r="K267" s="6">
        <f>IFERROR(__xludf.DUMMYFUNCTION("if(isblank(J267),,index(googlefinance(A267,K$2,J267-1),2,2))"),82.54)</f>
        <v/>
      </c>
      <c r="L267" s="37">
        <f>IF(ISBLANK(H267:I267),,IF(COUNTA(H267)=0,I267,H267))</f>
        <v/>
      </c>
      <c r="M267" s="7">
        <f>IFERROR(__xludf.DUMMYFUNCTION("if(isblank(L267),, index(googlefinance(A267,M$2,L267-1),2,2))"),78.38)</f>
        <v/>
      </c>
      <c r="N267" s="8">
        <f>IFERROR(__xludf.DUMMYFUNCTION("if(isblank(A267),,googlefinance(A267))"),82.11)</f>
        <v/>
      </c>
      <c r="O267" s="38">
        <f>IF(ISBLANK(J267),,IF(ISBLANK(L267),"Ongoing","Completed"))</f>
        <v/>
      </c>
      <c r="P267" s="70">
        <f>IF(ISBLANK(A267),,IF(AND(COUNTA(F267)=1,S267&gt;0),"Profit",IF(AND(COUNTA(G267)=1,S267&lt;0),"Profit","Loss")))</f>
        <v/>
      </c>
      <c r="Q267" s="31">
        <f>IF(ISBLANK(T267),,IF(P267="Profit",IF(S267&lt;0,T267*-S267,T267*S267),IF(S267&gt;0,T267*-S267,T267*S267)))</f>
        <v/>
      </c>
      <c r="R267" s="59">
        <f>IF($Q267&gt;0, TRUE, FALSE)</f>
        <v/>
      </c>
      <c r="S267" s="59">
        <f>IF(ISBLANK(J267),,IF(ISBLANK(L267),N267-K267,M267-K267))</f>
        <v/>
      </c>
      <c r="T267" s="61">
        <f>IF(ISBLANK(J267),,ROUNDDOWN(T$1/K267,0))</f>
        <v/>
      </c>
      <c r="U267" s="63" t="n"/>
      <c r="V267" s="63" t="n"/>
      <c r="W267" s="63" t="n"/>
      <c r="X267" s="63" t="n"/>
      <c r="Y267" s="63" t="n"/>
      <c r="Z267" s="63" t="n"/>
      <c r="AA267" s="63" t="n"/>
    </row>
    <row r="268" hidden="1" ht="12.75" customHeight="1" s="56">
      <c r="A268" s="63" t="inlineStr">
        <is>
          <t>MTCH</t>
        </is>
      </c>
      <c r="B268" s="79" t="n">
        <v>16</v>
      </c>
      <c r="C268" s="79" t="n">
        <v>113.105</v>
      </c>
      <c r="D268" s="79" t="n">
        <v>31.25</v>
      </c>
      <c r="E268" s="79" t="n">
        <v>1.216</v>
      </c>
      <c r="F268" s="79" t="n"/>
      <c r="G268" s="79" t="inlineStr">
        <is>
          <t>2024/01/11</t>
        </is>
      </c>
      <c r="H268" s="79" t="n"/>
      <c r="I268" s="79" t="inlineStr">
        <is>
          <t>2024/01/25</t>
        </is>
      </c>
      <c r="J268" s="23">
        <f>IF(ISBLANK(F268:G268),,IF(COUNTA(F268)=0,G268,F268))</f>
        <v/>
      </c>
      <c r="K268" s="6">
        <f>IFERROR(__xludf.DUMMYFUNCTION("if(isblank(J268),,index(googlefinance(A268,K$2,J268-1),2,2))"),38.78)</f>
        <v/>
      </c>
      <c r="L268" s="37">
        <f>IF(ISBLANK(H268:I268),,IF(COUNTA(H268)=0,I268,H268))</f>
        <v/>
      </c>
      <c r="M268" s="7">
        <f>IFERROR(__xludf.DUMMYFUNCTION("if(isblank(L268),, index(googlefinance(A268,M$2,L268-1),2,2))"),36.94)</f>
        <v/>
      </c>
      <c r="N268" s="8">
        <f>IFERROR(__xludf.DUMMYFUNCTION("if(isblank(A268),,googlefinance(A268))"),33.55)</f>
        <v/>
      </c>
      <c r="O268" s="38">
        <f>IF(ISBLANK(J268),,IF(ISBLANK(L268),"Ongoing","Completed"))</f>
        <v/>
      </c>
      <c r="P268" s="70">
        <f>IF(ISBLANK(A268),,IF(AND(COUNTA(F268)=1,S268&gt;0),"Profit",IF(AND(COUNTA(G268)=1,S268&lt;0),"Profit","Loss")))</f>
        <v/>
      </c>
      <c r="Q268" s="31">
        <f>IF(ISBLANK(T268),,IF(P268="Profit",IF(S268&lt;0,T268*-S268,T268*S268),IF(S268&gt;0,T268*-S268,T268*S268)))</f>
        <v/>
      </c>
      <c r="R268" s="59">
        <f>IF($Q268&gt;0, TRUE, FALSE)</f>
        <v/>
      </c>
      <c r="S268" s="59">
        <f>IF(ISBLANK(J268),,IF(ISBLANK(L268),N268-K268,M268-K268))</f>
        <v/>
      </c>
      <c r="T268" s="61">
        <f>IF(ISBLANK(J268),,ROUNDDOWN(T$1/K268,0))</f>
        <v/>
      </c>
      <c r="U268" s="63" t="n"/>
      <c r="V268" s="63" t="n"/>
      <c r="W268" s="63" t="n"/>
      <c r="X268" s="63" t="n"/>
      <c r="Y268" s="63" t="n"/>
      <c r="Z268" s="63" t="n"/>
      <c r="AA268" s="63" t="n"/>
    </row>
    <row r="269" hidden="1" ht="12.75" customHeight="1" s="56">
      <c r="A269" s="63" t="inlineStr">
        <is>
          <t>DIS</t>
        </is>
      </c>
      <c r="B269" s="79" t="n">
        <v>13</v>
      </c>
      <c r="C269" s="79" t="n">
        <v>63.76</v>
      </c>
      <c r="D269" s="79" t="n">
        <v>30.769</v>
      </c>
      <c r="E269" s="79" t="n">
        <v>1.262</v>
      </c>
      <c r="F269" s="79" t="inlineStr">
        <is>
          <t>2024/01/13</t>
        </is>
      </c>
      <c r="G269" s="79" t="n"/>
      <c r="H269" s="79" t="inlineStr">
        <is>
          <t>2024/01/17</t>
        </is>
      </c>
      <c r="I269" s="79" t="n"/>
      <c r="J269" s="23">
        <f>IF(ISBLANK(F269:G269),,IF(COUNTA(F269)=0,G269,F269))</f>
        <v/>
      </c>
      <c r="K269" s="6">
        <f>IFERROR(__xludf.DUMMYFUNCTION("if(isblank(J269),,index(googlefinance(A269,K$2,J269-1),2,2))"),90.35)</f>
        <v/>
      </c>
      <c r="L269" s="37">
        <f>IF(ISBLANK(H269:I269),,IF(COUNTA(H269)=0,I269,H269))</f>
        <v/>
      </c>
      <c r="M269" s="7">
        <f>IFERROR(__xludf.DUMMYFUNCTION("if(isblank(L269),, index(googlefinance(A269,M$2,L269-1),2,2))"),93.05)</f>
        <v/>
      </c>
      <c r="N269" s="8">
        <f>IFERROR(__xludf.DUMMYFUNCTION("if(isblank(A269),,googlefinance(A269))"),111.95)</f>
        <v/>
      </c>
      <c r="O269" s="38">
        <f>IF(ISBLANK(J269),,IF(ISBLANK(L269),"Ongoing","Completed"))</f>
        <v/>
      </c>
      <c r="P269" s="70">
        <f>IF(ISBLANK(A269),,IF(AND(COUNTA(F269)=1,S269&gt;0),"Profit",IF(AND(COUNTA(G269)=1,S269&lt;0),"Profit","Loss")))</f>
        <v/>
      </c>
      <c r="Q269" s="31">
        <f>IF(ISBLANK(T269),,IF(P269="Profit",IF(S269&lt;0,T269*-S269,T269*S269),IF(S269&gt;0,T269*-S269,T269*S269)))</f>
        <v/>
      </c>
      <c r="R269" s="59">
        <f>IF($Q269&gt;0, TRUE, FALSE)</f>
        <v/>
      </c>
      <c r="S269" s="59">
        <f>IF(ISBLANK(J269),,IF(ISBLANK(L269),N269-K269,M269-K269))</f>
        <v/>
      </c>
      <c r="T269" s="61">
        <f>IF(ISBLANK(J269),,ROUNDDOWN(T$1/K269,0))</f>
        <v/>
      </c>
      <c r="U269" s="63" t="n"/>
      <c r="V269" s="63" t="n"/>
      <c r="W269" s="63" t="n"/>
      <c r="X269" s="63" t="n"/>
      <c r="Y269" s="63" t="n"/>
      <c r="Z269" s="63" t="n"/>
      <c r="AA269" s="63" t="n"/>
    </row>
    <row r="270" hidden="1" ht="12" customHeight="1" s="56">
      <c r="A270" s="63" t="inlineStr">
        <is>
          <t>VRSN</t>
        </is>
      </c>
      <c r="B270" s="79" t="n">
        <v>12</v>
      </c>
      <c r="C270" s="79" t="n">
        <v>381.22</v>
      </c>
      <c r="D270" s="79" t="n">
        <v>41.667</v>
      </c>
      <c r="E270" s="79" t="n">
        <v>3.258</v>
      </c>
      <c r="F270" s="79" t="inlineStr">
        <is>
          <t>2024/01/13</t>
        </is>
      </c>
      <c r="G270" s="79" t="n"/>
      <c r="H270" s="79" t="inlineStr">
        <is>
          <t>2024/02/16</t>
        </is>
      </c>
      <c r="I270" s="79" t="n"/>
      <c r="J270" s="23">
        <f>IF(ISBLANK(F270:G270),,IF(COUNTA(F270)=0,G270,F270))</f>
        <v/>
      </c>
      <c r="K270" s="6">
        <f>IFERROR(__xludf.DUMMYFUNCTION("if(isblank(J270),,index(googlefinance(A270,K$2,J270-1),2,2))"),204.18)</f>
        <v/>
      </c>
      <c r="L270" s="37">
        <f>IF(ISBLANK(H270:I270),,IF(COUNTA(H270)=0,I270,H270))</f>
        <v/>
      </c>
      <c r="M270" s="7">
        <f>IFERROR(__xludf.DUMMYFUNCTION("if(isblank(L270),, index(googlefinance(A270,M$2,L270-1),2,2))"),197.82)</f>
        <v/>
      </c>
      <c r="N270" s="8">
        <f>IFERROR(__xludf.DUMMYFUNCTION("if(isblank(A270),,googlefinance(A270))"),190.25)</f>
        <v/>
      </c>
      <c r="O270" s="38">
        <f>IF(ISBLANK(J270),,IF(ISBLANK(L270),"Ongoing","Completed"))</f>
        <v/>
      </c>
      <c r="P270" s="70">
        <f>IF(ISBLANK(A270),,IF(AND(COUNTA(F270)=1,S270&gt;0),"Profit",IF(AND(COUNTA(G270)=1,S270&lt;0),"Profit","Loss")))</f>
        <v/>
      </c>
      <c r="Q270" s="31">
        <f>IF(ISBLANK(T270),,IF(P270="Profit",IF(S270&lt;0,T270*-S270,T270*S270),IF(S270&gt;0,T270*-S270,T270*S270)))</f>
        <v/>
      </c>
      <c r="R270" s="59">
        <f>IF($Q270&gt;0, TRUE, FALSE)</f>
        <v/>
      </c>
      <c r="S270" s="59">
        <f>IF(ISBLANK(J270),,IF(ISBLANK(L270),N270-K270,M270-K270))</f>
        <v/>
      </c>
      <c r="T270" s="61">
        <f>IF(ISBLANK(J270),,ROUNDDOWN(T$1/K270,0))</f>
        <v/>
      </c>
      <c r="U270" s="63" t="n"/>
      <c r="V270" s="63" t="n"/>
      <c r="W270" s="63" t="n"/>
      <c r="X270" s="63" t="n"/>
      <c r="Y270" s="63" t="n"/>
      <c r="Z270" s="63" t="n"/>
      <c r="AA270" s="63" t="n"/>
    </row>
    <row r="271" hidden="1" ht="15.75" customHeight="1" s="56">
      <c r="A271" s="63" t="inlineStr">
        <is>
          <t>DVA</t>
        </is>
      </c>
      <c r="B271" s="79" t="n">
        <v>6</v>
      </c>
      <c r="C271" s="79" t="n">
        <v>37.09</v>
      </c>
      <c r="D271" s="79" t="n">
        <v>50</v>
      </c>
      <c r="E271" s="79" t="n">
        <v>1.323</v>
      </c>
      <c r="F271" s="79" t="n"/>
      <c r="G271" s="79" t="inlineStr">
        <is>
          <t>2024/01/16</t>
        </is>
      </c>
      <c r="H271" s="79" t="n"/>
      <c r="I271" s="79" t="inlineStr">
        <is>
          <t>2024/01/25</t>
        </is>
      </c>
      <c r="J271" s="23">
        <f>IF(ISBLANK(F271:G271),,IF(COUNTA(F271)=0,G271,F271))</f>
        <v/>
      </c>
      <c r="K271" s="6">
        <f>IFERROR(__xludf.DUMMYFUNCTION("if(isblank(J271),,index(googlefinance(A271,K$2,J271-1),2,2))"),104.82)</f>
        <v/>
      </c>
      <c r="L271" s="37">
        <f>IF(ISBLANK(H271:I271),,IF(COUNTA(H271)=0,I271,H271))</f>
        <v/>
      </c>
      <c r="M271" s="7">
        <f>IFERROR(__xludf.DUMMYFUNCTION("if(isblank(L271),, index(googlefinance(A271,M$2,L271-1),2,2))"),104.46)</f>
        <v/>
      </c>
      <c r="N271" s="8">
        <f>IFERROR(__xludf.DUMMYFUNCTION("if(isblank(A271),,googlefinance(A271))"),136.65)</f>
        <v/>
      </c>
      <c r="O271" s="38">
        <f>IF(ISBLANK(J271),,IF(ISBLANK(L271),"Ongoing","Completed"))</f>
        <v/>
      </c>
      <c r="P271" s="70">
        <f>IF(ISBLANK(A271),,IF(AND(COUNTA(F271)=1,S271&gt;0),"Profit",IF(AND(COUNTA(G271)=1,S271&lt;0),"Profit","Loss")))</f>
        <v/>
      </c>
      <c r="Q271" s="31">
        <f>IF(ISBLANK(T271),,IF(P271="Profit",IF(S271&lt;0,T271*-S271,T271*S271),IF(S271&gt;0,T271*-S271,T271*S271)))</f>
        <v/>
      </c>
      <c r="R271" s="59">
        <f>IF($Q271&gt;0, TRUE, FALSE)</f>
        <v/>
      </c>
      <c r="S271" s="59">
        <f>IF(ISBLANK(J271),,IF(ISBLANK(L271),N271-K271,M271-K271))</f>
        <v/>
      </c>
      <c r="T271" s="61">
        <f>IF(ISBLANK(J271),,ROUNDDOWN(T$1/K271,0))</f>
        <v/>
      </c>
      <c r="U271" s="63" t="n"/>
      <c r="V271" s="63" t="n"/>
      <c r="W271" s="63" t="n"/>
      <c r="X271" s="63" t="n"/>
      <c r="Y271" s="63" t="n"/>
      <c r="Z271" s="63" t="n"/>
      <c r="AA271" s="63" t="n"/>
    </row>
    <row r="272" hidden="1" ht="15.75" customHeight="1" s="56">
      <c r="A272" s="63" t="inlineStr">
        <is>
          <t>HWM</t>
        </is>
      </c>
      <c r="B272" s="79" t="n">
        <v>11</v>
      </c>
      <c r="C272" s="79" t="n">
        <v>394.67</v>
      </c>
      <c r="D272" s="79" t="n">
        <v>45.455</v>
      </c>
      <c r="E272" s="79" t="n">
        <v>2.57</v>
      </c>
      <c r="F272" s="79" t="n"/>
      <c r="G272" s="79" t="inlineStr">
        <is>
          <t>2024/01/16</t>
        </is>
      </c>
      <c r="H272" s="79" t="n"/>
      <c r="I272" s="79" t="inlineStr">
        <is>
          <t>2024/01/18</t>
        </is>
      </c>
      <c r="J272" s="23">
        <f>IF(ISBLANK(F272:G272),,IF(COUNTA(F272)=0,G272,F272))</f>
        <v/>
      </c>
      <c r="K272" s="6">
        <f>IFERROR(__xludf.DUMMYFUNCTION("if(isblank(J272),,index(googlefinance(A272,K$2,J272-1),2,2))"),53.66)</f>
        <v/>
      </c>
      <c r="L272" s="37">
        <f>IF(ISBLANK(H272:I272),,IF(COUNTA(H272)=0,I272,H272))</f>
        <v/>
      </c>
      <c r="M272" s="7">
        <f>IFERROR(__xludf.DUMMYFUNCTION("if(isblank(L272),, index(googlefinance(A272,M$2,L272-1),2,2))"),53.57)</f>
        <v/>
      </c>
      <c r="N272" s="8">
        <f>IFERROR(__xludf.DUMMYFUNCTION("if(isblank(A272),,googlefinance(A272))"),66.24)</f>
        <v/>
      </c>
      <c r="O272" s="38">
        <f>IF(ISBLANK(J272),,IF(ISBLANK(L272),"Ongoing","Completed"))</f>
        <v/>
      </c>
      <c r="P272" s="70">
        <f>IF(ISBLANK(A272),,IF(AND(COUNTA(F272)=1,S272&gt;0),"Profit",IF(AND(COUNTA(G272)=1,S272&lt;0),"Profit","Loss")))</f>
        <v/>
      </c>
      <c r="Q272" s="31">
        <f>IF(ISBLANK(T272),,IF(P272="Profit",IF(S272&lt;0,T272*-S272,T272*S272),IF(S272&gt;0,T272*-S272,T272*S272)))</f>
        <v/>
      </c>
      <c r="R272" s="59">
        <f>IF($Q272&gt;0, TRUE, FALSE)</f>
        <v/>
      </c>
      <c r="S272" s="59">
        <f>IF(ISBLANK(J272),,IF(ISBLANK(L272),N272-K272,M272-K272))</f>
        <v/>
      </c>
      <c r="T272" s="61">
        <f>IF(ISBLANK(J272),,ROUNDDOWN(T$1/K272,0))</f>
        <v/>
      </c>
      <c r="U272" s="63" t="n"/>
      <c r="V272" s="63" t="n"/>
      <c r="W272" s="63" t="n"/>
      <c r="X272" s="63" t="n"/>
      <c r="Y272" s="63" t="n"/>
      <c r="Z272" s="63" t="n"/>
      <c r="AA272" s="63" t="n"/>
    </row>
    <row r="273" hidden="1" ht="15.75" customHeight="1" s="56">
      <c r="A273" s="63" t="inlineStr">
        <is>
          <t>MOH</t>
        </is>
      </c>
      <c r="B273" s="79" t="n">
        <v>12</v>
      </c>
      <c r="C273" s="79" t="n">
        <v>198.34</v>
      </c>
      <c r="D273" s="79" t="n">
        <v>41.667</v>
      </c>
      <c r="E273" s="79" t="n">
        <v>2.063</v>
      </c>
      <c r="F273" s="79" t="n"/>
      <c r="G273" s="79" t="inlineStr">
        <is>
          <t>2024/01/19</t>
        </is>
      </c>
      <c r="H273" s="79" t="n"/>
      <c r="I273" s="79" t="inlineStr">
        <is>
          <t>2024/02/06</t>
        </is>
      </c>
      <c r="J273" s="23">
        <f>IF(ISBLANK(F273:G273),,IF(COUNTA(F273)=0,G273,F273))</f>
        <v/>
      </c>
      <c r="K273" s="6">
        <f>IFERROR(__xludf.DUMMYFUNCTION("if(isblank(J273),,index(googlefinance(A273,K$2,J273-1),2,2))"),381.06)</f>
        <v/>
      </c>
      <c r="L273" s="37">
        <f>IF(ISBLANK(H273:I273),,IF(COUNTA(H273)=0,I273,H273))</f>
        <v/>
      </c>
      <c r="M273" s="7">
        <f>IFERROR(__xludf.DUMMYFUNCTION("if(isblank(L273),, index(googlefinance(A273,M$2,L273-1),2,2))"),351.1)</f>
        <v/>
      </c>
      <c r="N273" s="8">
        <f>IFERROR(__xludf.DUMMYFUNCTION("if(isblank(A273),,googlefinance(A273))"),404.45)</f>
        <v/>
      </c>
      <c r="O273" s="38">
        <f>IF(ISBLANK(J273),,IF(ISBLANK(L273),"Ongoing","Completed"))</f>
        <v/>
      </c>
      <c r="P273" s="70">
        <f>IF(ISBLANK(A273),,IF(AND(COUNTA(F273)=1,S273&gt;0),"Profit",IF(AND(COUNTA(G273)=1,S273&lt;0),"Profit","Loss")))</f>
        <v/>
      </c>
      <c r="Q273" s="31">
        <f>IF(ISBLANK(T273),,IF(P273="Profit",IF(S273&lt;0,T273*-S273,T273*S273),IF(S273&gt;0,T273*-S273,T273*S273)))</f>
        <v/>
      </c>
      <c r="R273" s="59">
        <f>IF($Q273&gt;0, TRUE, FALSE)</f>
        <v/>
      </c>
      <c r="S273" s="59">
        <f>IF(ISBLANK(J273),,IF(ISBLANK(L273),N273-K273,M273-K273))</f>
        <v/>
      </c>
      <c r="T273" s="61">
        <f>IF(ISBLANK(J273),,ROUNDDOWN(T$1/K273,0))</f>
        <v/>
      </c>
      <c r="U273" s="63" t="n"/>
      <c r="V273" s="63" t="n"/>
      <c r="W273" s="63" t="n"/>
      <c r="X273" s="63" t="n"/>
      <c r="Y273" s="63" t="n"/>
      <c r="Z273" s="63" t="n"/>
      <c r="AA273" s="63" t="n"/>
    </row>
    <row r="274" hidden="1" ht="15.75" customHeight="1" s="56">
      <c r="A274" s="63" t="inlineStr">
        <is>
          <t>GILD</t>
        </is>
      </c>
      <c r="B274" s="79" t="n">
        <v>8</v>
      </c>
      <c r="C274" s="79" t="n">
        <v>167.69</v>
      </c>
      <c r="D274" s="79" t="n">
        <v>75</v>
      </c>
      <c r="E274" s="79" t="n">
        <v>6.792</v>
      </c>
      <c r="F274" s="79" t="n"/>
      <c r="G274" s="79" t="inlineStr">
        <is>
          <t>2024/01/22</t>
        </is>
      </c>
      <c r="H274" s="79" t="n"/>
      <c r="I274" s="80" t="n">
        <v>45343</v>
      </c>
      <c r="J274" s="23">
        <f>IF(ISBLANK(F274:G274),,IF(COUNTA(F274)=0,G274,F274))</f>
        <v/>
      </c>
      <c r="K274" s="6">
        <f>IFERROR(__xludf.DUMMYFUNCTION("if(isblank(J274),,index(googlefinance(A274,K$2,J274-1),2,2))"),78.43)</f>
        <v/>
      </c>
      <c r="L274" s="37">
        <f>IF(ISBLANK(H274:I274),,IF(COUNTA(H274)=0,I274,H274))</f>
        <v/>
      </c>
      <c r="M274" s="7">
        <f>IFERROR(__xludf.DUMMYFUNCTION("if(isblank(L274),, index(googlefinance(A274,M$2,L274-1),2,2))"),72.04)</f>
        <v/>
      </c>
      <c r="N274" s="8">
        <f>IFERROR(__xludf.DUMMYFUNCTION("if(isblank(A274),,googlefinance(A274))"),73.69)</f>
        <v/>
      </c>
      <c r="O274" s="38">
        <f>IF(ISBLANK(J274),,IF(ISBLANK(L274),"Ongoing","Completed"))</f>
        <v/>
      </c>
      <c r="P274" s="70">
        <f>IF(ISBLANK(A274),,IF(AND(COUNTA(F274)=1,S274&gt;0),"Profit",IF(AND(COUNTA(G274)=1,S274&lt;0),"Profit","Loss")))</f>
        <v/>
      </c>
      <c r="Q274" s="31">
        <f>IF(ISBLANK(T274),,IF(P274="Profit",IF(S274&lt;0,T274*-S274,T274*S274),IF(S274&gt;0,T274*-S274,T274*S274)))</f>
        <v/>
      </c>
      <c r="R274" s="59">
        <f>IF($Q274&gt;0, TRUE, FALSE)</f>
        <v/>
      </c>
      <c r="S274" s="59">
        <f>IF(ISBLANK(J274),,IF(ISBLANK(L274),N274-K274,M274-K274))</f>
        <v/>
      </c>
      <c r="T274" s="61">
        <f>IF(ISBLANK(J274),,ROUNDDOWN(T$1/K274,0))</f>
        <v/>
      </c>
      <c r="U274" s="63" t="n"/>
      <c r="V274" s="63" t="n"/>
      <c r="W274" s="63" t="n"/>
      <c r="X274" s="63" t="n"/>
      <c r="Y274" s="63" t="n"/>
      <c r="Z274" s="63" t="n"/>
      <c r="AA274" s="63" t="n"/>
    </row>
    <row r="275" hidden="1" ht="15.75" customHeight="1" s="56">
      <c r="A275" s="63" t="inlineStr">
        <is>
          <t>STLD</t>
        </is>
      </c>
      <c r="B275" s="79" t="n">
        <v>16</v>
      </c>
      <c r="C275" s="79" t="n">
        <v>140.11</v>
      </c>
      <c r="D275" s="79" t="n">
        <v>31.25</v>
      </c>
      <c r="E275" s="79" t="n">
        <v>1.339</v>
      </c>
      <c r="F275" s="79" t="inlineStr">
        <is>
          <t>2024/01/22</t>
        </is>
      </c>
      <c r="G275" s="79" t="n"/>
      <c r="H275" s="79" t="inlineStr">
        <is>
          <t>2024/02/13</t>
        </is>
      </c>
      <c r="I275" s="79" t="n"/>
      <c r="J275" s="23">
        <f>IF(ISBLANK(F275:G275),,IF(COUNTA(F275)=0,G275,F275))</f>
        <v/>
      </c>
      <c r="K275" s="6">
        <f>IFERROR(__xludf.DUMMYFUNCTION("if(isblank(J275),,index(googlefinance(A275,K$2,J275-1),2,2))"),115.43)</f>
        <v/>
      </c>
      <c r="L275" s="37">
        <f>IF(ISBLANK(H275:I275),,IF(COUNTA(H275)=0,I275,H275))</f>
        <v/>
      </c>
      <c r="M275" s="7">
        <f>IFERROR(__xludf.DUMMYFUNCTION("if(isblank(L275),, index(googlefinance(A275,M$2,L275-1),2,2))"),123.81)</f>
        <v/>
      </c>
      <c r="N275" s="8">
        <f>IFERROR(__xludf.DUMMYFUNCTION("if(isblank(A275),,googlefinance(A275))"),137.9)</f>
        <v/>
      </c>
      <c r="O275" s="38">
        <f>IF(ISBLANK(J275),,IF(ISBLANK(L275),"Ongoing","Completed"))</f>
        <v/>
      </c>
      <c r="P275" s="70">
        <f>IF(ISBLANK(A275),,IF(AND(COUNTA(F275)=1,S275&gt;0),"Profit",IF(AND(COUNTA(G275)=1,S275&lt;0),"Profit","Loss")))</f>
        <v/>
      </c>
      <c r="Q275" s="31">
        <f>IF(ISBLANK(T275),,IF(P275="Profit",IF(S275&lt;0,T275*-S275,T275*S275),IF(S275&gt;0,T275*-S275,T275*S275)))</f>
        <v/>
      </c>
      <c r="R275" s="59">
        <f>IF($Q275&gt;0, TRUE, FALSE)</f>
        <v/>
      </c>
      <c r="S275" s="59">
        <f>IF(ISBLANK(J275),,IF(ISBLANK(L275),N275-K275,M275-K275))</f>
        <v/>
      </c>
      <c r="T275" s="61">
        <f>IF(ISBLANK(J275),,ROUNDDOWN(T$1/K275,0))</f>
        <v/>
      </c>
      <c r="U275" s="63" t="n"/>
      <c r="V275" s="63" t="n"/>
      <c r="W275" s="63" t="n"/>
      <c r="X275" s="63" t="n"/>
      <c r="Y275" s="63" t="n"/>
      <c r="Z275" s="63" t="n"/>
      <c r="AA275" s="63" t="n"/>
    </row>
    <row r="276" hidden="1" ht="15.75" customHeight="1" s="56">
      <c r="A276" s="63" t="inlineStr">
        <is>
          <t>GIS</t>
        </is>
      </c>
      <c r="B276" s="79" t="n">
        <v>7</v>
      </c>
      <c r="C276" s="79" t="n">
        <v>170.68</v>
      </c>
      <c r="D276" s="79" t="n">
        <v>71.429</v>
      </c>
      <c r="E276" s="79" t="n">
        <v>5.658</v>
      </c>
      <c r="F276" s="79" t="inlineStr">
        <is>
          <t>2024/01/23</t>
        </is>
      </c>
      <c r="G276" s="79" t="n"/>
      <c r="H276" s="79" t="inlineStr">
        <is>
          <t>2024/01/24</t>
        </is>
      </c>
      <c r="I276" s="79" t="n"/>
      <c r="J276" s="23">
        <f>IF(ISBLANK(F276:G276),,IF(COUNTA(F276)=0,G276,F276))</f>
        <v/>
      </c>
      <c r="K276" s="6">
        <f>IFERROR(__xludf.DUMMYFUNCTION("if(isblank(J276),,index(googlefinance(A276,K$2,J276-1),2,2))"),63.18)</f>
        <v/>
      </c>
      <c r="L276" s="37">
        <f>IF(ISBLANK(H276:I276),,IF(COUNTA(H276)=0,I276,H276))</f>
        <v/>
      </c>
      <c r="M276" s="7">
        <f>IFERROR(__xludf.DUMMYFUNCTION("if(isblank(L276),, index(googlefinance(A276,M$2,L276-1),2,2))"),64.75)</f>
        <v/>
      </c>
      <c r="N276" s="8">
        <f>IFERROR(__xludf.DUMMYFUNCTION("if(isblank(A276),,googlefinance(A276))"),66.76)</f>
        <v/>
      </c>
      <c r="O276" s="38">
        <f>IF(ISBLANK(J276),,IF(ISBLANK(L276),"Ongoing","Completed"))</f>
        <v/>
      </c>
      <c r="P276" s="70">
        <f>IF(ISBLANK(A276),,IF(AND(COUNTA(F276)=1,S276&gt;0),"Profit",IF(AND(COUNTA(G276)=1,S276&lt;0),"Profit","Loss")))</f>
        <v/>
      </c>
      <c r="Q276" s="31">
        <f>IF(ISBLANK(T276),,IF(P276="Profit",IF(S276&lt;0,T276*-S276,T276*S276),IF(S276&gt;0,T276*-S276,T276*S276)))</f>
        <v/>
      </c>
      <c r="R276" s="59">
        <f>IF($Q276&gt;0, TRUE, FALSE)</f>
        <v/>
      </c>
      <c r="S276" s="59">
        <f>IF(ISBLANK(J276),,IF(ISBLANK(L276),N276-K276,M276-K276))</f>
        <v/>
      </c>
      <c r="T276" s="61">
        <f>IF(ISBLANK(J276),,ROUNDDOWN(T$1/K276,0))</f>
        <v/>
      </c>
      <c r="U276" s="63" t="n"/>
      <c r="V276" s="63" t="n"/>
      <c r="W276" s="63" t="n"/>
      <c r="X276" s="63" t="n"/>
      <c r="Y276" s="63" t="n"/>
      <c r="Z276" s="63" t="n"/>
      <c r="AA276" s="63" t="n"/>
    </row>
    <row r="277" hidden="1" ht="15.75" customHeight="1" s="56">
      <c r="A277" s="63" t="inlineStr">
        <is>
          <t>HAL</t>
        </is>
      </c>
      <c r="B277" s="79" t="n">
        <v>16</v>
      </c>
      <c r="C277" s="79" t="n">
        <v>122.08</v>
      </c>
      <c r="D277" s="79" t="n">
        <v>25</v>
      </c>
      <c r="E277" s="79" t="n">
        <v>1.428</v>
      </c>
      <c r="F277" s="79" t="inlineStr">
        <is>
          <t>2024/01/23</t>
        </is>
      </c>
      <c r="G277" s="79" t="n"/>
      <c r="H277" s="79" t="inlineStr">
        <is>
          <t>2024/01/31</t>
        </is>
      </c>
      <c r="I277" s="79" t="n"/>
      <c r="J277" s="23">
        <f>IF(ISBLANK(F277:G277),,IF(COUNTA(F277)=0,G277,F277))</f>
        <v/>
      </c>
      <c r="K277" s="6">
        <f>IFERROR(__xludf.DUMMYFUNCTION("if(isblank(J277),,index(googlefinance(A277,K$2,J277-1),2,2))"),34.43)</f>
        <v/>
      </c>
      <c r="L277" s="37">
        <f>IF(ISBLANK(H277:I277),,IF(COUNTA(H277)=0,I277,H277))</f>
        <v/>
      </c>
      <c r="M277" s="7">
        <f>IFERROR(__xludf.DUMMYFUNCTION("if(isblank(L277),, index(googlefinance(A277,M$2,L277-1),2,2))"),36.81)</f>
        <v/>
      </c>
      <c r="N277" s="8">
        <f>IFERROR(__xludf.DUMMYFUNCTION("if(isblank(A277),,googlefinance(A277))"),37.73)</f>
        <v/>
      </c>
      <c r="O277" s="38">
        <f>IF(ISBLANK(J277),,IF(ISBLANK(L277),"Ongoing","Completed"))</f>
        <v/>
      </c>
      <c r="P277" s="70">
        <f>IF(ISBLANK(A277),,IF(AND(COUNTA(F277)=1,S277&gt;0),"Profit",IF(AND(COUNTA(G277)=1,S277&lt;0),"Profit","Loss")))</f>
        <v/>
      </c>
      <c r="Q277" s="31">
        <f>IF(ISBLANK(T277),,IF(P277="Profit",IF(S277&lt;0,T277*-S277,T277*S277),IF(S277&gt;0,T277*-S277,T277*S277)))</f>
        <v/>
      </c>
      <c r="R277" s="59">
        <f>IF($Q277&gt;0, TRUE, FALSE)</f>
        <v/>
      </c>
      <c r="S277" s="59">
        <f>IF(ISBLANK(J277),,IF(ISBLANK(L277),N277-K277,M277-K277))</f>
        <v/>
      </c>
      <c r="T277" s="61">
        <f>IF(ISBLANK(J277),,ROUNDDOWN(T$1/K277,0))</f>
        <v/>
      </c>
      <c r="U277" s="63" t="n"/>
      <c r="V277" s="63" t="n"/>
      <c r="W277" s="63" t="n"/>
      <c r="X277" s="63" t="n"/>
      <c r="Y277" s="63" t="n"/>
      <c r="Z277" s="63" t="n"/>
      <c r="AA277" s="63" t="n"/>
    </row>
    <row r="278" hidden="1" ht="15.75" customHeight="1" s="56">
      <c r="A278" s="63" t="inlineStr">
        <is>
          <t>ECL</t>
        </is>
      </c>
      <c r="B278" s="79" t="n">
        <v>9</v>
      </c>
      <c r="C278" s="79" t="n">
        <v>241.33</v>
      </c>
      <c r="D278" s="79" t="n">
        <v>55.556</v>
      </c>
      <c r="E278" s="79" t="n">
        <v>6.677</v>
      </c>
      <c r="F278" s="79" t="n"/>
      <c r="G278" s="79" t="inlineStr">
        <is>
          <t>2024/01/24</t>
        </is>
      </c>
      <c r="H278" s="79" t="n"/>
      <c r="I278" s="79" t="inlineStr">
        <is>
          <t>2024/01/30</t>
        </is>
      </c>
      <c r="J278" s="23">
        <f>IF(ISBLANK(F278:G278),,IF(COUNTA(F278)=0,G278,F278))</f>
        <v/>
      </c>
      <c r="K278" s="6">
        <f>IFERROR(__xludf.DUMMYFUNCTION("if(isblank(J278),,index(googlefinance(A278,K$2,J278-1),2,2))"),199.18)</f>
        <v/>
      </c>
      <c r="L278" s="37">
        <f>IF(ISBLANK(H278:I278),,IF(COUNTA(H278)=0,I278,H278))</f>
        <v/>
      </c>
      <c r="M278" s="7">
        <f>IFERROR(__xludf.DUMMYFUNCTION("if(isblank(L278),, index(googlefinance(A278,M$2,L278-1),2,2))"),199.25)</f>
        <v/>
      </c>
      <c r="N278" s="8">
        <f>IFERROR(__xludf.DUMMYFUNCTION("if(isblank(A278),,googlefinance(A278))"),226.7)</f>
        <v/>
      </c>
      <c r="O278" s="38">
        <f>IF(ISBLANK(J278),,IF(ISBLANK(L278),"Ongoing","Completed"))</f>
        <v/>
      </c>
      <c r="P278" s="70">
        <f>IF(ISBLANK(A278),,IF(AND(COUNTA(F278)=1,S278&gt;0),"Profit",IF(AND(COUNTA(G278)=1,S278&lt;0),"Profit","Loss")))</f>
        <v/>
      </c>
      <c r="Q278" s="31">
        <f>IF(ISBLANK(T278),,IF(P278="Profit",IF(S278&lt;0,T278*-S278,T278*S278),IF(S278&gt;0,T278*-S278,T278*S278)))</f>
        <v/>
      </c>
      <c r="R278" s="59">
        <f>IF($Q278&gt;0, TRUE, FALSE)</f>
        <v/>
      </c>
      <c r="S278" s="59">
        <f>IF(ISBLANK(J278),,IF(ISBLANK(L278),N278-K278,M278-K278))</f>
        <v/>
      </c>
      <c r="T278" s="61">
        <f>IF(ISBLANK(J278),,ROUNDDOWN(T$1/K278,0))</f>
        <v/>
      </c>
      <c r="U278" s="63" t="n"/>
      <c r="V278" s="63" t="n"/>
      <c r="W278" s="63" t="n"/>
      <c r="X278" s="63" t="n"/>
      <c r="Y278" s="63" t="n"/>
      <c r="Z278" s="63" t="n"/>
      <c r="AA278" s="63" t="n"/>
    </row>
    <row r="279" hidden="1" ht="15.75" customHeight="1" s="56">
      <c r="A279" s="63" t="inlineStr">
        <is>
          <t>XOM</t>
        </is>
      </c>
      <c r="B279" s="79" t="n">
        <v>8</v>
      </c>
      <c r="C279" s="79" t="n">
        <v>88.8</v>
      </c>
      <c r="D279" s="79" t="n">
        <v>37.5</v>
      </c>
      <c r="E279" s="79" t="n">
        <v>1.737</v>
      </c>
      <c r="F279" s="79" t="inlineStr">
        <is>
          <t>2024/01/24</t>
        </is>
      </c>
      <c r="G279" s="79" t="n"/>
      <c r="H279" s="79" t="inlineStr">
        <is>
          <t>2024/02/05</t>
        </is>
      </c>
      <c r="I279" s="79" t="n"/>
      <c r="J279" s="23">
        <f>IF(ISBLANK(F279:G279),,IF(COUNTA(F279)=0,G279,F279))</f>
        <v/>
      </c>
      <c r="K279" s="6">
        <f>IFERROR(__xludf.DUMMYFUNCTION("if(isblank(J279),,index(googlefinance(A279,K$2,J279-1),2,2))"),97.91)</f>
        <v/>
      </c>
      <c r="L279" s="37">
        <f>IF(ISBLANK(H279:I279),,IF(COUNTA(H279)=0,I279,H279))</f>
        <v/>
      </c>
      <c r="M279" s="7">
        <f>IFERROR(__xludf.DUMMYFUNCTION("if(isblank(L279),, index(googlefinance(A279,M$2,L279-1),2,2))"),101.55)</f>
        <v/>
      </c>
      <c r="N279" s="8">
        <f>IFERROR(__xludf.DUMMYFUNCTION("if(isblank(A279),,googlefinance(A279))"),111.27)</f>
        <v/>
      </c>
      <c r="O279" s="38">
        <f>IF(ISBLANK(J279),,IF(ISBLANK(L279),"Ongoing","Completed"))</f>
        <v/>
      </c>
      <c r="P279" s="70">
        <f>IF(ISBLANK(A279),,IF(AND(COUNTA(F279)=1,S279&gt;0),"Profit",IF(AND(COUNTA(G279)=1,S279&lt;0),"Profit","Loss")))</f>
        <v/>
      </c>
      <c r="Q279" s="31">
        <f>IF(ISBLANK(T279),,IF(P279="Profit",IF(S279&lt;0,T279*-S279,T279*S279),IF(S279&gt;0,T279*-S279,T279*S279)))</f>
        <v/>
      </c>
      <c r="R279" s="59">
        <f>IF($Q279&gt;0, TRUE, FALSE)</f>
        <v/>
      </c>
      <c r="S279" s="59">
        <f>IF(ISBLANK(J279),,IF(ISBLANK(L279),N279-K279,M279-K279))</f>
        <v/>
      </c>
      <c r="T279" s="61">
        <f>IF(ISBLANK(J279),,ROUNDDOWN(T$1/K279,0))</f>
        <v/>
      </c>
      <c r="U279" s="63" t="n"/>
      <c r="V279" s="63" t="n"/>
      <c r="W279" s="63" t="n"/>
      <c r="X279" s="63" t="n"/>
      <c r="Y279" s="63" t="n"/>
      <c r="Z279" s="63" t="n"/>
      <c r="AA279" s="63" t="n"/>
    </row>
    <row r="280" hidden="1" ht="15.75" customHeight="1" s="56">
      <c r="A280" s="63" t="inlineStr">
        <is>
          <t>HD</t>
        </is>
      </c>
      <c r="B280" s="79" t="n">
        <v>10</v>
      </c>
      <c r="C280" s="79" t="n">
        <v>24.68</v>
      </c>
      <c r="D280" s="79" t="n">
        <v>30</v>
      </c>
      <c r="E280" s="79" t="n">
        <v>1.12</v>
      </c>
      <c r="F280" s="79" t="n"/>
      <c r="G280" s="79" t="inlineStr">
        <is>
          <t>2024/01/25</t>
        </is>
      </c>
      <c r="H280" s="79" t="n"/>
      <c r="I280" s="79" t="inlineStr">
        <is>
          <t>2024/02/16</t>
        </is>
      </c>
      <c r="J280" s="23">
        <f>IF(ISBLANK(F280:G280),,IF(COUNTA(F280)=0,G280,F280))</f>
        <v/>
      </c>
      <c r="K280" s="6">
        <f>IFERROR(__xludf.DUMMYFUNCTION("if(isblank(J280),,index(googlefinance(A280,K$2,J280-1),2,2))"),347.27)</f>
        <v/>
      </c>
      <c r="L280" s="37">
        <f>IF(ISBLANK(H280:I280),,IF(COUNTA(H280)=0,I280,H280))</f>
        <v/>
      </c>
      <c r="M280" s="7">
        <f>IFERROR(__xludf.DUMMYFUNCTION("if(isblank(L280),, index(googlefinance(A280,M$2,L280-1),2,2))"),361.08)</f>
        <v/>
      </c>
      <c r="N280" s="8">
        <f>IFERROR(__xludf.DUMMYFUNCTION("if(isblank(A280),,googlefinance(A280))"),373.23)</f>
        <v/>
      </c>
      <c r="O280" s="38">
        <f>IF(ISBLANK(J280),,IF(ISBLANK(L280),"Ongoing","Completed"))</f>
        <v/>
      </c>
      <c r="P280" s="70">
        <f>IF(ISBLANK(A280),,IF(AND(COUNTA(F280)=1,S280&gt;0),"Profit",IF(AND(COUNTA(G280)=1,S280&lt;0),"Profit","Loss")))</f>
        <v/>
      </c>
      <c r="Q280" s="31">
        <f>IF(ISBLANK(T280),,IF(P280="Profit",IF(S280&lt;0,T280*-S280,T280*S280),IF(S280&gt;0,T280*-S280,T280*S280)))</f>
        <v/>
      </c>
      <c r="R280" s="59">
        <f>IF($Q280&gt;0, TRUE, FALSE)</f>
        <v/>
      </c>
      <c r="S280" s="59">
        <f>IF(ISBLANK(J280),,IF(ISBLANK(L280),N280-K280,M280-K280))</f>
        <v/>
      </c>
      <c r="T280" s="61">
        <f>IF(ISBLANK(J280),,ROUNDDOWN(T$1/K280,0))</f>
        <v/>
      </c>
      <c r="U280" s="63" t="n"/>
      <c r="V280" s="63" t="n"/>
      <c r="W280" s="63" t="n"/>
      <c r="X280" s="63" t="n"/>
      <c r="Y280" s="63" t="n"/>
      <c r="Z280" s="63" t="n"/>
      <c r="AA280" s="63" t="n"/>
    </row>
    <row r="281" hidden="1" ht="15.75" customHeight="1" s="56">
      <c r="A281" s="63" t="inlineStr">
        <is>
          <t>HWM</t>
        </is>
      </c>
      <c r="B281" s="79" t="n">
        <v>11</v>
      </c>
      <c r="C281" s="79" t="n">
        <v>394.67</v>
      </c>
      <c r="D281" s="79" t="n">
        <v>45.455</v>
      </c>
      <c r="E281" s="79" t="n">
        <v>2.57</v>
      </c>
      <c r="F281" s="79" t="n"/>
      <c r="G281" s="79" t="inlineStr">
        <is>
          <t>2024/01/25</t>
        </is>
      </c>
      <c r="H281" s="79" t="n"/>
      <c r="I281" s="79" t="inlineStr">
        <is>
          <t>2024/01/30</t>
        </is>
      </c>
      <c r="J281" s="23">
        <f>IF(ISBLANK(F281:G281),,IF(COUNTA(F281)=0,G281,F281))</f>
        <v/>
      </c>
      <c r="K281" s="6">
        <f>IFERROR(__xludf.DUMMYFUNCTION("if(isblank(J281),,index(googlefinance(A281,K$2,J281-1),2,2))"),56.34)</f>
        <v/>
      </c>
      <c r="L281" s="37">
        <f>IF(ISBLANK(H281:I281),,IF(COUNTA(H281)=0,I281,H281))</f>
        <v/>
      </c>
      <c r="M281" s="7">
        <f>IFERROR(__xludf.DUMMYFUNCTION("if(isblank(L281),, index(googlefinance(A281,M$2,L281-1),2,2))"),55.78)</f>
        <v/>
      </c>
      <c r="N281" s="8">
        <f>IFERROR(__xludf.DUMMYFUNCTION("if(isblank(A281),,googlefinance(A281))"),66.24)</f>
        <v/>
      </c>
      <c r="O281" s="38">
        <f>IF(ISBLANK(J281),,IF(ISBLANK(L281),"Ongoing","Completed"))</f>
        <v/>
      </c>
      <c r="P281" s="70">
        <f>IF(ISBLANK(A281),,IF(AND(COUNTA(F281)=1,S281&gt;0),"Profit",IF(AND(COUNTA(G281)=1,S281&lt;0),"Profit","Loss")))</f>
        <v/>
      </c>
      <c r="Q281" s="31">
        <f>IF(ISBLANK(T281),,IF(P281="Profit",IF(S281&lt;0,T281*-S281,T281*S281),IF(S281&gt;0,T281*-S281,T281*S281)))</f>
        <v/>
      </c>
      <c r="R281" s="59">
        <f>IF($Q281&gt;0, TRUE, FALSE)</f>
        <v/>
      </c>
      <c r="S281" s="59">
        <f>IF(ISBLANK(J281),,IF(ISBLANK(L281),N281-K281,M281-K281))</f>
        <v/>
      </c>
      <c r="T281" s="61">
        <f>IF(ISBLANK(J281),,ROUNDDOWN(T$1/K281,0))</f>
        <v/>
      </c>
      <c r="U281" s="63" t="n"/>
      <c r="V281" s="63" t="n"/>
      <c r="W281" s="63" t="n"/>
      <c r="X281" s="63" t="n"/>
      <c r="Y281" s="63" t="n"/>
      <c r="Z281" s="63" t="n"/>
      <c r="AA281" s="63" t="n"/>
    </row>
    <row r="282" hidden="1" ht="15.75" customHeight="1" s="56">
      <c r="A282" s="63" t="inlineStr">
        <is>
          <t>DVN</t>
        </is>
      </c>
      <c r="B282" s="79" t="n">
        <v>9</v>
      </c>
      <c r="C282" s="79" t="n">
        <v>255.34</v>
      </c>
      <c r="D282" s="79" t="n">
        <v>33.333</v>
      </c>
      <c r="E282" s="79" t="n">
        <v>2.739</v>
      </c>
      <c r="F282" s="79" t="inlineStr">
        <is>
          <t>2024/01/26</t>
        </is>
      </c>
      <c r="G282" s="79" t="n"/>
      <c r="H282" s="79" t="inlineStr">
        <is>
          <t>2024/01/31</t>
        </is>
      </c>
      <c r="I282" s="79" t="n"/>
      <c r="J282" s="23">
        <f>IF(ISBLANK(F282:G282),,IF(COUNTA(F282)=0,G282,F282))</f>
        <v/>
      </c>
      <c r="K282" s="6">
        <f>IFERROR(__xludf.DUMMYFUNCTION("if(isblank(J282),,index(googlefinance(A282,K$2,J282-1),2,2))"),42.49)</f>
        <v/>
      </c>
      <c r="L282" s="37">
        <f>IF(ISBLANK(H282:I282),,IF(COUNTA(H282)=0,I282,H282))</f>
        <v/>
      </c>
      <c r="M282" s="7">
        <f>IFERROR(__xludf.DUMMYFUNCTION("if(isblank(L282),, index(googlefinance(A282,M$2,L282-1),2,2))"),43.32)</f>
        <v/>
      </c>
      <c r="N282" s="8">
        <f>IFERROR(__xludf.DUMMYFUNCTION("if(isblank(A282),,googlefinance(A282))"),47.62)</f>
        <v/>
      </c>
      <c r="O282" s="38">
        <f>IF(ISBLANK(J282),,IF(ISBLANK(L282),"Ongoing","Completed"))</f>
        <v/>
      </c>
      <c r="P282" s="70">
        <f>IF(ISBLANK(A282),,IF(AND(COUNTA(F282)=1,S282&gt;0),"Profit",IF(AND(COUNTA(G282)=1,S282&lt;0),"Profit","Loss")))</f>
        <v/>
      </c>
      <c r="Q282" s="31">
        <f>IF(ISBLANK(T282),,IF(P282="Profit",IF(S282&lt;0,T282*-S282,T282*S282),IF(S282&gt;0,T282*-S282,T282*S282)))</f>
        <v/>
      </c>
      <c r="R282" s="59">
        <f>IF($Q282&gt;0, TRUE, FALSE)</f>
        <v/>
      </c>
      <c r="S282" s="59">
        <f>IF(ISBLANK(J282),,IF(ISBLANK(L282),N282-K282,M282-K282))</f>
        <v/>
      </c>
      <c r="T282" s="61">
        <f>IF(ISBLANK(J282),,ROUNDDOWN(T$1/K282,0))</f>
        <v/>
      </c>
      <c r="U282" s="63" t="n"/>
      <c r="V282" s="63" t="n"/>
      <c r="W282" s="63" t="n"/>
      <c r="X282" s="63" t="n"/>
      <c r="Y282" s="63" t="n"/>
      <c r="Z282" s="63" t="n"/>
      <c r="AA282" s="63" t="n"/>
    </row>
    <row r="283" hidden="1" ht="15.75" customHeight="1" s="56">
      <c r="A283" s="63" t="inlineStr">
        <is>
          <t>LRCX</t>
        </is>
      </c>
      <c r="B283" s="79" t="n">
        <v>14</v>
      </c>
      <c r="C283" s="79" t="n">
        <v>53.21</v>
      </c>
      <c r="D283" s="79" t="n">
        <v>21.429</v>
      </c>
      <c r="E283" s="79" t="n">
        <v>1.089</v>
      </c>
      <c r="F283" s="79" t="n"/>
      <c r="G283" s="79" t="inlineStr">
        <is>
          <t>2024/01/26</t>
        </is>
      </c>
      <c r="H283" s="79" t="n"/>
      <c r="I283" s="79" t="inlineStr">
        <is>
          <t>2024/02/05</t>
        </is>
      </c>
      <c r="J283" s="23">
        <f>IF(ISBLANK(F283:G283),,IF(COUNTA(F283)=0,G283,F283))</f>
        <v/>
      </c>
      <c r="K283" s="6">
        <f>IFERROR(__xludf.DUMMYFUNCTION("if(isblank(J283),,index(googlefinance(A283,K$2,J283-1),2,2))"),865.6)</f>
        <v/>
      </c>
      <c r="L283" s="37">
        <f>IF(ISBLANK(H283:I283),,IF(COUNTA(H283)=0,I283,H283))</f>
        <v/>
      </c>
      <c r="M283" s="7">
        <f>IFERROR(__xludf.DUMMYFUNCTION("if(isblank(L283),, index(googlefinance(A283,M$2,L283-1),2,2))"),851.32)</f>
        <v/>
      </c>
      <c r="N283" s="8">
        <f>IFERROR(__xludf.DUMMYFUNCTION("if(isblank(A283),,googlefinance(A283))"),910.09)</f>
        <v/>
      </c>
      <c r="O283" s="38">
        <f>IF(ISBLANK(J283),,IF(ISBLANK(L283),"Ongoing","Completed"))</f>
        <v/>
      </c>
      <c r="P283" s="70">
        <f>IF(ISBLANK(A283),,IF(AND(COUNTA(F283)=1,S283&gt;0),"Profit",IF(AND(COUNTA(G283)=1,S283&lt;0),"Profit","Loss")))</f>
        <v/>
      </c>
      <c r="Q283" s="31">
        <f>IF(ISBLANK(T283),,IF(P283="Profit",IF(S283&lt;0,T283*-S283,T283*S283),IF(S283&gt;0,T283*-S283,T283*S283)))</f>
        <v/>
      </c>
      <c r="R283" s="59">
        <f>IF($Q283&gt;0, TRUE, FALSE)</f>
        <v/>
      </c>
      <c r="S283" s="59">
        <f>IF(ISBLANK(J283),,IF(ISBLANK(L283),N283-K283,M283-K283))</f>
        <v/>
      </c>
      <c r="T283" s="61">
        <f>IF(ISBLANK(J283),,ROUNDDOWN(T$1/K283,0))</f>
        <v/>
      </c>
      <c r="U283" s="63" t="n"/>
      <c r="V283" s="63" t="n"/>
      <c r="W283" s="63" t="n"/>
      <c r="X283" s="63" t="n"/>
      <c r="Y283" s="63" t="n"/>
      <c r="Z283" s="63" t="n"/>
      <c r="AA283" s="63" t="n"/>
    </row>
    <row r="284" hidden="1" ht="15.75" customHeight="1" s="56">
      <c r="A284" s="63" t="inlineStr">
        <is>
          <t>LUV</t>
        </is>
      </c>
      <c r="B284" s="79" t="n">
        <v>12</v>
      </c>
      <c r="C284" s="79" t="n">
        <v>236.33</v>
      </c>
      <c r="D284" s="79" t="n">
        <v>41.667</v>
      </c>
      <c r="E284" s="79" t="n">
        <v>1.747</v>
      </c>
      <c r="F284" s="79" t="n"/>
      <c r="G284" s="79" t="inlineStr">
        <is>
          <t>2024/01/26</t>
        </is>
      </c>
      <c r="H284" s="79" t="n"/>
      <c r="I284" s="79" t="inlineStr">
        <is>
          <t>2024/02/06</t>
        </is>
      </c>
      <c r="J284" s="23">
        <f>IF(ISBLANK(F284:G284),,IF(COUNTA(F284)=0,G284,F284))</f>
        <v/>
      </c>
      <c r="K284" s="6">
        <f>IFERROR(__xludf.DUMMYFUNCTION("if(isblank(J284),,index(googlefinance(A284,K$2,J284-1),2,2))"),30.39)</f>
        <v/>
      </c>
      <c r="L284" s="37">
        <f>IF(ISBLANK(H284:I284),,IF(COUNTA(H284)=0,I284,H284))</f>
        <v/>
      </c>
      <c r="M284" s="7">
        <f>IFERROR(__xludf.DUMMYFUNCTION("if(isblank(L284),, index(googlefinance(A284,M$2,L284-1),2,2))"),29.75)</f>
        <v/>
      </c>
      <c r="N284" s="8">
        <f>IFERROR(__xludf.DUMMYFUNCTION("if(isblank(A284),,googlefinance(A284))"),28.35)</f>
        <v/>
      </c>
      <c r="O284" s="38">
        <f>IF(ISBLANK(J284),,IF(ISBLANK(L284),"Ongoing","Completed"))</f>
        <v/>
      </c>
      <c r="P284" s="70">
        <f>IF(ISBLANK(A284),,IF(AND(COUNTA(F284)=1,S284&gt;0),"Profit",IF(AND(COUNTA(G284)=1,S284&lt;0),"Profit","Loss")))</f>
        <v/>
      </c>
      <c r="Q284" s="31">
        <f>IF(ISBLANK(T284),,IF(P284="Profit",IF(S284&lt;0,T284*-S284,T284*S284),IF(S284&gt;0,T284*-S284,T284*S284)))</f>
        <v/>
      </c>
      <c r="R284" s="59">
        <f>IF($Q284&gt;0, TRUE, FALSE)</f>
        <v/>
      </c>
      <c r="S284" s="59">
        <f>IF(ISBLANK(J284),,IF(ISBLANK(L284),N284-K284,M284-K284))</f>
        <v/>
      </c>
      <c r="T284" s="61">
        <f>IF(ISBLANK(J284),,ROUNDDOWN(T$1/K284,0))</f>
        <v/>
      </c>
      <c r="U284" s="63" t="n"/>
      <c r="V284" s="63" t="n"/>
      <c r="W284" s="63" t="n"/>
      <c r="X284" s="63" t="n"/>
      <c r="Y284" s="63" t="n"/>
      <c r="Z284" s="63" t="n"/>
      <c r="AA284" s="63" t="n"/>
    </row>
    <row r="285" hidden="1" ht="15.75" customHeight="1" s="56">
      <c r="A285" s="63" t="inlineStr">
        <is>
          <t>PEP</t>
        </is>
      </c>
      <c r="B285" s="79" t="n">
        <v>11</v>
      </c>
      <c r="C285" s="79" t="n">
        <v>112.19</v>
      </c>
      <c r="D285" s="79" t="n">
        <v>45.455</v>
      </c>
      <c r="E285" s="79" t="n">
        <v>2.323</v>
      </c>
      <c r="F285" s="79" t="inlineStr">
        <is>
          <t>2024/01/26</t>
        </is>
      </c>
      <c r="G285" s="79" t="n"/>
      <c r="H285" s="79" t="inlineStr">
        <is>
          <t>2024/02/13</t>
        </is>
      </c>
      <c r="I285" s="79" t="n"/>
      <c r="J285" s="23">
        <f>IF(ISBLANK(F285:G285),,IF(COUNTA(F285)=0,G285,F285))</f>
        <v/>
      </c>
      <c r="K285" s="6">
        <f>IFERROR(__xludf.DUMMYFUNCTION("if(isblank(J285),,index(googlefinance(A285,K$2,J285-1),2,2))"),166.56)</f>
        <v/>
      </c>
      <c r="L285" s="37">
        <f>IF(ISBLANK(H285:I285),,IF(COUNTA(H285)=0,I285,H285))</f>
        <v/>
      </c>
      <c r="M285" s="7">
        <f>IFERROR(__xludf.DUMMYFUNCTION("if(isblank(L285),, index(googlefinance(A285,M$2,L285-1),2,2))"),170.61)</f>
        <v/>
      </c>
      <c r="N285" s="8">
        <f>IFERROR(__xludf.DUMMYFUNCTION("if(isblank(A285),,googlefinance(A285))"),164.66)</f>
        <v/>
      </c>
      <c r="O285" s="38">
        <f>IF(ISBLANK(J285),,IF(ISBLANK(L285),"Ongoing","Completed"))</f>
        <v/>
      </c>
      <c r="P285" s="70">
        <f>IF(ISBLANK(A285),,IF(AND(COUNTA(F285)=1,S285&gt;0),"Profit",IF(AND(COUNTA(G285)=1,S285&lt;0),"Profit","Loss")))</f>
        <v/>
      </c>
      <c r="Q285" s="31">
        <f>IF(ISBLANK(T285),,IF(P285="Profit",IF(S285&lt;0,T285*-S285,T285*S285),IF(S285&gt;0,T285*-S285,T285*S285)))</f>
        <v/>
      </c>
      <c r="R285" s="59">
        <f>IF($Q285&gt;0, TRUE, FALSE)</f>
        <v/>
      </c>
      <c r="S285" s="59">
        <f>IF(ISBLANK(J285),,IF(ISBLANK(L285),N285-K285,M285-K285))</f>
        <v/>
      </c>
      <c r="T285" s="61">
        <f>IF(ISBLANK(J285),,ROUNDDOWN(T$1/K285,0))</f>
        <v/>
      </c>
      <c r="U285" s="63" t="n"/>
      <c r="V285" s="63" t="n"/>
      <c r="W285" s="63" t="n"/>
      <c r="X285" s="63" t="n"/>
      <c r="Y285" s="63" t="n"/>
      <c r="Z285" s="63" t="n"/>
      <c r="AA285" s="63" t="n"/>
    </row>
    <row r="286" hidden="1" ht="15.75" customHeight="1" s="56">
      <c r="A286" s="63" t="inlineStr">
        <is>
          <t>WMB</t>
        </is>
      </c>
      <c r="B286" s="79" t="n">
        <v>12</v>
      </c>
      <c r="C286" s="79" t="n">
        <v>449.26</v>
      </c>
      <c r="D286" s="79" t="n">
        <v>50</v>
      </c>
      <c r="E286" s="79" t="n">
        <v>3.535</v>
      </c>
      <c r="F286" s="79" t="inlineStr">
        <is>
          <t>2024/01/26</t>
        </is>
      </c>
      <c r="G286" s="79" t="n"/>
      <c r="H286" s="79" t="inlineStr">
        <is>
          <t>2024/02/05</t>
        </is>
      </c>
      <c r="I286" s="79" t="n"/>
      <c r="J286" s="23">
        <f>IF(ISBLANK(F286:G286),,IF(COUNTA(F286)=0,G286,F286))</f>
        <v/>
      </c>
      <c r="K286" s="6">
        <f>IFERROR(__xludf.DUMMYFUNCTION("if(isblank(J286),,index(googlefinance(A286,K$2,J286-1),2,2))"),34.44)</f>
        <v/>
      </c>
      <c r="L286" s="37">
        <f>IF(ISBLANK(H286:I286),,IF(COUNTA(H286)=0,I286,H286))</f>
        <v/>
      </c>
      <c r="M286" s="7">
        <f>IFERROR(__xludf.DUMMYFUNCTION("if(isblank(L286),, index(googlefinance(A286,M$2,L286-1),2,2))"),34.43)</f>
        <v/>
      </c>
      <c r="N286" s="8">
        <f>IFERROR(__xludf.DUMMYFUNCTION("if(isblank(A286),,googlefinance(A286))"),37.0)</f>
        <v/>
      </c>
      <c r="O286" s="38">
        <f>IF(ISBLANK(J286),,IF(ISBLANK(L286),"Ongoing","Completed"))</f>
        <v/>
      </c>
      <c r="P286" s="70">
        <f>IF(ISBLANK(A286),,IF(AND(COUNTA(F286)=1,S286&gt;0),"Profit",IF(AND(COUNTA(G286)=1,S286&lt;0),"Profit","Loss")))</f>
        <v/>
      </c>
      <c r="Q286" s="31">
        <f>IF(ISBLANK(T286),,IF(P286="Profit",IF(S286&lt;0,T286*-S286,T286*S286),IF(S286&gt;0,T286*-S286,T286*S286)))</f>
        <v/>
      </c>
      <c r="R286" s="59">
        <f>IF($Q286&gt;0, TRUE, FALSE)</f>
        <v/>
      </c>
      <c r="S286" s="59">
        <f>IF(ISBLANK(J286),,IF(ISBLANK(L286),N286-K286,M286-K286))</f>
        <v/>
      </c>
      <c r="T286" s="61">
        <f>IF(ISBLANK(J286),,ROUNDDOWN(T$1/K286,0))</f>
        <v/>
      </c>
      <c r="U286" s="63" t="n"/>
      <c r="V286" s="63" t="n"/>
      <c r="W286" s="63" t="n"/>
      <c r="X286" s="63" t="n"/>
      <c r="Y286" s="63" t="n"/>
      <c r="Z286" s="63" t="n"/>
      <c r="AA286" s="63" t="n"/>
    </row>
    <row r="287" hidden="1" ht="15.75" customHeight="1" s="56">
      <c r="A287" s="63" t="inlineStr">
        <is>
          <t>FICO</t>
        </is>
      </c>
      <c r="B287" s="79" t="n">
        <v>15</v>
      </c>
      <c r="C287" s="79" t="n">
        <v>121.59</v>
      </c>
      <c r="D287" s="79" t="n">
        <v>20</v>
      </c>
      <c r="E287" s="79" t="n">
        <v>1.553</v>
      </c>
      <c r="F287" s="79" t="n"/>
      <c r="G287" s="79" t="inlineStr">
        <is>
          <t>2024/01/29</t>
        </is>
      </c>
      <c r="H287" s="79" t="n"/>
      <c r="I287" s="79" t="inlineStr">
        <is>
          <t>2024/02/01</t>
        </is>
      </c>
      <c r="J287" s="23">
        <f>IF(ISBLANK(F287:G287),,IF(COUNTA(F287)=0,G287,F287))</f>
        <v/>
      </c>
      <c r="K287" s="6">
        <f>IFERROR(__xludf.DUMMYFUNCTION("if(isblank(J287),,index(googlefinance(A287,K$2,J287-1),2,2))"),1222.38)</f>
        <v/>
      </c>
      <c r="L287" s="37">
        <f>IF(ISBLANK(H287:I287),,IF(COUNTA(H287)=0,I287,H287))</f>
        <v/>
      </c>
      <c r="M287" s="7">
        <f>IFERROR(__xludf.DUMMYFUNCTION("if(isblank(L287),, index(googlefinance(A287,M$2,L287-1),2,2))"),1198.83)</f>
        <v/>
      </c>
      <c r="N287" s="8">
        <f>IFERROR(__xludf.DUMMYFUNCTION("if(isblank(A287),,googlefinance(A287))"),1211.81)</f>
        <v/>
      </c>
      <c r="O287" s="38">
        <f>IF(ISBLANK(J287),,IF(ISBLANK(L287),"Ongoing","Completed"))</f>
        <v/>
      </c>
      <c r="P287" s="70">
        <f>IF(ISBLANK(A287),,IF(AND(COUNTA(F287)=1,S287&gt;0),"Profit",IF(AND(COUNTA(G287)=1,S287&lt;0),"Profit","Loss")))</f>
        <v/>
      </c>
      <c r="Q287" s="31">
        <f>IF(ISBLANK(T287),,IF(P287="Profit",IF(S287&lt;0,T287*-S287,T287*S287),IF(S287&gt;0,T287*-S287,T287*S287)))</f>
        <v/>
      </c>
      <c r="R287" s="59">
        <f>IF($Q287&gt;0, TRUE, FALSE)</f>
        <v/>
      </c>
      <c r="S287" s="59">
        <f>IF(ISBLANK(J287),,IF(ISBLANK(L287),N287-K287,M287-K287))</f>
        <v/>
      </c>
      <c r="T287" s="61">
        <f>IF(ISBLANK(J287),,ROUNDDOWN(T$1/K287,0))</f>
        <v/>
      </c>
      <c r="U287" s="63" t="n"/>
      <c r="V287" s="63" t="n"/>
      <c r="W287" s="63" t="n"/>
      <c r="X287" s="63" t="n"/>
      <c r="Y287" s="63" t="n"/>
      <c r="Z287" s="63" t="n"/>
      <c r="AA287" s="63" t="n"/>
    </row>
    <row r="288" hidden="1" ht="15.75" customHeight="1" s="56">
      <c r="A288" s="63" t="inlineStr">
        <is>
          <t>CFG</t>
        </is>
      </c>
      <c r="B288" s="79" t="n">
        <v>11</v>
      </c>
      <c r="C288" s="79" t="n">
        <v>257.02</v>
      </c>
      <c r="D288" s="79" t="n">
        <v>63.636</v>
      </c>
      <c r="E288" s="79" t="n">
        <v>3.101</v>
      </c>
      <c r="F288" s="79" t="n"/>
      <c r="G288" s="79" t="inlineStr">
        <is>
          <t>2024/01/31</t>
        </is>
      </c>
      <c r="H288" s="79" t="n"/>
      <c r="I288" s="79" t="inlineStr">
        <is>
          <t>2024/02/13</t>
        </is>
      </c>
      <c r="J288" s="23">
        <f>IF(ISBLANK(F288:G288),,IF(COUNTA(F288)=0,G288,F288))</f>
        <v/>
      </c>
      <c r="K288" s="6">
        <f>IFERROR(__xludf.DUMMYFUNCTION("if(isblank(J288),,index(googlefinance(A288,K$2,J288-1),2,2))"),34.31)</f>
        <v/>
      </c>
      <c r="L288" s="37">
        <f>IF(ISBLANK(H288:I288),,IF(COUNTA(H288)=0,I288,H288))</f>
        <v/>
      </c>
      <c r="M288" s="7">
        <f>IFERROR(__xludf.DUMMYFUNCTION("if(isblank(L288),, index(googlefinance(A288,M$2,L288-1),2,2))"),32.22)</f>
        <v/>
      </c>
      <c r="N288" s="8">
        <f>IFERROR(__xludf.DUMMYFUNCTION("if(isblank(A288),,googlefinance(A288))"),33.49)</f>
        <v/>
      </c>
      <c r="O288" s="38">
        <f>IF(ISBLANK(J288),,IF(ISBLANK(L288),"Ongoing","Completed"))</f>
        <v/>
      </c>
      <c r="P288" s="70">
        <f>IF(ISBLANK(A288),,IF(AND(COUNTA(F288)=1,S288&gt;0),"Profit",IF(AND(COUNTA(G288)=1,S288&lt;0),"Profit","Loss")))</f>
        <v/>
      </c>
      <c r="Q288" s="31">
        <f>IF(ISBLANK(T288),,IF(P288="Profit",IF(S288&lt;0,T288*-S288,T288*S288),IF(S288&gt;0,T288*-S288,T288*S288)))</f>
        <v/>
      </c>
      <c r="R288" s="59">
        <f>IF($Q288&gt;0, TRUE, FALSE)</f>
        <v/>
      </c>
      <c r="S288" s="59">
        <f>IF(ISBLANK(J288),,IF(ISBLANK(L288),N288-K288,M288-K288))</f>
        <v/>
      </c>
      <c r="T288" s="61">
        <f>IF(ISBLANK(J288),,ROUNDDOWN(T$1/K288,0))</f>
        <v/>
      </c>
      <c r="U288" s="63" t="n"/>
      <c r="V288" s="63" t="n"/>
      <c r="W288" s="63" t="n"/>
      <c r="X288" s="63" t="n"/>
      <c r="Y288" s="63" t="n"/>
      <c r="Z288" s="63" t="n"/>
      <c r="AA288" s="63" t="n"/>
    </row>
    <row r="289" hidden="1" ht="15.75" customHeight="1" s="56">
      <c r="A289" s="63" t="inlineStr">
        <is>
          <t>CSCO</t>
        </is>
      </c>
      <c r="B289" s="79" t="n">
        <v>12</v>
      </c>
      <c r="C289" s="79" t="n">
        <v>53.62</v>
      </c>
      <c r="D289" s="79" t="n">
        <v>50</v>
      </c>
      <c r="E289" s="79" t="n">
        <v>1.394</v>
      </c>
      <c r="F289" s="79" t="n"/>
      <c r="G289" s="79" t="inlineStr">
        <is>
          <t>2024/01/31</t>
        </is>
      </c>
      <c r="H289" s="79" t="n"/>
      <c r="I289" s="79" t="inlineStr">
        <is>
          <t>2024/02/14</t>
        </is>
      </c>
      <c r="J289" s="23">
        <f>IF(ISBLANK(F289:G289),,IF(COUNTA(F289)=0,G289,F289))</f>
        <v/>
      </c>
      <c r="K289" s="6">
        <f>IFERROR(__xludf.DUMMYFUNCTION("if(isblank(J289),,index(googlefinance(A289,K$2,J289-1),2,2))"),52.24)</f>
        <v/>
      </c>
      <c r="L289" s="37">
        <f>IF(ISBLANK(H289:I289),,IF(COUNTA(H289)=0,I289,H289))</f>
        <v/>
      </c>
      <c r="M289" s="7">
        <f>IFERROR(__xludf.DUMMYFUNCTION("if(isblank(L289),, index(googlefinance(A289,M$2,L289-1),2,2))"),49.64)</f>
        <v/>
      </c>
      <c r="N289" s="8">
        <f>IFERROR(__xludf.DUMMYFUNCTION("if(isblank(A289),,googlefinance(A289))"),48.93)</f>
        <v/>
      </c>
      <c r="O289" s="38">
        <f>IF(ISBLANK(J289),,IF(ISBLANK(L289),"Ongoing","Completed"))</f>
        <v/>
      </c>
      <c r="P289" s="70">
        <f>IF(ISBLANK(A289),,IF(AND(COUNTA(F289)=1,S289&gt;0),"Profit",IF(AND(COUNTA(G289)=1,S289&lt;0),"Profit","Loss")))</f>
        <v/>
      </c>
      <c r="Q289" s="31">
        <f>IF(ISBLANK(T289),,IF(P289="Profit",IF(S289&lt;0,T289*-S289,T289*S289),IF(S289&gt;0,T289*-S289,T289*S289)))</f>
        <v/>
      </c>
      <c r="R289" s="59">
        <f>IF($Q289&gt;0, TRUE, FALSE)</f>
        <v/>
      </c>
      <c r="S289" s="59">
        <f>IF(ISBLANK(J289),,IF(ISBLANK(L289),N289-K289,M289-K289))</f>
        <v/>
      </c>
      <c r="T289" s="61">
        <f>IF(ISBLANK(J289),,ROUNDDOWN(T$1/K289,0))</f>
        <v/>
      </c>
      <c r="U289" s="63" t="n"/>
      <c r="V289" s="63" t="n"/>
      <c r="W289" s="63" t="n"/>
      <c r="X289" s="63" t="n"/>
      <c r="Y289" s="63" t="n"/>
      <c r="Z289" s="63" t="n"/>
      <c r="AA289" s="63" t="n"/>
    </row>
    <row r="290" hidden="1" ht="15.75" customHeight="1" s="56">
      <c r="A290" s="63" t="inlineStr">
        <is>
          <t>DLR</t>
        </is>
      </c>
      <c r="B290" s="79" t="n">
        <v>13</v>
      </c>
      <c r="C290" s="79" t="n">
        <v>36.14</v>
      </c>
      <c r="D290" s="79" t="n">
        <v>53.846</v>
      </c>
      <c r="E290" s="79" t="n">
        <v>1.183</v>
      </c>
      <c r="F290" s="79" t="n"/>
      <c r="G290" s="79" t="inlineStr">
        <is>
          <t>2024/01/31</t>
        </is>
      </c>
      <c r="H290" s="79" t="n"/>
      <c r="I290" s="79" t="inlineStr">
        <is>
          <t>2024/02/15</t>
        </is>
      </c>
      <c r="J290" s="23">
        <f>IF(ISBLANK(F290:G290),,IF(COUNTA(F290)=0,G290,F290))</f>
        <v/>
      </c>
      <c r="K290" s="6">
        <f>IFERROR(__xludf.DUMMYFUNCTION("if(isblank(J290),,index(googlefinance(A290,K$2,J290-1),2,2))"),144.22)</f>
        <v/>
      </c>
      <c r="L290" s="37">
        <f>IF(ISBLANK(H290:I290),,IF(COUNTA(H290)=0,I290,H290))</f>
        <v/>
      </c>
      <c r="M290" s="7">
        <f>IFERROR(__xludf.DUMMYFUNCTION("if(isblank(L290),, index(googlefinance(A290,M$2,L290-1),2,2))"),142.23)</f>
        <v/>
      </c>
      <c r="N290" s="8">
        <f>IFERROR(__xludf.DUMMYFUNCTION("if(isblank(A290),,googlefinance(A290))"),140.86)</f>
        <v/>
      </c>
      <c r="O290" s="38">
        <f>IF(ISBLANK(J290),,IF(ISBLANK(L290),"Ongoing","Completed"))</f>
        <v/>
      </c>
      <c r="P290" s="70">
        <f>IF(ISBLANK(A290),,IF(AND(COUNTA(F290)=1,S290&gt;0),"Profit",IF(AND(COUNTA(G290)=1,S290&lt;0),"Profit","Loss")))</f>
        <v/>
      </c>
      <c r="Q290" s="31">
        <f>IF(ISBLANK(T290),,IF(P290="Profit",IF(S290&lt;0,T290*-S290,T290*S290),IF(S290&gt;0,T290*-S290,T290*S290)))</f>
        <v/>
      </c>
      <c r="R290" s="59">
        <f>IF($Q290&gt;0, TRUE, FALSE)</f>
        <v/>
      </c>
      <c r="S290" s="59">
        <f>IF(ISBLANK(J290),,IF(ISBLANK(L290),N290-K290,M290-K290))</f>
        <v/>
      </c>
      <c r="T290" s="61">
        <f>IF(ISBLANK(J290),,ROUNDDOWN(T$1/K290,0))</f>
        <v/>
      </c>
      <c r="U290" s="63" t="n"/>
      <c r="V290" s="63" t="n"/>
      <c r="W290" s="63" t="n"/>
      <c r="X290" s="63" t="n"/>
      <c r="Y290" s="63" t="n"/>
      <c r="Z290" s="63" t="n"/>
      <c r="AA290" s="63" t="n"/>
    </row>
    <row r="291" hidden="1" ht="15.75" customHeight="1" s="56">
      <c r="A291" s="63" t="inlineStr">
        <is>
          <t>IBM</t>
        </is>
      </c>
      <c r="B291" s="79" t="n">
        <v>11</v>
      </c>
      <c r="C291" s="79" t="n">
        <v>210.472</v>
      </c>
      <c r="D291" s="79" t="n">
        <v>45.455</v>
      </c>
      <c r="E291" s="79" t="n">
        <v>4.111</v>
      </c>
      <c r="F291" s="79" t="n"/>
      <c r="G291" s="79" t="inlineStr">
        <is>
          <t>2024/01/31</t>
        </is>
      </c>
      <c r="H291" s="79" t="n"/>
      <c r="I291" s="79" t="inlineStr">
        <is>
          <t>2024/02/13</t>
        </is>
      </c>
      <c r="J291" s="23">
        <f>IF(ISBLANK(F291:G291),,IF(COUNTA(F291)=0,G291,F291))</f>
        <v/>
      </c>
      <c r="K291" s="6">
        <f>IFERROR(__xludf.DUMMYFUNCTION("if(isblank(J291),,index(googlefinance(A291,K$2,J291-1),2,2))"),187.87)</f>
        <v/>
      </c>
      <c r="L291" s="37">
        <f>IF(ISBLANK(H291:I291),,IF(COUNTA(H291)=0,I291,H291))</f>
        <v/>
      </c>
      <c r="M291" s="7">
        <f>IFERROR(__xludf.DUMMYFUNCTION("if(isblank(L291),, index(googlefinance(A291,M$2,L291-1),2,2))"),186.16)</f>
        <v/>
      </c>
      <c r="N291" s="8">
        <f>IFERROR(__xludf.DUMMYFUNCTION("if(isblank(A291),,googlefinance(A291))"),191.07)</f>
        <v/>
      </c>
      <c r="O291" s="38">
        <f>IF(ISBLANK(J291),,IF(ISBLANK(L291),"Ongoing","Completed"))</f>
        <v/>
      </c>
      <c r="P291" s="70">
        <f>IF(ISBLANK(A291),,IF(AND(COUNTA(F291)=1,S291&gt;0),"Profit",IF(AND(COUNTA(G291)=1,S291&lt;0),"Profit","Loss")))</f>
        <v/>
      </c>
      <c r="Q291" s="31">
        <f>IF(ISBLANK(T291),,IF(P291="Profit",IF(S291&lt;0,T291*-S291,T291*S291),IF(S291&gt;0,T291*-S291,T291*S291)))</f>
        <v/>
      </c>
      <c r="R291" s="59">
        <f>IF($Q291&gt;0, TRUE, FALSE)</f>
        <v/>
      </c>
      <c r="S291" s="59">
        <f>IF(ISBLANK(J291),,IF(ISBLANK(L291),N291-K291,M291-K291))</f>
        <v/>
      </c>
      <c r="T291" s="61">
        <f>IF(ISBLANK(J291),,ROUNDDOWN(T$1/K291,0))</f>
        <v/>
      </c>
      <c r="U291" s="63" t="n"/>
      <c r="V291" s="63" t="n"/>
      <c r="W291" s="63" t="n"/>
      <c r="X291" s="63" t="n"/>
      <c r="Y291" s="63" t="n"/>
      <c r="Z291" s="63" t="n"/>
      <c r="AA291" s="63" t="n"/>
    </row>
    <row r="292" hidden="1" ht="15.75" customHeight="1" s="56">
      <c r="A292" s="63" t="inlineStr">
        <is>
          <t>AIG</t>
        </is>
      </c>
      <c r="B292" s="79" t="n">
        <v>11</v>
      </c>
      <c r="C292" s="79" t="n">
        <v>54.15</v>
      </c>
      <c r="D292" s="79" t="n">
        <v>36.364</v>
      </c>
      <c r="E292" s="79" t="n">
        <v>1.271</v>
      </c>
      <c r="F292" s="79" t="n"/>
      <c r="G292" s="79" t="inlineStr">
        <is>
          <t>2024/02/01</t>
        </is>
      </c>
      <c r="H292" s="79" t="n"/>
      <c r="I292" s="79" t="inlineStr">
        <is>
          <t>2024/02/07</t>
        </is>
      </c>
      <c r="J292" s="23">
        <f>IF(ISBLANK(F292:G292),,IF(COUNTA(F292)=0,G292,F292))</f>
        <v/>
      </c>
      <c r="K292" s="6">
        <f>IFERROR(__xludf.DUMMYFUNCTION("if(isblank(J292),,index(googlefinance(A292,K$2,J292-1),2,2))"),69.51)</f>
        <v/>
      </c>
      <c r="L292" s="37">
        <f>IF(ISBLANK(H292:I292),,IF(COUNTA(H292)=0,I292,H292))</f>
        <v/>
      </c>
      <c r="M292" s="7">
        <f>IFERROR(__xludf.DUMMYFUNCTION("if(isblank(L292),, index(googlefinance(A292,M$2,L292-1),2,2))"),68.77)</f>
        <v/>
      </c>
      <c r="N292" s="8">
        <f>IFERROR(__xludf.DUMMYFUNCTION("if(isblank(A292),,googlefinance(A292))"),76.27)</f>
        <v/>
      </c>
      <c r="O292" s="38">
        <f>IF(ISBLANK(J292),,IF(ISBLANK(L292),"Ongoing","Completed"))</f>
        <v/>
      </c>
      <c r="P292" s="70">
        <f>IF(ISBLANK(A292),,IF(AND(COUNTA(F292)=1,S292&gt;0),"Profit",IF(AND(COUNTA(G292)=1,S292&lt;0),"Profit","Loss")))</f>
        <v/>
      </c>
      <c r="Q292" s="31">
        <f>IF(ISBLANK(T292),,IF(P292="Profit",IF(S292&lt;0,T292*-S292,T292*S292),IF(S292&gt;0,T292*-S292,T292*S292)))</f>
        <v/>
      </c>
      <c r="R292" s="59">
        <f>IF($Q292&gt;0, TRUE, FALSE)</f>
        <v/>
      </c>
      <c r="S292" s="59">
        <f>IF(ISBLANK(J292),,IF(ISBLANK(L292),N292-K292,M292-K292))</f>
        <v/>
      </c>
      <c r="T292" s="61">
        <f>IF(ISBLANK(J292),,ROUNDDOWN(T$1/K292,0))</f>
        <v/>
      </c>
      <c r="U292" s="63" t="n"/>
      <c r="V292" s="63" t="n"/>
      <c r="W292" s="63" t="n"/>
      <c r="X292" s="63" t="n"/>
      <c r="Y292" s="63" t="n"/>
      <c r="Z292" s="63" t="n"/>
      <c r="AA292" s="63" t="n"/>
    </row>
    <row r="293" hidden="1" ht="15.75" customHeight="1" s="56">
      <c r="A293" s="63" t="inlineStr">
        <is>
          <t>CDNS</t>
        </is>
      </c>
      <c r="B293" s="79" t="n">
        <v>13</v>
      </c>
      <c r="C293" s="79" t="n">
        <v>89.12</v>
      </c>
      <c r="D293" s="79" t="n">
        <v>46.154</v>
      </c>
      <c r="E293" s="79" t="n">
        <v>1.423</v>
      </c>
      <c r="F293" s="79" t="n"/>
      <c r="G293" s="79" t="inlineStr">
        <is>
          <t>2024/02/01</t>
        </is>
      </c>
      <c r="H293" s="79" t="n"/>
      <c r="I293" s="79" t="inlineStr">
        <is>
          <t>2024/02/02</t>
        </is>
      </c>
      <c r="J293" s="23">
        <f>IF(ISBLANK(F293:G293),,IF(COUNTA(F293)=0,G293,F293))</f>
        <v/>
      </c>
      <c r="K293" s="6">
        <f>IFERROR(__xludf.DUMMYFUNCTION("if(isblank(J293),,index(googlefinance(A293,K$2,J293-1),2,2))"),288.46)</f>
        <v/>
      </c>
      <c r="L293" s="37">
        <f>IF(ISBLANK(H293:I293),,IF(COUNTA(H293)=0,I293,H293))</f>
        <v/>
      </c>
      <c r="M293" s="7">
        <f>IFERROR(__xludf.DUMMYFUNCTION("if(isblank(L293),, index(googlefinance(A293,M$2,L293-1),2,2))"),290.52)</f>
        <v/>
      </c>
      <c r="N293" s="8">
        <f>IFERROR(__xludf.DUMMYFUNCTION("if(isblank(A293),,googlefinance(A293))"),298.44)</f>
        <v/>
      </c>
      <c r="O293" s="38">
        <f>IF(ISBLANK(J293),,IF(ISBLANK(L293),"Ongoing","Completed"))</f>
        <v/>
      </c>
      <c r="P293" s="70">
        <f>IF(ISBLANK(A293),,IF(AND(COUNTA(F293)=1,S293&gt;0),"Profit",IF(AND(COUNTA(G293)=1,S293&lt;0),"Profit","Loss")))</f>
        <v/>
      </c>
      <c r="Q293" s="31">
        <f>IF(ISBLANK(T293),,IF(P293="Profit",IF(S293&lt;0,T293*-S293,T293*S293),IF(S293&gt;0,T293*-S293,T293*S293)))</f>
        <v/>
      </c>
      <c r="R293" s="59">
        <f>IF($Q293&gt;0, TRUE, FALSE)</f>
        <v/>
      </c>
      <c r="S293" s="59">
        <f>IF(ISBLANK(J293),,IF(ISBLANK(L293),N293-K293,M293-K293))</f>
        <v/>
      </c>
      <c r="T293" s="61">
        <f>IF(ISBLANK(J293),,ROUNDDOWN(T$1/K293,0))</f>
        <v/>
      </c>
      <c r="U293" s="63" t="n"/>
      <c r="V293" s="63" t="n"/>
      <c r="W293" s="63" t="n"/>
      <c r="X293" s="63" t="n"/>
      <c r="Y293" s="63" t="n"/>
      <c r="Z293" s="63" t="n"/>
      <c r="AA293" s="63" t="n"/>
    </row>
    <row r="294" hidden="1" ht="15.75" customHeight="1" s="56">
      <c r="A294" s="63" t="inlineStr">
        <is>
          <t>GOOG</t>
        </is>
      </c>
      <c r="B294" s="79" t="n">
        <v>9</v>
      </c>
      <c r="C294" s="79" t="n">
        <v>99.813</v>
      </c>
      <c r="D294" s="79" t="n">
        <v>44.444</v>
      </c>
      <c r="E294" s="79" t="n">
        <v>1.968</v>
      </c>
      <c r="F294" s="79" t="n"/>
      <c r="G294" s="79" t="inlineStr">
        <is>
          <t>2024/02/01</t>
        </is>
      </c>
      <c r="H294" s="79" t="n"/>
      <c r="I294" s="81" t="inlineStr">
        <is>
          <t>2024/02/09</t>
        </is>
      </c>
      <c r="J294" s="23">
        <f>IF(ISBLANK(F294:G294),,IF(COUNTA(F294)=0,G294,F294))</f>
        <v/>
      </c>
      <c r="K294" s="6">
        <f>IFERROR(__xludf.DUMMYFUNCTION("if(isblank(J294),,index(googlefinance(A294,K$2,J294-1),2,2))"),141.8)</f>
        <v/>
      </c>
      <c r="L294" s="37">
        <f>IF(ISBLANK(H294:I294),,IF(COUNTA(H294)=0,I294,H294))</f>
        <v/>
      </c>
      <c r="M294" s="7">
        <f>IFERROR(__xludf.DUMMYFUNCTION("if(isblank(L294),, index(googlefinance(A294,M$2,L294-1),2,2))"),147.22)</f>
        <v/>
      </c>
      <c r="N294" s="8">
        <f>IFERROR(__xludf.DUMMYFUNCTION("if(isblank(A294),,googlefinance(A294))"),142.17)</f>
        <v/>
      </c>
      <c r="O294" s="38">
        <f>IF(ISBLANK(J294),,IF(ISBLANK(L294),"Ongoing","Completed"))</f>
        <v/>
      </c>
      <c r="P294" s="70">
        <f>IF(ISBLANK(A294),,IF(AND(COUNTA(F294)=1,S294&gt;0),"Profit",IF(AND(COUNTA(G294)=1,S294&lt;0),"Profit","Loss")))</f>
        <v/>
      </c>
      <c r="Q294" s="31">
        <f>IF(ISBLANK(T294),,IF(P294="Profit",IF(S294&lt;0,T294*-S294,T294*S294),IF(S294&gt;0,T294*-S294,T294*S294)))</f>
        <v/>
      </c>
      <c r="R294" s="59">
        <f>IF($Q294&gt;0, TRUE, FALSE)</f>
        <v/>
      </c>
      <c r="S294" s="59">
        <f>IF(ISBLANK(J294),,IF(ISBLANK(L294),N294-K294,M294-K294))</f>
        <v/>
      </c>
      <c r="T294" s="61">
        <f>IF(ISBLANK(J294),,ROUNDDOWN(T$1/K294,0))</f>
        <v/>
      </c>
      <c r="U294" s="63" t="n"/>
      <c r="V294" s="63" t="n"/>
      <c r="W294" s="63" t="n"/>
      <c r="X294" s="63" t="n"/>
      <c r="Y294" s="63" t="n"/>
      <c r="Z294" s="63" t="n"/>
      <c r="AA294" s="63" t="n"/>
    </row>
    <row r="295" hidden="1" ht="15.75" customHeight="1" s="56">
      <c r="A295" s="63" t="inlineStr">
        <is>
          <t>GOOGL</t>
        </is>
      </c>
      <c r="B295" s="79" t="n">
        <v>8</v>
      </c>
      <c r="C295" s="79" t="n">
        <v>263.024</v>
      </c>
      <c r="D295" s="79" t="n">
        <v>75</v>
      </c>
      <c r="E295" s="79" t="n">
        <v>6.32</v>
      </c>
      <c r="F295" s="79" t="n"/>
      <c r="G295" s="79" t="inlineStr">
        <is>
          <t>2024/02/01</t>
        </is>
      </c>
      <c r="H295" s="79" t="n"/>
      <c r="I295" s="81" t="inlineStr">
        <is>
          <t>2024/02/09</t>
        </is>
      </c>
      <c r="J295" s="23">
        <f>IF(ISBLANK(F295:G295),,IF(COUNTA(F295)=0,G295,F295))</f>
        <v/>
      </c>
      <c r="K295" s="6">
        <f>IFERROR(__xludf.DUMMYFUNCTION("if(isblank(J295),,index(googlefinance(A295,K$2,J295-1),2,2))"),140.1)</f>
        <v/>
      </c>
      <c r="L295" s="37">
        <f>IF(ISBLANK(H295:I295),,IF(COUNTA(H295)=0,I295,H295))</f>
        <v/>
      </c>
      <c r="M295" s="7">
        <f>IFERROR(__xludf.DUMMYFUNCTION("if(isblank(L295),, index(googlefinance(A295,M$2,L295-1),2,2))"),145.91)</f>
        <v/>
      </c>
      <c r="N295" s="8">
        <f>IFERROR(__xludf.DUMMYFUNCTION("if(isblank(A295),,googlefinance(A295))"),141.18)</f>
        <v/>
      </c>
      <c r="O295" s="38">
        <f>IF(ISBLANK(J295),,IF(ISBLANK(L295),"Ongoing","Completed"))</f>
        <v/>
      </c>
      <c r="P295" s="70">
        <f>IF(ISBLANK(A295),,IF(AND(COUNTA(F295)=1,S295&gt;0),"Profit",IF(AND(COUNTA(G295)=1,S295&lt;0),"Profit","Loss")))</f>
        <v/>
      </c>
      <c r="Q295" s="31">
        <f>IF(ISBLANK(T295),,IF(P295="Profit",IF(S295&lt;0,T295*-S295,T295*S295),IF(S295&gt;0,T295*-S295,T295*S295)))</f>
        <v/>
      </c>
      <c r="R295" s="59">
        <f>IF($Q295&gt;0, TRUE, FALSE)</f>
        <v/>
      </c>
      <c r="S295" s="59">
        <f>IF(ISBLANK(J295),,IF(ISBLANK(L295),N295-K295,M295-K295))</f>
        <v/>
      </c>
      <c r="T295" s="61">
        <f>IF(ISBLANK(J295),,ROUNDDOWN(T$1/K295,0))</f>
        <v/>
      </c>
      <c r="U295" s="63" t="n"/>
      <c r="V295" s="63" t="n"/>
      <c r="W295" s="63" t="n"/>
      <c r="X295" s="63" t="n"/>
      <c r="Y295" s="63" t="n"/>
      <c r="Z295" s="63" t="n"/>
      <c r="AA295" s="63" t="n"/>
    </row>
    <row r="296" hidden="1" ht="15.75" customHeight="1" s="56">
      <c r="A296" s="63" t="inlineStr">
        <is>
          <t>HRL</t>
        </is>
      </c>
      <c r="B296" s="79" t="n">
        <v>13</v>
      </c>
      <c r="C296" s="79" t="n">
        <v>52.32</v>
      </c>
      <c r="D296" s="79" t="n">
        <v>53.846</v>
      </c>
      <c r="E296" s="79" t="n">
        <v>1.757</v>
      </c>
      <c r="F296" s="79" t="inlineStr">
        <is>
          <t>2024/02/01</t>
        </is>
      </c>
      <c r="G296" s="79" t="n"/>
      <c r="H296" s="79" t="inlineStr">
        <is>
          <t>2024/02/05</t>
        </is>
      </c>
      <c r="I296" s="79" t="n"/>
      <c r="J296" s="23">
        <f>IF(ISBLANK(F296:G296),,IF(COUNTA(F296)=0,G296,F296))</f>
        <v/>
      </c>
      <c r="K296" s="6">
        <f>IFERROR(__xludf.DUMMYFUNCTION("if(isblank(J296),,index(googlefinance(A296,K$2,J296-1),2,2))"),30.37)</f>
        <v/>
      </c>
      <c r="L296" s="37">
        <f>IF(ISBLANK(H296:I296),,IF(COUNTA(H296)=0,I296,H296))</f>
        <v/>
      </c>
      <c r="M296" s="7">
        <f>IFERROR(__xludf.DUMMYFUNCTION("if(isblank(L296),, index(googlefinance(A296,M$2,L296-1),2,2))"),29.8)</f>
        <v/>
      </c>
      <c r="N296" s="8">
        <f>IFERROR(__xludf.DUMMYFUNCTION("if(isblank(A296),,googlefinance(A296))"),34.14)</f>
        <v/>
      </c>
      <c r="O296" s="38">
        <f>IF(ISBLANK(J296),,IF(ISBLANK(L296),"Ongoing","Completed"))</f>
        <v/>
      </c>
      <c r="P296" s="70">
        <f>IF(ISBLANK(A296),,IF(AND(COUNTA(F296)=1,S296&gt;0),"Profit",IF(AND(COUNTA(G296)=1,S296&lt;0),"Profit","Loss")))</f>
        <v/>
      </c>
      <c r="Q296" s="31">
        <f>IF(ISBLANK(T296),,IF(P296="Profit",IF(S296&lt;0,T296*-S296,T296*S296),IF(S296&gt;0,T296*-S296,T296*S296)))</f>
        <v/>
      </c>
      <c r="R296" s="59">
        <f>IF($Q296&gt;0, TRUE, FALSE)</f>
        <v/>
      </c>
      <c r="S296" s="59">
        <f>IF(ISBLANK(J296),,IF(ISBLANK(L296),N296-K296,M296-K296))</f>
        <v/>
      </c>
      <c r="T296" s="61">
        <f>IF(ISBLANK(J296),,ROUNDDOWN(T$1/K296,0))</f>
        <v/>
      </c>
      <c r="U296" s="63" t="n"/>
      <c r="V296" s="63" t="n"/>
      <c r="W296" s="63" t="n"/>
      <c r="X296" s="63" t="n"/>
      <c r="Y296" s="63" t="n"/>
      <c r="Z296" s="63" t="n"/>
      <c r="AA296" s="63" t="n"/>
    </row>
    <row r="297" hidden="1" ht="15.75" customHeight="1" s="56">
      <c r="A297" s="63" t="inlineStr">
        <is>
          <t>MO</t>
        </is>
      </c>
      <c r="B297" s="79" t="n">
        <v>12</v>
      </c>
      <c r="C297" s="79" t="n">
        <v>99.06</v>
      </c>
      <c r="D297" s="79" t="n">
        <v>41.667</v>
      </c>
      <c r="E297" s="79" t="n">
        <v>1.888</v>
      </c>
      <c r="F297" s="79" t="inlineStr">
        <is>
          <t>2024/02/01</t>
        </is>
      </c>
      <c r="G297" s="79" t="n"/>
      <c r="H297" s="79" t="inlineStr">
        <is>
          <t>2024/02/05</t>
        </is>
      </c>
      <c r="I297" s="79" t="n"/>
      <c r="J297" s="23">
        <f>IF(ISBLANK(F297:G297),,IF(COUNTA(F297)=0,G297,F297))</f>
        <v/>
      </c>
      <c r="K297" s="6">
        <f>IFERROR(__xludf.DUMMYFUNCTION("if(isblank(J297),,index(googlefinance(A297,K$2,J297-1),2,2))"),40.12)</f>
        <v/>
      </c>
      <c r="L297" s="37">
        <f>IF(ISBLANK(H297:I297),,IF(COUNTA(H297)=0,I297,H297))</f>
        <v/>
      </c>
      <c r="M297" s="7">
        <f>IFERROR(__xludf.DUMMYFUNCTION("if(isblank(L297),, index(googlefinance(A297,M$2,L297-1),2,2))"),40.52)</f>
        <v/>
      </c>
      <c r="N297" s="8">
        <f>IFERROR(__xludf.DUMMYFUNCTION("if(isblank(A297),,googlefinance(A297))"),43.87)</f>
        <v/>
      </c>
      <c r="O297" s="38">
        <f>IF(ISBLANK(J297),,IF(ISBLANK(L297),"Ongoing","Completed"))</f>
        <v/>
      </c>
      <c r="P297" s="70">
        <f>IF(ISBLANK(A297),,IF(AND(COUNTA(F297)=1,S297&gt;0),"Profit",IF(AND(COUNTA(G297)=1,S297&lt;0),"Profit","Loss")))</f>
        <v/>
      </c>
      <c r="Q297" s="31">
        <f>IF(ISBLANK(T297),,IF(P297="Profit",IF(S297&lt;0,T297*-S297,T297*S297),IF(S297&gt;0,T297*-S297,T297*S297)))</f>
        <v/>
      </c>
      <c r="R297" s="59">
        <f>IF($Q297&gt;0, TRUE, FALSE)</f>
        <v/>
      </c>
      <c r="S297" s="59">
        <f>IF(ISBLANK(J297),,IF(ISBLANK(L297),N297-K297,M297-K297))</f>
        <v/>
      </c>
      <c r="T297" s="61">
        <f>IF(ISBLANK(J297),,ROUNDDOWN(T$1/K297,0))</f>
        <v/>
      </c>
      <c r="U297" s="63" t="n"/>
      <c r="V297" s="63" t="n"/>
      <c r="W297" s="63" t="n"/>
      <c r="X297" s="63" t="n"/>
      <c r="Y297" s="63" t="n"/>
      <c r="Z297" s="63" t="n"/>
      <c r="AA297" s="63" t="n"/>
    </row>
    <row r="298" hidden="1" ht="15.75" customHeight="1" s="56">
      <c r="A298" s="63" t="inlineStr">
        <is>
          <t>PRU</t>
        </is>
      </c>
      <c r="B298" s="79" t="n">
        <v>9</v>
      </c>
      <c r="C298" s="79" t="n">
        <v>33.68</v>
      </c>
      <c r="D298" s="79" t="n">
        <v>55.556</v>
      </c>
      <c r="E298" s="79" t="n">
        <v>1.336</v>
      </c>
      <c r="F298" s="79" t="n"/>
      <c r="G298" s="79" t="inlineStr">
        <is>
          <t>2024/02/01</t>
        </is>
      </c>
      <c r="H298" s="79" t="n"/>
      <c r="I298" s="79" t="inlineStr">
        <is>
          <t>2024/02/07</t>
        </is>
      </c>
      <c r="J298" s="23">
        <f>IF(ISBLANK(F298:G298),,IF(COUNTA(F298)=0,G298,F298))</f>
        <v/>
      </c>
      <c r="K298" s="6">
        <f>IFERROR(__xludf.DUMMYFUNCTION("if(isblank(J298),,index(googlefinance(A298,K$2,J298-1),2,2))"),104.93)</f>
        <v/>
      </c>
      <c r="L298" s="37">
        <f>IF(ISBLANK(H298:I298),,IF(COUNTA(H298)=0,I298,H298))</f>
        <v/>
      </c>
      <c r="M298" s="7">
        <f>IFERROR(__xludf.DUMMYFUNCTION("if(isblank(L298),, index(googlefinance(A298,M$2,L298-1),2,2))"),103.39)</f>
        <v/>
      </c>
      <c r="N298" s="8">
        <f>IFERROR(__xludf.DUMMYFUNCTION("if(isblank(A298),,googlefinance(A298))"),112.84)</f>
        <v/>
      </c>
      <c r="O298" s="38">
        <f>IF(ISBLANK(J298),,IF(ISBLANK(L298),"Ongoing","Completed"))</f>
        <v/>
      </c>
      <c r="P298" s="70">
        <f>IF(ISBLANK(A298),,IF(AND(COUNTA(F298)=1,S298&gt;0),"Profit",IF(AND(COUNTA(G298)=1,S298&lt;0),"Profit","Loss")))</f>
        <v/>
      </c>
      <c r="Q298" s="31">
        <f>IF(ISBLANK(T298),,IF(P298="Profit",IF(S298&lt;0,T298*-S298,T298*S298),IF(S298&gt;0,T298*-S298,T298*S298)))</f>
        <v/>
      </c>
      <c r="R298" s="59">
        <f>IF($Q298&gt;0, TRUE, FALSE)</f>
        <v/>
      </c>
      <c r="S298" s="59">
        <f>IF(ISBLANK(J298),,IF(ISBLANK(L298),N298-K298,M298-K298))</f>
        <v/>
      </c>
      <c r="T298" s="61">
        <f>IF(ISBLANK(J298),,ROUNDDOWN(T$1/K298,0))</f>
        <v/>
      </c>
      <c r="U298" s="63" t="n"/>
      <c r="V298" s="63" t="n"/>
      <c r="W298" s="63" t="n"/>
      <c r="X298" s="63" t="n"/>
      <c r="Y298" s="63" t="n"/>
      <c r="Z298" s="63" t="n"/>
      <c r="AA298" s="63" t="n"/>
    </row>
    <row r="299" hidden="1" ht="15.75" customHeight="1" s="56">
      <c r="A299" s="63" t="inlineStr">
        <is>
          <t>WFC</t>
        </is>
      </c>
      <c r="B299" s="79" t="n">
        <v>8</v>
      </c>
      <c r="C299" s="79" t="n">
        <v>125.05</v>
      </c>
      <c r="D299" s="79" t="n">
        <v>50</v>
      </c>
      <c r="E299" s="79" t="n">
        <v>1.889</v>
      </c>
      <c r="F299" s="79" t="n"/>
      <c r="G299" s="79" t="inlineStr">
        <is>
          <t>2024/02/01</t>
        </is>
      </c>
      <c r="H299" s="79" t="n"/>
      <c r="I299" s="79" t="inlineStr">
        <is>
          <t>2024/02/13</t>
        </is>
      </c>
      <c r="J299" s="23">
        <f>IF(ISBLANK(F299:G299),,IF(COUNTA(F299)=0,G299,F299))</f>
        <v/>
      </c>
      <c r="K299" s="6">
        <f>IFERROR(__xludf.DUMMYFUNCTION("if(isblank(J299),,index(googlefinance(A299,K$2,J299-1),2,2))"),50.18)</f>
        <v/>
      </c>
      <c r="L299" s="37">
        <f>IF(ISBLANK(H299:I299),,IF(COUNTA(H299)=0,I299,H299))</f>
        <v/>
      </c>
      <c r="M299" s="7">
        <f>IFERROR(__xludf.DUMMYFUNCTION("if(isblank(L299),, index(googlefinance(A299,M$2,L299-1),2,2))"),48.92)</f>
        <v/>
      </c>
      <c r="N299" s="8">
        <f>IFERROR(__xludf.DUMMYFUNCTION("if(isblank(A299),,googlefinance(A299))"),57.51)</f>
        <v/>
      </c>
      <c r="O299" s="38">
        <f>IF(ISBLANK(J299),,IF(ISBLANK(L299),"Ongoing","Completed"))</f>
        <v/>
      </c>
      <c r="P299" s="70">
        <f>IF(ISBLANK(A299),,IF(AND(COUNTA(F299)=1,S299&gt;0),"Profit",IF(AND(COUNTA(G299)=1,S299&lt;0),"Profit","Loss")))</f>
        <v/>
      </c>
      <c r="Q299" s="31">
        <f>IF(ISBLANK(T299),,IF(P299="Profit",IF(S299&lt;0,T299*-S299,T299*S299),IF(S299&gt;0,T299*-S299,T299*S299)))</f>
        <v/>
      </c>
      <c r="R299" s="59">
        <f>IF($Q299&gt;0, TRUE, FALSE)</f>
        <v/>
      </c>
      <c r="S299" s="59">
        <f>IF(ISBLANK(J299),,IF(ISBLANK(L299),N299-K299,M299-K299))</f>
        <v/>
      </c>
      <c r="T299" s="61">
        <f>IF(ISBLANK(J299),,ROUNDDOWN(T$1/K299,0))</f>
        <v/>
      </c>
      <c r="U299" s="63" t="n"/>
      <c r="V299" s="63" t="n"/>
      <c r="W299" s="63" t="n"/>
      <c r="X299" s="63" t="n"/>
      <c r="Y299" s="63" t="n"/>
      <c r="Z299" s="63" t="n"/>
      <c r="AA299" s="63" t="n"/>
    </row>
    <row r="300" hidden="1" ht="15.75" customHeight="1" s="56">
      <c r="A300" s="63" t="inlineStr">
        <is>
          <t>BR</t>
        </is>
      </c>
      <c r="B300" s="79" t="n">
        <v>15</v>
      </c>
      <c r="C300" s="79" t="n">
        <v>192.47</v>
      </c>
      <c r="D300" s="79" t="n">
        <v>53.333</v>
      </c>
      <c r="E300" s="79" t="n">
        <v>1.63</v>
      </c>
      <c r="F300" s="79" t="n"/>
      <c r="G300" s="79" t="inlineStr">
        <is>
          <t>2024/02/02</t>
        </is>
      </c>
      <c r="H300" s="79" t="n"/>
      <c r="I300" s="79" t="inlineStr">
        <is>
          <t>2024/02/22</t>
        </is>
      </c>
      <c r="J300" s="23">
        <f>IF(ISBLANK(F300:G300),,IF(COUNTA(F300)=0,G300,F300))</f>
        <v/>
      </c>
      <c r="K300" s="6">
        <f>IFERROR(__xludf.DUMMYFUNCTION("if(isblank(J300),,index(googlefinance(A300,K$2,J300-1),2,2))"),201.63)</f>
        <v/>
      </c>
      <c r="L300" s="37">
        <f>IF(ISBLANK(H300:I300),,IF(COUNTA(H300)=0,I300,H300))</f>
        <v/>
      </c>
      <c r="M300" s="7">
        <f>IFERROR(__xludf.DUMMYFUNCTION("if(isblank(L300),, index(googlefinance(A300,M$2,L300-1),2,2))"),196.58)</f>
        <v/>
      </c>
      <c r="N300" s="8">
        <f>IFERROR(__xludf.DUMMYFUNCTION("if(isblank(A300),,googlefinance(A300))"),200.2)</f>
        <v/>
      </c>
      <c r="O300" s="38">
        <f>IF(ISBLANK(J300),,IF(ISBLANK(L300),"Ongoing","Completed"))</f>
        <v/>
      </c>
      <c r="P300" s="70">
        <f>IF(ISBLANK(A300),,IF(AND(COUNTA(F300)=1,S300&gt;0),"Profit",IF(AND(COUNTA(G300)=1,S300&lt;0),"Profit","Loss")))</f>
        <v/>
      </c>
      <c r="Q300" s="31">
        <f>IF(ISBLANK(T300),,IF(P300="Profit",IF(S300&lt;0,T300*-S300,T300*S300),IF(S300&gt;0,T300*-S300,T300*S300)))</f>
        <v/>
      </c>
      <c r="R300" s="59">
        <f>IF($Q300&gt;0, TRUE, FALSE)</f>
        <v/>
      </c>
      <c r="S300" s="59">
        <f>IF(ISBLANK(J300),,IF(ISBLANK(L300),N300-K300,M300-K300))</f>
        <v/>
      </c>
      <c r="T300" s="61">
        <f>IF(ISBLANK(J300),,ROUNDDOWN(T$1/K300,0))</f>
        <v/>
      </c>
      <c r="U300" s="63" t="n"/>
      <c r="V300" s="63" t="n"/>
      <c r="W300" s="63" t="n"/>
      <c r="X300" s="63" t="n"/>
      <c r="Y300" s="63" t="n"/>
      <c r="Z300" s="63" t="n"/>
      <c r="AA300" s="63" t="n"/>
    </row>
    <row r="301" hidden="1" ht="15.75" customHeight="1" s="56">
      <c r="A301" s="63" t="inlineStr">
        <is>
          <t>CMCSA</t>
        </is>
      </c>
      <c r="B301" s="79" t="n">
        <v>10</v>
      </c>
      <c r="C301" s="79" t="n">
        <v>166.03</v>
      </c>
      <c r="D301" s="79" t="n">
        <v>60</v>
      </c>
      <c r="E301" s="79" t="n">
        <v>2.62</v>
      </c>
      <c r="F301" s="79" t="n"/>
      <c r="G301" s="79" t="inlineStr">
        <is>
          <t>2024/02/02</t>
        </is>
      </c>
      <c r="H301" s="79" t="n"/>
      <c r="I301" s="81" t="inlineStr">
        <is>
          <t>2024/02/26</t>
        </is>
      </c>
      <c r="J301" s="23">
        <f>IF(ISBLANK(F301:G301),,IF(COUNTA(F301)=0,G301,F301))</f>
        <v/>
      </c>
      <c r="K301" s="6">
        <f>IFERROR(__xludf.DUMMYFUNCTION("if(isblank(J301),,index(googlefinance(A301,K$2,J301-1),2,2))"),46.73)</f>
        <v/>
      </c>
      <c r="L301" s="37">
        <f>IF(ISBLANK(H301:I301),,IF(COUNTA(H301)=0,I301,H301))</f>
        <v/>
      </c>
      <c r="M301" s="7">
        <f>IFERROR(__xludf.DUMMYFUNCTION("if(isblank(L301),, index(googlefinance(A301,M$2,L301-1),2,2))"),42.19)</f>
        <v/>
      </c>
      <c r="N301" s="8">
        <f>IFERROR(__xludf.DUMMYFUNCTION("if(isblank(A301),,googlefinance(A301))"),42.77)</f>
        <v/>
      </c>
      <c r="O301" s="38">
        <f>IF(ISBLANK(J301),,IF(ISBLANK(L301),"Ongoing","Completed"))</f>
        <v/>
      </c>
      <c r="P301" s="70">
        <f>IF(ISBLANK(A301),,IF(AND(COUNTA(F301)=1,S301&gt;0),"Profit",IF(AND(COUNTA(G301)=1,S301&lt;0),"Profit","Loss")))</f>
        <v/>
      </c>
      <c r="Q301" s="31">
        <f>IF(ISBLANK(T301),,IF(P301="Profit",IF(S301&lt;0,T301*-S301,T301*S301),IF(S301&gt;0,T301*-S301,T301*S301)))</f>
        <v/>
      </c>
      <c r="R301" s="59">
        <f>IF($Q301&gt;0, TRUE, FALSE)</f>
        <v/>
      </c>
      <c r="S301" s="59">
        <f>IF(ISBLANK(J301),,IF(ISBLANK(L301),N301-K301,M301-K301))</f>
        <v/>
      </c>
      <c r="T301" s="61">
        <f>IF(ISBLANK(J301),,ROUNDDOWN(T$1/K301,0))</f>
        <v/>
      </c>
      <c r="U301" s="63" t="n"/>
      <c r="V301" s="63" t="n"/>
      <c r="W301" s="63" t="n"/>
      <c r="X301" s="63" t="n"/>
      <c r="Y301" s="63" t="n"/>
      <c r="Z301" s="63" t="n"/>
      <c r="AA301" s="63" t="n"/>
    </row>
    <row r="302" hidden="1" ht="15.75" customHeight="1" s="56">
      <c r="A302" s="63" t="inlineStr">
        <is>
          <t>GEN</t>
        </is>
      </c>
      <c r="B302" s="79" t="n">
        <v>12</v>
      </c>
      <c r="C302" s="79" t="n">
        <v>190.18</v>
      </c>
      <c r="D302" s="79" t="n">
        <v>33.333</v>
      </c>
      <c r="E302" s="79" t="n">
        <v>1.767</v>
      </c>
      <c r="F302" s="79" t="n"/>
      <c r="G302" s="79" t="inlineStr">
        <is>
          <t>2024/02/02</t>
        </is>
      </c>
      <c r="H302" s="79" t="n"/>
      <c r="I302" s="81" t="inlineStr">
        <is>
          <t>2024/02/09</t>
        </is>
      </c>
      <c r="J302" s="23">
        <f>IF(ISBLANK(F302:G302),,IF(COUNTA(F302)=0,G302,F302))</f>
        <v/>
      </c>
      <c r="K302" s="6">
        <f>IFERROR(__xludf.DUMMYFUNCTION("if(isblank(J302),,index(googlefinance(A302,K$2,J302-1),2,2))"),23.92)</f>
        <v/>
      </c>
      <c r="L302" s="37">
        <f>IF(ISBLANK(H302:I302),,IF(COUNTA(H302)=0,I302,H302))</f>
        <v/>
      </c>
      <c r="M302" s="7">
        <f>IFERROR(__xludf.DUMMYFUNCTION("if(isblank(L302),, index(googlefinance(A302,M$2,L302-1),2,2))"),20.87)</f>
        <v/>
      </c>
      <c r="N302" s="8">
        <f>IFERROR(__xludf.DUMMYFUNCTION("if(isblank(A302),,googlefinance(A302))"),21.26)</f>
        <v/>
      </c>
      <c r="O302" s="38">
        <f>IF(ISBLANK(J302),,IF(ISBLANK(L302),"Ongoing","Completed"))</f>
        <v/>
      </c>
      <c r="P302" s="70">
        <f>IF(ISBLANK(A302),,IF(AND(COUNTA(F302)=1,S302&gt;0),"Profit",IF(AND(COUNTA(G302)=1,S302&lt;0),"Profit","Loss")))</f>
        <v/>
      </c>
      <c r="Q302" s="31">
        <f>IF(ISBLANK(T302),,IF(P302="Profit",IF(S302&lt;0,T302*-S302,T302*S302),IF(S302&gt;0,T302*-S302,T302*S302)))</f>
        <v/>
      </c>
      <c r="R302" s="59">
        <f>IF($Q302&gt;0, TRUE, FALSE)</f>
        <v/>
      </c>
      <c r="S302" s="59">
        <f>IF(ISBLANK(J302),,IF(ISBLANK(L302),N302-K302,M302-K302))</f>
        <v/>
      </c>
      <c r="T302" s="61">
        <f>IF(ISBLANK(J302),,ROUNDDOWN(T$1/K302,0))</f>
        <v/>
      </c>
      <c r="U302" s="63" t="n"/>
      <c r="V302" s="63" t="n"/>
      <c r="W302" s="63" t="n"/>
      <c r="X302" s="63" t="n"/>
      <c r="Y302" s="63" t="n"/>
      <c r="Z302" s="63" t="n"/>
      <c r="AA302" s="63" t="n"/>
    </row>
    <row r="303" hidden="1" ht="15.75" customHeight="1" s="56">
      <c r="A303" s="63" t="inlineStr">
        <is>
          <t>HOLX</t>
        </is>
      </c>
      <c r="B303" s="79" t="n">
        <v>14</v>
      </c>
      <c r="C303" s="79" t="n">
        <v>150.26</v>
      </c>
      <c r="D303" s="79" t="n">
        <v>42.857</v>
      </c>
      <c r="E303" s="79" t="n">
        <v>1.987</v>
      </c>
      <c r="F303" s="79" t="n"/>
      <c r="G303" s="79" t="inlineStr">
        <is>
          <t>2024/02/02</t>
        </is>
      </c>
      <c r="H303" s="79" t="n"/>
      <c r="I303" s="79" t="inlineStr">
        <is>
          <t>2024/02/06</t>
        </is>
      </c>
      <c r="J303" s="23">
        <f>IF(ISBLANK(F303:G303),,IF(COUNTA(F303)=0,G303,F303))</f>
        <v/>
      </c>
      <c r="K303" s="6">
        <f>IFERROR(__xludf.DUMMYFUNCTION("if(isblank(J303),,index(googlefinance(A303,K$2,J303-1),2,2))"),74.41)</f>
        <v/>
      </c>
      <c r="L303" s="37">
        <f>IF(ISBLANK(H303:I303),,IF(COUNTA(H303)=0,I303,H303))</f>
        <v/>
      </c>
      <c r="M303" s="7">
        <f>IFERROR(__xludf.DUMMYFUNCTION("if(isblank(L303),, index(googlefinance(A303,M$2,L303-1),2,2))"),72.04)</f>
        <v/>
      </c>
      <c r="N303" s="8">
        <f>IFERROR(__xludf.DUMMYFUNCTION("if(isblank(A303),,googlefinance(A303))"),75.91)</f>
        <v/>
      </c>
      <c r="O303" s="38">
        <f>IF(ISBLANK(J303),,IF(ISBLANK(L303),"Ongoing","Completed"))</f>
        <v/>
      </c>
      <c r="P303" s="70">
        <f>IF(ISBLANK(A303),,IF(AND(COUNTA(F303)=1,S303&gt;0),"Profit",IF(AND(COUNTA(G303)=1,S303&lt;0),"Profit","Loss")))</f>
        <v/>
      </c>
      <c r="Q303" s="31">
        <f>IF(ISBLANK(T303),,IF(P303="Profit",IF(S303&lt;0,T303*-S303,T303*S303),IF(S303&gt;0,T303*-S303,T303*S303)))</f>
        <v/>
      </c>
      <c r="R303" s="59">
        <f>IF($Q303&gt;0, TRUE, FALSE)</f>
        <v/>
      </c>
      <c r="S303" s="59">
        <f>IF(ISBLANK(J303),,IF(ISBLANK(L303),N303-K303,M303-K303))</f>
        <v/>
      </c>
      <c r="T303" s="61">
        <f>IF(ISBLANK(J303),,ROUNDDOWN(T$1/K303,0))</f>
        <v/>
      </c>
      <c r="U303" s="63" t="n"/>
      <c r="V303" s="63" t="n"/>
      <c r="W303" s="63" t="n"/>
      <c r="X303" s="63" t="n"/>
      <c r="Y303" s="63" t="n"/>
      <c r="Z303" s="63" t="n"/>
      <c r="AA303" s="63" t="n"/>
    </row>
    <row r="304" hidden="1" ht="15.75" customHeight="1" s="56">
      <c r="A304" s="63" t="inlineStr">
        <is>
          <t>C</t>
        </is>
      </c>
      <c r="B304" s="79" t="n">
        <v>12</v>
      </c>
      <c r="C304" s="79" t="n">
        <v>363.61</v>
      </c>
      <c r="D304" s="79" t="n">
        <v>50</v>
      </c>
      <c r="E304" s="79" t="n">
        <v>2.729</v>
      </c>
      <c r="F304" s="79" t="n"/>
      <c r="G304" s="79" t="inlineStr">
        <is>
          <t>2024/02/05</t>
        </is>
      </c>
      <c r="H304" s="79" t="n"/>
      <c r="I304" s="79" t="inlineStr">
        <is>
          <t>2024/02/15</t>
        </is>
      </c>
      <c r="J304" s="23">
        <f>IF(ISBLANK(F304:G304),,IF(COUNTA(F304)=0,G304,F304))</f>
        <v/>
      </c>
      <c r="K304" s="6">
        <f>IFERROR(__xludf.DUMMYFUNCTION("if(isblank(J304),,index(googlefinance(A304,K$2,J304-1),2,2))"),54.5)</f>
        <v/>
      </c>
      <c r="L304" s="37">
        <f>IF(ISBLANK(H304:I304),,IF(COUNTA(H304)=0,I304,H304))</f>
        <v/>
      </c>
      <c r="M304" s="7">
        <f>IFERROR(__xludf.DUMMYFUNCTION("if(isblank(L304),, index(googlefinance(A304,M$2,L304-1),2,2))"),53.98)</f>
        <v/>
      </c>
      <c r="N304" s="8">
        <f>IFERROR(__xludf.DUMMYFUNCTION("if(isblank(A304),,googlefinance(A304))"),57.61)</f>
        <v/>
      </c>
      <c r="O304" s="38">
        <f>IF(ISBLANK(J304),,IF(ISBLANK(L304),"Ongoing","Completed"))</f>
        <v/>
      </c>
      <c r="P304" s="70">
        <f>IF(ISBLANK(A304),,IF(AND(COUNTA(F304)=1,S304&gt;0),"Profit",IF(AND(COUNTA(G304)=1,S304&lt;0),"Profit","Loss")))</f>
        <v/>
      </c>
      <c r="Q304" s="31">
        <f>IF(ISBLANK(T304),,IF(P304="Profit",IF(S304&lt;0,T304*-S304,T304*S304),IF(S304&gt;0,T304*-S304,T304*S304)))</f>
        <v/>
      </c>
      <c r="R304" s="59">
        <f>IF($Q304&gt;0, TRUE, FALSE)</f>
        <v/>
      </c>
      <c r="S304" s="59">
        <f>IF(ISBLANK(J304),,IF(ISBLANK(L304),N304-K304,M304-K304))</f>
        <v/>
      </c>
      <c r="T304" s="61">
        <f>IF(ISBLANK(J304),,ROUNDDOWN(T$1/K304,0))</f>
        <v/>
      </c>
      <c r="U304" s="63" t="n"/>
      <c r="V304" s="63" t="n"/>
      <c r="W304" s="63" t="n"/>
      <c r="X304" s="63" t="n"/>
      <c r="Y304" s="63" t="n"/>
      <c r="Z304" s="63" t="n"/>
      <c r="AA304" s="63" t="n"/>
    </row>
    <row r="305" hidden="1" ht="15.75" customHeight="1" s="56">
      <c r="A305" s="63" t="inlineStr">
        <is>
          <t>NWSA</t>
        </is>
      </c>
      <c r="B305" s="79" t="n">
        <v>8</v>
      </c>
      <c r="C305" s="79" t="n">
        <v>212.78</v>
      </c>
      <c r="D305" s="79" t="n">
        <v>25</v>
      </c>
      <c r="E305" s="79" t="n">
        <v>3.355</v>
      </c>
      <c r="F305" s="79" t="n"/>
      <c r="G305" s="79" t="inlineStr">
        <is>
          <t>2024/02/05</t>
        </is>
      </c>
      <c r="H305" s="79" t="n"/>
      <c r="I305" s="79" t="inlineStr">
        <is>
          <t>2024/02/15</t>
        </is>
      </c>
      <c r="J305" s="23">
        <f>IF(ISBLANK(F305:G305),,IF(COUNTA(F305)=0,G305,F305))</f>
        <v/>
      </c>
      <c r="K305" s="6">
        <f>IFERROR(__xludf.DUMMYFUNCTION("if(isblank(J305),,index(googlefinance(A305,K$2,J305-1),2,2))"),24.15)</f>
        <v/>
      </c>
      <c r="L305" s="37">
        <f>IF(ISBLANK(H305:I305),,IF(COUNTA(H305)=0,I305,H305))</f>
        <v/>
      </c>
      <c r="M305" s="7">
        <f>IFERROR(__xludf.DUMMYFUNCTION("if(isblank(L305),, index(googlefinance(A305,M$2,L305-1),2,2))"),26.01)</f>
        <v/>
      </c>
      <c r="N305" s="8">
        <f>IFERROR(__xludf.DUMMYFUNCTION("if(isblank(A305),,googlefinance(A305))"),25.51)</f>
        <v/>
      </c>
      <c r="O305" s="38">
        <f>IF(ISBLANK(J305),,IF(ISBLANK(L305),"Ongoing","Completed"))</f>
        <v/>
      </c>
      <c r="P305" s="70">
        <f>IF(ISBLANK(A305),,IF(AND(COUNTA(F305)=1,S305&gt;0),"Profit",IF(AND(COUNTA(G305)=1,S305&lt;0),"Profit","Loss")))</f>
        <v/>
      </c>
      <c r="Q305" s="31">
        <f>IF(ISBLANK(T305),,IF(P305="Profit",IF(S305&lt;0,T305*-S305,T305*S305),IF(S305&gt;0,T305*-S305,T305*S305)))</f>
        <v/>
      </c>
      <c r="R305" s="59">
        <f>IF($Q305&gt;0, TRUE, FALSE)</f>
        <v/>
      </c>
      <c r="S305" s="59">
        <f>IF(ISBLANK(J305),,IF(ISBLANK(L305),N305-K305,M305-K305))</f>
        <v/>
      </c>
      <c r="T305" s="61">
        <f>IF(ISBLANK(J305),,ROUNDDOWN(T$1/K305,0))</f>
        <v/>
      </c>
      <c r="U305" s="63" t="n"/>
      <c r="V305" s="63" t="n"/>
      <c r="W305" s="63" t="n"/>
      <c r="X305" s="63" t="n"/>
      <c r="Y305" s="63" t="n"/>
      <c r="Z305" s="63" t="n"/>
      <c r="AA305" s="63" t="n"/>
    </row>
    <row r="306" hidden="1" ht="15.75" customHeight="1" s="56">
      <c r="A306" s="63" t="inlineStr">
        <is>
          <t>SYF</t>
        </is>
      </c>
      <c r="B306" s="79" t="n">
        <v>12</v>
      </c>
      <c r="C306" s="79" t="n">
        <v>44.84</v>
      </c>
      <c r="D306" s="79" t="n">
        <v>33.333</v>
      </c>
      <c r="E306" s="79" t="n">
        <v>1.179</v>
      </c>
      <c r="F306" s="79" t="n"/>
      <c r="G306" s="79" t="inlineStr">
        <is>
          <t>2024/02/05</t>
        </is>
      </c>
      <c r="H306" s="79" t="n"/>
      <c r="I306" s="79" t="inlineStr">
        <is>
          <t>2024/02/08</t>
        </is>
      </c>
      <c r="J306" s="23">
        <f>IF(ISBLANK(F306:G306),,IF(COUNTA(F306)=0,G306,F306))</f>
        <v/>
      </c>
      <c r="K306" s="6">
        <f>IFERROR(__xludf.DUMMYFUNCTION("if(isblank(J306),,index(googlefinance(A306,K$2,J306-1),2,2))"),38.76)</f>
        <v/>
      </c>
      <c r="L306" s="37">
        <f>IF(ISBLANK(H306:I306),,IF(COUNTA(H306)=0,I306,H306))</f>
        <v/>
      </c>
      <c r="M306" s="7">
        <f>IFERROR(__xludf.DUMMYFUNCTION("if(isblank(L306),, index(googlefinance(A306,M$2,L306-1),2,2))"),38.53)</f>
        <v/>
      </c>
      <c r="N306" s="8">
        <f>IFERROR(__xludf.DUMMYFUNCTION("if(isblank(A306),,googlefinance(A306))"),41.78)</f>
        <v/>
      </c>
      <c r="O306" s="38">
        <f>IF(ISBLANK(J306),,IF(ISBLANK(L306),"Ongoing","Completed"))</f>
        <v/>
      </c>
      <c r="P306" s="70">
        <f>IF(ISBLANK(A306),,IF(AND(COUNTA(F306)=1,S306&gt;0),"Profit",IF(AND(COUNTA(G306)=1,S306&lt;0),"Profit","Loss")))</f>
        <v/>
      </c>
      <c r="Q306" s="31">
        <f>IF(ISBLANK(T306),,IF(P306="Profit",IF(S306&lt;0,T306*-S306,T306*S306),IF(S306&gt;0,T306*-S306,T306*S306)))</f>
        <v/>
      </c>
      <c r="R306" s="59">
        <f>IF($Q306&gt;0, TRUE, FALSE)</f>
        <v/>
      </c>
      <c r="S306" s="59">
        <f>IF(ISBLANK(J306),,IF(ISBLANK(L306),N306-K306,M306-K306))</f>
        <v/>
      </c>
      <c r="T306" s="61">
        <f>IF(ISBLANK(J306),,ROUNDDOWN(T$1/K306,0))</f>
        <v/>
      </c>
      <c r="U306" s="63" t="n"/>
      <c r="V306" s="63" t="n"/>
      <c r="W306" s="63" t="n"/>
      <c r="X306" s="63" t="n"/>
      <c r="Y306" s="63" t="n"/>
      <c r="Z306" s="63" t="n"/>
      <c r="AA306" s="63" t="n"/>
    </row>
    <row r="307" hidden="1" ht="15.75" customHeight="1" s="56">
      <c r="A307" s="63" t="inlineStr">
        <is>
          <t>ADBE</t>
        </is>
      </c>
      <c r="B307" s="79" t="n">
        <v>11</v>
      </c>
      <c r="C307" s="79" t="n">
        <v>75.55</v>
      </c>
      <c r="D307" s="79" t="n">
        <v>36.364</v>
      </c>
      <c r="E307" s="79" t="n">
        <v>1.313</v>
      </c>
      <c r="F307" s="79" t="n"/>
      <c r="G307" s="79" t="inlineStr">
        <is>
          <t>2024/02/06</t>
        </is>
      </c>
      <c r="H307" s="79" t="n"/>
      <c r="I307" s="81" t="inlineStr">
        <is>
          <t>2024/02/09</t>
        </is>
      </c>
      <c r="J307" s="23">
        <f>IF(ISBLANK(F307:G307),,IF(COUNTA(F307)=0,G307,F307))</f>
        <v/>
      </c>
      <c r="K307" s="6">
        <f>IFERROR(__xludf.DUMMYFUNCTION("if(isblank(J307),,index(googlefinance(A307,K$2,J307-1),2,2))"),630.5)</f>
        <v/>
      </c>
      <c r="L307" s="37">
        <f>IF(ISBLANK(H307:I307),,IF(COUNTA(H307)=0,I307,H307))</f>
        <v/>
      </c>
      <c r="M307" s="7">
        <f>IFERROR(__xludf.DUMMYFUNCTION("if(isblank(L307),, index(googlefinance(A307,M$2,L307-1),2,2))"),615.86)</f>
        <v/>
      </c>
      <c r="N307" s="8">
        <f>IFERROR(__xludf.DUMMYFUNCTION("if(isblank(A307),,googlefinance(A307))"),492.46)</f>
        <v/>
      </c>
      <c r="O307" s="38">
        <f>IF(ISBLANK(J307),,IF(ISBLANK(L307),"Ongoing","Completed"))</f>
        <v/>
      </c>
      <c r="P307" s="70">
        <f>IF(ISBLANK(A307),,IF(AND(COUNTA(F307)=1,S307&gt;0),"Profit",IF(AND(COUNTA(G307)=1,S307&lt;0),"Profit","Loss")))</f>
        <v/>
      </c>
      <c r="Q307" s="31">
        <f>IF(ISBLANK(T307),,IF(P307="Profit",IF(S307&lt;0,T307*-S307,T307*S307),IF(S307&gt;0,T307*-S307,T307*S307)))</f>
        <v/>
      </c>
      <c r="R307" s="59">
        <f>IF($Q307&gt;0, TRUE, FALSE)</f>
        <v/>
      </c>
      <c r="S307" s="59">
        <f>IF(ISBLANK(J307),,IF(ISBLANK(L307),N307-K307,M307-K307))</f>
        <v/>
      </c>
      <c r="T307" s="61">
        <f>IF(ISBLANK(J307),,ROUNDDOWN(T$1/K307,0))</f>
        <v/>
      </c>
      <c r="U307" s="63" t="n"/>
      <c r="V307" s="63" t="n"/>
      <c r="W307" s="63" t="n"/>
      <c r="X307" s="63" t="n"/>
      <c r="Y307" s="63" t="n"/>
      <c r="Z307" s="63" t="n"/>
      <c r="AA307" s="63" t="n"/>
    </row>
    <row r="308" hidden="1" ht="15.75" customHeight="1" s="56">
      <c r="A308" s="63" t="inlineStr">
        <is>
          <t>VLO</t>
        </is>
      </c>
      <c r="B308" s="79" t="n">
        <v>13</v>
      </c>
      <c r="C308" s="79" t="n">
        <v>30.98</v>
      </c>
      <c r="D308" s="79" t="n">
        <v>38.462</v>
      </c>
      <c r="E308" s="79" t="n">
        <v>1.109</v>
      </c>
      <c r="F308" s="79" t="n"/>
      <c r="G308" s="79" t="inlineStr">
        <is>
          <t>2024/02/06</t>
        </is>
      </c>
      <c r="H308" s="79" t="n"/>
      <c r="I308" s="79" t="inlineStr">
        <is>
          <t>2024/02/07</t>
        </is>
      </c>
      <c r="J308" s="23">
        <f>IF(ISBLANK(F308:G308),,IF(COUNTA(F308)=0,G308,F308))</f>
        <v/>
      </c>
      <c r="K308" s="6">
        <f>IFERROR(__xludf.DUMMYFUNCTION("if(isblank(J308),,index(googlefinance(A308,K$2,J308-1),2,2))"),140.41)</f>
        <v/>
      </c>
      <c r="L308" s="37">
        <f>IF(ISBLANK(H308:I308),,IF(COUNTA(H308)=0,I308,H308))</f>
        <v/>
      </c>
      <c r="M308" s="7">
        <f>IFERROR(__xludf.DUMMYFUNCTION("if(isblank(L308),, index(googlefinance(A308,M$2,L308-1),2,2))"),137.83)</f>
        <v/>
      </c>
      <c r="N308" s="8">
        <f>IFERROR(__xludf.DUMMYFUNCTION("if(isblank(A308),,googlefinance(A308))"),163.7)</f>
        <v/>
      </c>
      <c r="O308" s="38">
        <f>IF(ISBLANK(J308),,IF(ISBLANK(L308),"Ongoing","Completed"))</f>
        <v/>
      </c>
      <c r="P308" s="70">
        <f>IF(ISBLANK(A308),,IF(AND(COUNTA(F308)=1,S308&gt;0),"Profit",IF(AND(COUNTA(G308)=1,S308&lt;0),"Profit","Loss")))</f>
        <v/>
      </c>
      <c r="Q308" s="31">
        <f>IF(ISBLANK(T308),,IF(P308="Profit",IF(S308&lt;0,T308*-S308,T308*S308),IF(S308&gt;0,T308*-S308,T308*S308)))</f>
        <v/>
      </c>
      <c r="R308" s="59">
        <f>IF($Q308&gt;0, TRUE, FALSE)</f>
        <v/>
      </c>
      <c r="S308" s="59">
        <f>IF(ISBLANK(J308),,IF(ISBLANK(L308),N308-K308,M308-K308))</f>
        <v/>
      </c>
      <c r="T308" s="61">
        <f>IF(ISBLANK(J308),,ROUNDDOWN(T$1/K308,0))</f>
        <v/>
      </c>
      <c r="U308" s="63" t="n"/>
      <c r="V308" s="63" t="n"/>
      <c r="W308" s="63" t="n"/>
      <c r="X308" s="63" t="n"/>
      <c r="Y308" s="63" t="n"/>
      <c r="Z308" s="63" t="n"/>
      <c r="AA308" s="63" t="n"/>
    </row>
    <row r="309" hidden="1" ht="15.75" customHeight="1" s="56">
      <c r="A309" s="63" t="inlineStr">
        <is>
          <t>AMGN</t>
        </is>
      </c>
      <c r="B309" s="79" t="n">
        <v>8</v>
      </c>
      <c r="C309" s="79" t="n">
        <v>137.68</v>
      </c>
      <c r="D309" s="79" t="n">
        <v>62.5</v>
      </c>
      <c r="E309" s="79" t="n">
        <v>2.239</v>
      </c>
      <c r="F309" s="79" t="n"/>
      <c r="G309" s="79" t="inlineStr">
        <is>
          <t>2024/02/07</t>
        </is>
      </c>
      <c r="H309" s="79" t="n"/>
      <c r="I309" s="79" t="inlineStr">
        <is>
          <t>2024/03/01</t>
        </is>
      </c>
      <c r="J309" s="23">
        <f>IF(ISBLANK(F309:G309),,IF(COUNTA(F309)=0,G309,F309))</f>
        <v/>
      </c>
      <c r="K309" s="6">
        <f>IFERROR(__xludf.DUMMYFUNCTION("if(isblank(J309),,index(googlefinance(A309,K$2,J309-1),2,2))"),316.07)</f>
        <v/>
      </c>
      <c r="L309" s="37">
        <f>IF(ISBLANK(H309:I309),,IF(COUNTA(H309)=0,I309,H309))</f>
        <v/>
      </c>
      <c r="M309" s="7">
        <f>IFERROR(__xludf.DUMMYFUNCTION("if(isblank(L309),, index(googlefinance(A309,M$2,L309-1),2,2))"),273.83)</f>
        <v/>
      </c>
      <c r="N309" s="8">
        <f>IFERROR(__xludf.DUMMYFUNCTION("if(isblank(A309),,googlefinance(A309))"),268.87)</f>
        <v/>
      </c>
      <c r="O309" s="38">
        <f>IF(ISBLANK(J309),,IF(ISBLANK(L309),"Ongoing","Completed"))</f>
        <v/>
      </c>
      <c r="P309" s="70">
        <f>IF(ISBLANK(A309),,IF(AND(COUNTA(F309)=1,S309&gt;0),"Profit",IF(AND(COUNTA(G309)=1,S309&lt;0),"Profit","Loss")))</f>
        <v/>
      </c>
      <c r="Q309" s="31">
        <f>IF(ISBLANK(T309),,IF(P309="Profit",IF(S309&lt;0,T309*-S309,T309*S309),IF(S309&gt;0,T309*-S309,T309*S309)))</f>
        <v/>
      </c>
      <c r="R309" s="59">
        <f>IF($Q309&gt;0, TRUE, FALSE)</f>
        <v/>
      </c>
      <c r="S309" s="59">
        <f>IF(ISBLANK(J309),,IF(ISBLANK(L309),N309-K309,M309-K309))</f>
        <v/>
      </c>
      <c r="T309" s="61">
        <f>IF(ISBLANK(J309),,ROUNDDOWN(T$1/K309,0))</f>
        <v/>
      </c>
      <c r="U309" s="63" t="n"/>
      <c r="V309" s="63" t="n"/>
      <c r="W309" s="63" t="n"/>
      <c r="X309" s="63" t="n"/>
      <c r="Y309" s="63" t="n"/>
      <c r="Z309" s="63" t="n"/>
      <c r="AA309" s="63" t="n"/>
    </row>
    <row r="310" hidden="1" ht="15.75" customHeight="1" s="56">
      <c r="A310" s="63" t="inlineStr">
        <is>
          <t>CCEP</t>
        </is>
      </c>
      <c r="B310" s="79" t="n">
        <v>9</v>
      </c>
      <c r="C310" s="79" t="n">
        <v>320.49</v>
      </c>
      <c r="D310" s="79" t="n">
        <v>55.556</v>
      </c>
      <c r="E310" s="79" t="n">
        <v>5.119</v>
      </c>
      <c r="F310" s="79" t="n"/>
      <c r="G310" s="79" t="inlineStr">
        <is>
          <t>2024/02/07</t>
        </is>
      </c>
      <c r="H310" s="79" t="n"/>
      <c r="I310" s="79" t="inlineStr">
        <is>
          <t>2024/02/16</t>
        </is>
      </c>
      <c r="J310" s="23">
        <f>IF(ISBLANK(F310:G310),,IF(COUNTA(F310)=0,G310,F310))</f>
        <v/>
      </c>
      <c r="K310" s="6">
        <f>IFERROR(__xludf.DUMMYFUNCTION("if(isblank(J310),,index(googlefinance(A310,K$2,J310-1),2,2))"),67.79)</f>
        <v/>
      </c>
      <c r="L310" s="37">
        <f>IF(ISBLANK(H310:I310),,IF(COUNTA(H310)=0,I310,H310))</f>
        <v/>
      </c>
      <c r="M310" s="7">
        <f>IFERROR(__xludf.DUMMYFUNCTION("if(isblank(L310),, index(googlefinance(A310,M$2,L310-1),2,2))"),67.22)</f>
        <v/>
      </c>
      <c r="N310" s="8">
        <f>IFERROR(__xludf.DUMMYFUNCTION("if(isblank(A310),,googlefinance(A310))"),70.92)</f>
        <v/>
      </c>
      <c r="O310" s="38">
        <f>IF(ISBLANK(J310),,IF(ISBLANK(L310),"Ongoing","Completed"))</f>
        <v/>
      </c>
      <c r="P310" s="70">
        <f>IF(ISBLANK(A310),,IF(AND(COUNTA(F310)=1,S310&gt;0),"Profit",IF(AND(COUNTA(G310)=1,S310&lt;0),"Profit","Loss")))</f>
        <v/>
      </c>
      <c r="Q310" s="31">
        <f>IF(ISBLANK(T310),,IF(P310="Profit",IF(S310&lt;0,T310*-S310,T310*S310),IF(S310&gt;0,T310*-S310,T310*S310)))</f>
        <v/>
      </c>
      <c r="R310" s="59">
        <f>IF($Q310&gt;0, TRUE, FALSE)</f>
        <v/>
      </c>
      <c r="S310" s="59">
        <f>IF(ISBLANK(J310),,IF(ISBLANK(L310),N310-K310,M310-K310))</f>
        <v/>
      </c>
      <c r="T310" s="61">
        <f>IF(ISBLANK(J310),,ROUNDDOWN(T$1/K310,0))</f>
        <v/>
      </c>
      <c r="U310" s="63" t="n"/>
      <c r="V310" s="63" t="n"/>
      <c r="W310" s="63" t="n"/>
      <c r="X310" s="63" t="n"/>
      <c r="Y310" s="63" t="n"/>
      <c r="Z310" s="63" t="n"/>
      <c r="AA310" s="63" t="n"/>
    </row>
    <row r="311" hidden="1" ht="15.75" customHeight="1" s="56">
      <c r="A311" s="63" t="inlineStr">
        <is>
          <t>NRG</t>
        </is>
      </c>
      <c r="B311" s="79" t="n">
        <v>12</v>
      </c>
      <c r="C311" s="79" t="n">
        <v>100.81</v>
      </c>
      <c r="D311" s="79" t="n">
        <v>50</v>
      </c>
      <c r="E311" s="79" t="n">
        <v>2.563</v>
      </c>
      <c r="F311" s="79" t="n"/>
      <c r="G311" s="79" t="inlineStr">
        <is>
          <t>2024/02/07</t>
        </is>
      </c>
      <c r="H311" s="79" t="n"/>
      <c r="I311" s="81" t="inlineStr">
        <is>
          <t>2024/02/26</t>
        </is>
      </c>
      <c r="J311" s="23">
        <f>IF(ISBLANK(F311:G311),,IF(COUNTA(F311)=0,G311,F311))</f>
        <v/>
      </c>
      <c r="K311" s="6">
        <f>IFERROR(__xludf.DUMMYFUNCTION("if(isblank(J311),,index(googlefinance(A311,K$2,J311-1),2,2))"),53.52)</f>
        <v/>
      </c>
      <c r="L311" s="37">
        <f>IF(ISBLANK(H311:I311),,IF(COUNTA(H311)=0,I311,H311))</f>
        <v/>
      </c>
      <c r="M311" s="7">
        <f>IFERROR(__xludf.DUMMYFUNCTION("if(isblank(L311),, index(googlefinance(A311,M$2,L311-1),2,2))"),52.77)</f>
        <v/>
      </c>
      <c r="N311" s="8">
        <f>IFERROR(__xludf.DUMMYFUNCTION("if(isblank(A311),,googlefinance(A311))"),63.93)</f>
        <v/>
      </c>
      <c r="O311" s="38">
        <f>IF(ISBLANK(J311),,IF(ISBLANK(L311),"Ongoing","Completed"))</f>
        <v/>
      </c>
      <c r="P311" s="70">
        <f>IF(ISBLANK(A311),,IF(AND(COUNTA(F311)=1,S311&gt;0),"Profit",IF(AND(COUNTA(G311)=1,S311&lt;0),"Profit","Loss")))</f>
        <v/>
      </c>
      <c r="Q311" s="31">
        <f>IF(ISBLANK(T311),,IF(P311="Profit",IF(S311&lt;0,T311*-S311,T311*S311),IF(S311&gt;0,T311*-S311,T311*S311)))</f>
        <v/>
      </c>
      <c r="R311" s="59">
        <f>IF($Q311&gt;0, TRUE, FALSE)</f>
        <v/>
      </c>
      <c r="S311" s="59">
        <f>IF(ISBLANK(J311),,IF(ISBLANK(L311),N311-K311,M311-K311))</f>
        <v/>
      </c>
      <c r="T311" s="61">
        <f>IF(ISBLANK(J311),,ROUNDDOWN(T$1/K311,0))</f>
        <v/>
      </c>
      <c r="U311" s="63" t="n"/>
      <c r="V311" s="63" t="n"/>
      <c r="W311" s="63" t="n"/>
      <c r="X311" s="63" t="n"/>
      <c r="Y311" s="63" t="n"/>
      <c r="Z311" s="63" t="n"/>
      <c r="AA311" s="63" t="n"/>
    </row>
    <row r="312" hidden="1" ht="15.75" customHeight="1" s="56">
      <c r="A312" s="63" t="inlineStr">
        <is>
          <t>FDS</t>
        </is>
      </c>
      <c r="B312" s="79" t="n">
        <v>15</v>
      </c>
      <c r="C312" s="79" t="n">
        <v>80.61</v>
      </c>
      <c r="D312" s="79" t="n">
        <v>40</v>
      </c>
      <c r="E312" s="79" t="n">
        <v>1.382</v>
      </c>
      <c r="F312" s="79" t="n"/>
      <c r="G312" s="79" t="inlineStr">
        <is>
          <t>2024/02/08</t>
        </is>
      </c>
      <c r="H312" s="79" t="n"/>
      <c r="I312" s="79" t="inlineStr">
        <is>
          <t>2024/02/24</t>
        </is>
      </c>
      <c r="J312" s="23">
        <f>IF(ISBLANK(F312:G312),,IF(COUNTA(F312)=0,G312,F312))</f>
        <v/>
      </c>
      <c r="K312" s="6">
        <f>IFERROR(__xludf.DUMMYFUNCTION("if(isblank(J312),,index(googlefinance(A312,K$2,J312-1),2,2))"),483.06)</f>
        <v/>
      </c>
      <c r="L312" s="37">
        <f>IF(ISBLANK(H312:I312),,IF(COUNTA(H312)=0,I312,H312))</f>
        <v/>
      </c>
      <c r="M312" s="7">
        <f>IFERROR(__xludf.DUMMYFUNCTION("if(isblank(L312),, index(googlefinance(A312,M$2,L312-1),2,2))"),463.47)</f>
        <v/>
      </c>
      <c r="N312" s="8">
        <f>IFERROR(__xludf.DUMMYFUNCTION("if(isblank(A312),,googlefinance(A312))"),475.96)</f>
        <v/>
      </c>
      <c r="O312" s="38">
        <f>IF(ISBLANK(J312),,IF(ISBLANK(L312),"Ongoing","Completed"))</f>
        <v/>
      </c>
      <c r="P312" s="70">
        <f>IF(ISBLANK(A312),,IF(AND(COUNTA(F312)=1,S312&gt;0),"Profit",IF(AND(COUNTA(G312)=1,S312&lt;0),"Profit","Loss")))</f>
        <v/>
      </c>
      <c r="Q312" s="31">
        <f>IF(ISBLANK(T312),,IF(P312="Profit",IF(S312&lt;0,T312*-S312,T312*S312),IF(S312&gt;0,T312*-S312,T312*S312)))</f>
        <v/>
      </c>
      <c r="R312" s="59">
        <f>IF($Q312&gt;0, TRUE, FALSE)</f>
        <v/>
      </c>
      <c r="S312" s="59">
        <f>IF(ISBLANK(J312),,IF(ISBLANK(L312),N312-K312,M312-K312))</f>
        <v/>
      </c>
      <c r="T312" s="61">
        <f>IF(ISBLANK(J312),,ROUNDDOWN(T$1/K312,0))</f>
        <v/>
      </c>
      <c r="U312" s="63" t="n"/>
      <c r="V312" s="63" t="n"/>
      <c r="W312" s="63" t="n"/>
      <c r="X312" s="63" t="n"/>
      <c r="Y312" s="63" t="n"/>
      <c r="Z312" s="63" t="n"/>
      <c r="AA312" s="63" t="n"/>
    </row>
    <row r="313" hidden="1" ht="15.75" customHeight="1" s="56">
      <c r="A313" s="63" t="inlineStr">
        <is>
          <t>MDLZ</t>
        </is>
      </c>
      <c r="B313" s="79" t="n">
        <v>10</v>
      </c>
      <c r="C313" s="79" t="n">
        <v>74.65000000000001</v>
      </c>
      <c r="D313" s="79" t="n">
        <v>30</v>
      </c>
      <c r="E313" s="79" t="n">
        <v>1.64</v>
      </c>
      <c r="F313" s="79" t="n"/>
      <c r="G313" s="79" t="inlineStr">
        <is>
          <t>2024/02/08</t>
        </is>
      </c>
      <c r="H313" s="79" t="n"/>
      <c r="I313" s="80" t="n">
        <v>45342</v>
      </c>
      <c r="J313" s="23">
        <f>IF(ISBLANK(F313:G313),,IF(COUNTA(F313)=0,G313,F313))</f>
        <v/>
      </c>
      <c r="K313" s="6">
        <f>IFERROR(__xludf.DUMMYFUNCTION("if(isblank(J313),,index(googlefinance(A313,K$2,J313-1),2,2))"),74.62)</f>
        <v/>
      </c>
      <c r="L313" s="37">
        <f>IF(ISBLANK(H313:I313),,IF(COUNTA(H313)=0,I313,H313))</f>
        <v/>
      </c>
      <c r="M313" s="7">
        <f>IFERROR(__xludf.DUMMYFUNCTION("if(isblank(L313),, index(googlefinance(A313,M$2,L313-1),2,2))"),73.19)</f>
        <v/>
      </c>
      <c r="N313" s="8">
        <f>IFERROR(__xludf.DUMMYFUNCTION("if(isblank(A313),,googlefinance(A313))"),70.75)</f>
        <v/>
      </c>
      <c r="O313" s="38">
        <f>IF(ISBLANK(J313),,IF(ISBLANK(L313),"Ongoing","Completed"))</f>
        <v/>
      </c>
      <c r="P313" s="70">
        <f>IF(ISBLANK(A313),,IF(AND(COUNTA(F313)=1,S313&gt;0),"Profit",IF(AND(COUNTA(G313)=1,S313&lt;0),"Profit","Loss")))</f>
        <v/>
      </c>
      <c r="Q313" s="31">
        <f>IF(ISBLANK(T313),,IF(P313="Profit",IF(S313&lt;0,T313*-S313,T313*S313),IF(S313&gt;0,T313*-S313,T313*S313)))</f>
        <v/>
      </c>
      <c r="R313" s="59">
        <f>IF($Q313&gt;0, TRUE, FALSE)</f>
        <v/>
      </c>
      <c r="S313" s="59">
        <f>IF(ISBLANK(J313),,IF(ISBLANK(L313),N313-K313,M313-K313))</f>
        <v/>
      </c>
      <c r="T313" s="61">
        <f>IF(ISBLANK(J313),,ROUNDDOWN(T$1/K313,0))</f>
        <v/>
      </c>
      <c r="U313" s="63" t="n"/>
      <c r="V313" s="63" t="n"/>
      <c r="W313" s="63" t="n"/>
      <c r="X313" s="63" t="n"/>
      <c r="Y313" s="63" t="n"/>
      <c r="Z313" s="63" t="n"/>
      <c r="AA313" s="63" t="n"/>
    </row>
    <row r="314" hidden="1" ht="15.75" customHeight="1" s="56">
      <c r="A314" s="63" t="inlineStr">
        <is>
          <t>ZBH</t>
        </is>
      </c>
      <c r="B314" s="79" t="n">
        <v>15</v>
      </c>
      <c r="C314" s="79" t="n">
        <v>321.083</v>
      </c>
      <c r="D314" s="79" t="n">
        <v>46.667</v>
      </c>
      <c r="E314" s="79" t="n">
        <v>2.109</v>
      </c>
      <c r="F314" s="79" t="n"/>
      <c r="G314" s="79" t="inlineStr">
        <is>
          <t>2024/02/08</t>
        </is>
      </c>
      <c r="H314" s="79" t="n"/>
      <c r="I314" s="81" t="inlineStr">
        <is>
          <t>2024/02/09</t>
        </is>
      </c>
      <c r="J314" s="23">
        <f>IF(ISBLANK(F314:G314),,IF(COUNTA(F314)=0,G314,F314))</f>
        <v/>
      </c>
      <c r="K314" s="6">
        <f>IFERROR(__xludf.DUMMYFUNCTION("if(isblank(J314),,index(googlefinance(A314,K$2,J314-1),2,2))"),127.55)</f>
        <v/>
      </c>
      <c r="L314" s="37">
        <f>IF(ISBLANK(H314:I314),,IF(COUNTA(H314)=0,I314,H314))</f>
        <v/>
      </c>
      <c r="M314" s="7">
        <f>IFERROR(__xludf.DUMMYFUNCTION("if(isblank(L314),, index(googlefinance(A314,M$2,L314-1),2,2))"),123.04)</f>
        <v/>
      </c>
      <c r="N314" s="8">
        <f>IFERROR(__xludf.DUMMYFUNCTION("if(isblank(A314),,googlefinance(A314))"),125.17)</f>
        <v/>
      </c>
      <c r="O314" s="38">
        <f>IF(ISBLANK(J314),,IF(ISBLANK(L314),"Ongoing","Completed"))</f>
        <v/>
      </c>
      <c r="P314" s="70">
        <f>IF(ISBLANK(A314),,IF(AND(COUNTA(F314)=1,S314&gt;0),"Profit",IF(AND(COUNTA(G314)=1,S314&lt;0),"Profit","Loss")))</f>
        <v/>
      </c>
      <c r="Q314" s="31">
        <f>IF(ISBLANK(T314),,IF(P314="Profit",IF(S314&lt;0,T314*-S314,T314*S314),IF(S314&gt;0,T314*-S314,T314*S314)))</f>
        <v/>
      </c>
      <c r="R314" s="59">
        <f>IF($Q314&gt;0, TRUE, FALSE)</f>
        <v/>
      </c>
      <c r="S314" s="59">
        <f>IF(ISBLANK(J314),,IF(ISBLANK(L314),N314-K314,M314-K314))</f>
        <v/>
      </c>
      <c r="T314" s="61">
        <f>IF(ISBLANK(J314),,ROUNDDOWN(T$1/K314,0))</f>
        <v/>
      </c>
      <c r="U314" s="63" t="n"/>
      <c r="V314" s="63" t="n"/>
      <c r="W314" s="63" t="n"/>
      <c r="X314" s="63" t="n"/>
      <c r="Y314" s="63" t="n"/>
      <c r="Z314" s="63" t="n"/>
      <c r="AA314" s="63" t="n"/>
    </row>
    <row r="315" hidden="1" ht="15.75" customHeight="1" s="56">
      <c r="A315" s="63" t="inlineStr">
        <is>
          <t>NTRS</t>
        </is>
      </c>
      <c r="B315" s="79" t="n">
        <v>10</v>
      </c>
      <c r="C315" s="79" t="n">
        <v>255.51</v>
      </c>
      <c r="D315" s="79" t="n">
        <v>60</v>
      </c>
      <c r="E315" s="79" t="n">
        <v>3.561</v>
      </c>
      <c r="F315" s="81" t="inlineStr">
        <is>
          <t>2024/02/09</t>
        </is>
      </c>
      <c r="G315" s="79" t="n"/>
      <c r="H315" s="79" t="inlineStr">
        <is>
          <t>2024/02/13</t>
        </is>
      </c>
      <c r="I315" s="79" t="n"/>
      <c r="J315" s="23">
        <f>IF(ISBLANK(F315:G315),,IF(COUNTA(F315)=0,G315,F315))</f>
        <v/>
      </c>
      <c r="K315" s="6">
        <f>IFERROR(__xludf.DUMMYFUNCTION("if(isblank(J315),,index(googlefinance(A315,K$2,J315-1),2,2))"),78.47)</f>
        <v/>
      </c>
      <c r="L315" s="37">
        <f>IF(ISBLANK(H315:I315),,IF(COUNTA(H315)=0,I315,H315))</f>
        <v/>
      </c>
      <c r="M315" s="7">
        <f>IFERROR(__xludf.DUMMYFUNCTION("if(isblank(L315),, index(googlefinance(A315,M$2,L315-1),2,2))"),81.35)</f>
        <v/>
      </c>
      <c r="N315" s="8">
        <f>IFERROR(__xludf.DUMMYFUNCTION("if(isblank(A315),,googlefinance(A315))"),81.46)</f>
        <v/>
      </c>
      <c r="O315" s="38">
        <f>IF(ISBLANK(J315),,IF(ISBLANK(L315),"Ongoing","Completed"))</f>
        <v/>
      </c>
      <c r="P315" s="70">
        <f>IF(ISBLANK(A315),,IF(AND(COUNTA(F315)=1,S315&gt;0),"Profit",IF(AND(COUNTA(G315)=1,S315&lt;0),"Profit","Loss")))</f>
        <v/>
      </c>
      <c r="Q315" s="31">
        <f>IF(ISBLANK(T315),,IF(P315="Profit",IF(S315&lt;0,T315*-S315,T315*S315),IF(S315&gt;0,T315*-S315,T315*S315)))</f>
        <v/>
      </c>
      <c r="R315" s="59">
        <f>IF($Q315&gt;0, TRUE, FALSE)</f>
        <v/>
      </c>
      <c r="S315" s="59">
        <f>IF(ISBLANK(J315),,IF(ISBLANK(L315),N315-K315,M315-K315))</f>
        <v/>
      </c>
      <c r="T315" s="61">
        <f>IF(ISBLANK(J315),,ROUNDDOWN(T$1/K315,0))</f>
        <v/>
      </c>
      <c r="U315" s="63" t="n"/>
      <c r="V315" s="63" t="n"/>
      <c r="W315" s="63" t="n"/>
      <c r="X315" s="63" t="n"/>
      <c r="Y315" s="63" t="n"/>
      <c r="Z315" s="63" t="n"/>
      <c r="AA315" s="63" t="n"/>
    </row>
    <row r="316" hidden="1" ht="15.75" customHeight="1" s="56">
      <c r="A316" s="63" t="inlineStr">
        <is>
          <t>AXON</t>
        </is>
      </c>
      <c r="B316" s="79" t="n">
        <v>16</v>
      </c>
      <c r="C316" s="79" t="n">
        <v>243.41</v>
      </c>
      <c r="D316" s="79" t="n">
        <v>31.25</v>
      </c>
      <c r="E316" s="79" t="n">
        <v>1.847</v>
      </c>
      <c r="F316" s="79" t="n"/>
      <c r="G316" s="79" t="inlineStr">
        <is>
          <t>2024/02/13</t>
        </is>
      </c>
      <c r="H316" s="79" t="n"/>
      <c r="I316" s="79" t="inlineStr">
        <is>
          <t>2024/02/14</t>
        </is>
      </c>
      <c r="J316" s="23">
        <f>IF(ISBLANK(F316:G316),,IF(COUNTA(F316)=0,G316,F316))</f>
        <v/>
      </c>
      <c r="K316" s="6">
        <f>IFERROR(__xludf.DUMMYFUNCTION("if(isblank(J316),,index(googlefinance(A316,K$2,J316-1),2,2))"),266.71)</f>
        <v/>
      </c>
      <c r="L316" s="37">
        <f>IF(ISBLANK(H316:I316),,IF(COUNTA(H316)=0,I316,H316))</f>
        <v/>
      </c>
      <c r="M316" s="7">
        <f>IFERROR(__xludf.DUMMYFUNCTION("if(isblank(L316),, index(googlefinance(A316,M$2,L316-1),2,2))"),264.45)</f>
        <v/>
      </c>
      <c r="N316" s="8">
        <f>IFERROR(__xludf.DUMMYFUNCTION("if(isblank(A316),,googlefinance(A316))"),307.65)</f>
        <v/>
      </c>
      <c r="O316" s="38">
        <f>IF(ISBLANK(J316),,IF(ISBLANK(L316),"Ongoing","Completed"))</f>
        <v/>
      </c>
      <c r="P316" s="70">
        <f>IF(ISBLANK(A316),,IF(AND(COUNTA(F316)=1,S316&gt;0),"Profit",IF(AND(COUNTA(G316)=1,S316&lt;0),"Profit","Loss")))</f>
        <v/>
      </c>
      <c r="Q316" s="31">
        <f>IF(ISBLANK(T316),,IF(P316="Profit",IF(S316&lt;0,T316*-S316,T316*S316),IF(S316&gt;0,T316*-S316,T316*S316)))</f>
        <v/>
      </c>
      <c r="R316" s="59">
        <f>IF($Q316&gt;0, TRUE, FALSE)</f>
        <v/>
      </c>
      <c r="S316" s="59">
        <f>IF(ISBLANK(J316),,IF(ISBLANK(L316),N316-K316,M316-K316))</f>
        <v/>
      </c>
      <c r="T316" s="61">
        <f>IF(ISBLANK(J316),,ROUNDDOWN(T$1/K316,0))</f>
        <v/>
      </c>
      <c r="U316" s="63" t="n"/>
      <c r="V316" s="63" t="n"/>
      <c r="W316" s="63" t="n"/>
      <c r="X316" s="63" t="n"/>
      <c r="Y316" s="63" t="n"/>
      <c r="Z316" s="63" t="n"/>
      <c r="AA316" s="63" t="n"/>
    </row>
    <row r="317" hidden="1" ht="15.75" customHeight="1" s="56">
      <c r="A317" s="63" t="inlineStr">
        <is>
          <t>SNPS</t>
        </is>
      </c>
      <c r="B317" s="79" t="n">
        <v>11</v>
      </c>
      <c r="C317" s="79" t="n">
        <v>167.15</v>
      </c>
      <c r="D317" s="79" t="n">
        <v>36.364</v>
      </c>
      <c r="E317" s="79" t="n">
        <v>1.768</v>
      </c>
      <c r="F317" s="79" t="n"/>
      <c r="G317" s="79" t="inlineStr">
        <is>
          <t>2024/02/13</t>
        </is>
      </c>
      <c r="H317" s="79" t="n"/>
      <c r="I317" s="79" t="inlineStr">
        <is>
          <t>2024/02/14</t>
        </is>
      </c>
      <c r="J317" s="23">
        <f>IF(ISBLANK(F317:G317),,IF(COUNTA(F317)=0,G317,F317))</f>
        <v/>
      </c>
      <c r="K317" s="6">
        <f>IFERROR(__xludf.DUMMYFUNCTION("if(isblank(J317),,index(googlefinance(A317,K$2,J317-1),2,2))"),568.93)</f>
        <v/>
      </c>
      <c r="L317" s="37">
        <f>IF(ISBLANK(H317:I317),,IF(COUNTA(H317)=0,I317,H317))</f>
        <v/>
      </c>
      <c r="M317" s="7">
        <f>IFERROR(__xludf.DUMMYFUNCTION("if(isblank(L317),, index(googlefinance(A317,M$2,L317-1),2,2))"),548.53)</f>
        <v/>
      </c>
      <c r="N317" s="8">
        <f>IFERROR(__xludf.DUMMYFUNCTION("if(isblank(A317),,googlefinance(A317))"),550.03)</f>
        <v/>
      </c>
      <c r="O317" s="38">
        <f>IF(ISBLANK(J317),,IF(ISBLANK(L317),"Ongoing","Completed"))</f>
        <v/>
      </c>
      <c r="P317" s="70">
        <f>IF(ISBLANK(A317),,IF(AND(COUNTA(F317)=1,S317&gt;0),"Profit",IF(AND(COUNTA(G317)=1,S317&lt;0),"Profit","Loss")))</f>
        <v/>
      </c>
      <c r="Q317" s="31">
        <f>IF(ISBLANK(T317),,IF(P317="Profit",IF(S317&lt;0,T317*-S317,T317*S317),IF(S317&gt;0,T317*-S317,T317*S317)))</f>
        <v/>
      </c>
      <c r="R317" s="59">
        <f>IF($Q317&gt;0, TRUE, FALSE)</f>
        <v/>
      </c>
      <c r="S317" s="59">
        <f>IF(ISBLANK(J317),,IF(ISBLANK(L317),N317-K317,M317-K317))</f>
        <v/>
      </c>
      <c r="T317" s="61">
        <f>IF(ISBLANK(J317),,ROUNDDOWN(T$1/K317,0))</f>
        <v/>
      </c>
      <c r="U317" s="63" t="n"/>
      <c r="V317" s="63" t="n"/>
      <c r="W317" s="63" t="n"/>
      <c r="X317" s="63" t="n"/>
      <c r="Y317" s="63" t="n"/>
      <c r="Z317" s="63" t="n"/>
      <c r="AA317" s="63" t="n"/>
    </row>
    <row r="318" hidden="1" ht="15.75" customHeight="1" s="56">
      <c r="A318" s="63" t="inlineStr">
        <is>
          <t>UNP</t>
        </is>
      </c>
      <c r="B318" s="79" t="n">
        <v>10</v>
      </c>
      <c r="C318" s="79" t="n">
        <v>140.03</v>
      </c>
      <c r="D318" s="79" t="n">
        <v>30</v>
      </c>
      <c r="E318" s="79" t="n">
        <v>2.033</v>
      </c>
      <c r="F318" s="79" t="n"/>
      <c r="G318" s="79" t="inlineStr">
        <is>
          <t>2024/02/13</t>
        </is>
      </c>
      <c r="H318" s="79" t="n"/>
      <c r="I318" s="79" t="inlineStr">
        <is>
          <t>2024/02/14</t>
        </is>
      </c>
      <c r="J318" s="23">
        <f>IF(ISBLANK(F318:G318),,IF(COUNTA(F318)=0,G318,F318))</f>
        <v/>
      </c>
      <c r="K318" s="6">
        <f>IFERROR(__xludf.DUMMYFUNCTION("if(isblank(J318),,index(googlefinance(A318,K$2,J318-1),2,2))"),247.4)</f>
        <v/>
      </c>
      <c r="L318" s="37">
        <f>IF(ISBLANK(H318:I318),,IF(COUNTA(H318)=0,I318,H318))</f>
        <v/>
      </c>
      <c r="M318" s="7">
        <f>IFERROR(__xludf.DUMMYFUNCTION("if(isblank(L318),, index(googlefinance(A318,M$2,L318-1),2,2))"),245.61)</f>
        <v/>
      </c>
      <c r="N318" s="8">
        <f>IFERROR(__xludf.DUMMYFUNCTION("if(isblank(A318),,googlefinance(A318))"),244.13)</f>
        <v/>
      </c>
      <c r="O318" s="38">
        <f>IF(ISBLANK(J318),,IF(ISBLANK(L318),"Ongoing","Completed"))</f>
        <v/>
      </c>
      <c r="P318" s="70">
        <f>IF(ISBLANK(A318),,IF(AND(COUNTA(F318)=1,S318&gt;0),"Profit",IF(AND(COUNTA(G318)=1,S318&lt;0),"Profit","Loss")))</f>
        <v/>
      </c>
      <c r="Q318" s="31">
        <f>IF(ISBLANK(T318),,IF(P318="Profit",IF(S318&lt;0,T318*-S318,T318*S318),IF(S318&gt;0,T318*-S318,T318*S318)))</f>
        <v/>
      </c>
      <c r="R318" s="59">
        <f>IF($Q318&gt;0, TRUE, FALSE)</f>
        <v/>
      </c>
      <c r="S318" s="59">
        <f>IF(ISBLANK(J318),,IF(ISBLANK(L318),N318-K318,M318-K318))</f>
        <v/>
      </c>
      <c r="T318" s="61">
        <f>IF(ISBLANK(J318),,ROUNDDOWN(T$1/K318,0))</f>
        <v/>
      </c>
      <c r="U318" s="63" t="n"/>
      <c r="V318" s="63" t="n"/>
      <c r="W318" s="63" t="n"/>
      <c r="X318" s="63" t="n"/>
      <c r="Y318" s="63" t="n"/>
      <c r="Z318" s="63" t="n"/>
      <c r="AA318" s="63" t="n"/>
    </row>
    <row r="319" hidden="1" ht="15.75" customHeight="1" s="56">
      <c r="A319" s="63" t="inlineStr">
        <is>
          <t>DLR</t>
        </is>
      </c>
      <c r="B319" s="79" t="n">
        <v>13</v>
      </c>
      <c r="C319" s="79" t="n">
        <v>36.14</v>
      </c>
      <c r="D319" s="79" t="n">
        <v>53.846</v>
      </c>
      <c r="E319" s="79" t="n">
        <v>1.183</v>
      </c>
      <c r="F319" s="79" t="n"/>
      <c r="G319" s="79" t="inlineStr">
        <is>
          <t>2024/02/14</t>
        </is>
      </c>
      <c r="H319" s="79" t="n"/>
      <c r="I319" s="79" t="inlineStr">
        <is>
          <t>2024/02/15</t>
        </is>
      </c>
      <c r="J319" s="23">
        <f>IF(ISBLANK(F319:G319),,IF(COUNTA(F319)=0,G319,F319))</f>
        <v/>
      </c>
      <c r="K319" s="6">
        <f>IFERROR(__xludf.DUMMYFUNCTION("if(isblank(J319),,index(googlefinance(A319,K$2,J319-1),2,2))"),142.17)</f>
        <v/>
      </c>
      <c r="L319" s="37">
        <f>IF(ISBLANK(H319:I319),,IF(COUNTA(H319)=0,I319,H319))</f>
        <v/>
      </c>
      <c r="M319" s="7">
        <f>IFERROR(__xludf.DUMMYFUNCTION("if(isblank(L319),, index(googlefinance(A319,M$2,L319-1),2,2))"),142.23)</f>
        <v/>
      </c>
      <c r="N319" s="8">
        <f>IFERROR(__xludf.DUMMYFUNCTION("if(isblank(A319),,googlefinance(A319))"),140.86)</f>
        <v/>
      </c>
      <c r="O319" s="38">
        <f>IF(ISBLANK(J319),,IF(ISBLANK(L319),"Ongoing","Completed"))</f>
        <v/>
      </c>
      <c r="P319" s="70">
        <f>IF(ISBLANK(A319),,IF(AND(COUNTA(F319)=1,S319&gt;0),"Profit",IF(AND(COUNTA(G319)=1,S319&lt;0),"Profit","Loss")))</f>
        <v/>
      </c>
      <c r="Q319" s="31">
        <f>IF(ISBLANK(T319),,IF(P319="Profit",IF(S319&lt;0,T319*-S319,T319*S319),IF(S319&gt;0,T319*-S319,T319*S319)))</f>
        <v/>
      </c>
      <c r="R319" s="59">
        <f>IF($Q319&gt;0, TRUE, FALSE)</f>
        <v/>
      </c>
      <c r="S319" s="59">
        <f>IF(ISBLANK(J319),,IF(ISBLANK(L319),N319-K319,M319-K319))</f>
        <v/>
      </c>
      <c r="T319" s="61">
        <f>IF(ISBLANK(J319),,ROUNDDOWN(T$1/K319,0))</f>
        <v/>
      </c>
      <c r="U319" s="63" t="n"/>
      <c r="V319" s="63" t="n"/>
      <c r="W319" s="63" t="n"/>
      <c r="X319" s="63" t="n"/>
      <c r="Y319" s="63" t="n"/>
      <c r="Z319" s="63" t="n"/>
      <c r="AA319" s="63" t="n"/>
    </row>
    <row r="320" hidden="1" ht="15.75" customHeight="1" s="56">
      <c r="A320" s="63" t="inlineStr">
        <is>
          <t>HD</t>
        </is>
      </c>
      <c r="B320" s="79" t="n">
        <v>11</v>
      </c>
      <c r="C320" s="79" t="n">
        <v>11.69</v>
      </c>
      <c r="D320" s="79" t="n">
        <v>27.273</v>
      </c>
      <c r="E320" s="79" t="n">
        <v>1.053</v>
      </c>
      <c r="F320" s="79" t="n"/>
      <c r="G320" s="79" t="inlineStr">
        <is>
          <t>2024/02/14</t>
        </is>
      </c>
      <c r="H320" s="79" t="n"/>
      <c r="I320" s="79" t="inlineStr">
        <is>
          <t>2024/02/16</t>
        </is>
      </c>
      <c r="J320" s="23">
        <f>IF(ISBLANK(F320:G320),,IF(COUNTA(F320)=0,G320,F320))</f>
        <v/>
      </c>
      <c r="K320" s="6">
        <f>IFERROR(__xludf.DUMMYFUNCTION("if(isblank(J320),,index(googlefinance(A320,K$2,J320-1),2,2))"),357.59)</f>
        <v/>
      </c>
      <c r="L320" s="37">
        <f>IF(ISBLANK(H320:I320),,IF(COUNTA(H320)=0,I320,H320))</f>
        <v/>
      </c>
      <c r="M320" s="7">
        <f>IFERROR(__xludf.DUMMYFUNCTION("if(isblank(L320),, index(googlefinance(A320,M$2,L320-1),2,2))"),361.08)</f>
        <v/>
      </c>
      <c r="N320" s="8">
        <f>IFERROR(__xludf.DUMMYFUNCTION("if(isblank(A320),,googlefinance(A320))"),373.23)</f>
        <v/>
      </c>
      <c r="O320" s="38">
        <f>IF(ISBLANK(J320),,IF(ISBLANK(L320),"Ongoing","Completed"))</f>
        <v/>
      </c>
      <c r="P320" s="70">
        <f>IF(ISBLANK(A320),,IF(AND(COUNTA(F320)=1,S320&gt;0),"Profit",IF(AND(COUNTA(G320)=1,S320&lt;0),"Profit","Loss")))</f>
        <v/>
      </c>
      <c r="Q320" s="31">
        <f>IF(ISBLANK(T320),,IF(P320="Profit",IF(S320&lt;0,T320*-S320,T320*S320),IF(S320&gt;0,T320*-S320,T320*S320)))</f>
        <v/>
      </c>
      <c r="R320" s="59">
        <f>IF($Q320&gt;0, TRUE, FALSE)</f>
        <v/>
      </c>
      <c r="S320" s="59">
        <f>IF(ISBLANK(J320),,IF(ISBLANK(L320),N320-K320,M320-K320))</f>
        <v/>
      </c>
      <c r="T320" s="61">
        <f>IF(ISBLANK(J320),,ROUNDDOWN(T$1/K320,0))</f>
        <v/>
      </c>
      <c r="U320" s="63" t="n"/>
      <c r="V320" s="63" t="n"/>
      <c r="W320" s="63" t="n"/>
      <c r="X320" s="63" t="n"/>
      <c r="Y320" s="63" t="n"/>
      <c r="Z320" s="63" t="n"/>
      <c r="AA320" s="63" t="n"/>
    </row>
    <row r="321" hidden="1" ht="15.75" customHeight="1" s="56">
      <c r="A321" s="63" t="inlineStr">
        <is>
          <t>INTC</t>
        </is>
      </c>
      <c r="B321" s="79" t="n">
        <v>11</v>
      </c>
      <c r="C321" s="79" t="n">
        <v>151.8</v>
      </c>
      <c r="D321" s="79" t="n">
        <v>36.364</v>
      </c>
      <c r="E321" s="79" t="n">
        <v>1.728</v>
      </c>
      <c r="F321" s="79" t="inlineStr">
        <is>
          <t>2024/02/14</t>
        </is>
      </c>
      <c r="G321" s="79" t="n"/>
      <c r="H321" s="79" t="inlineStr">
        <is>
          <t>2024/02/16</t>
        </is>
      </c>
      <c r="I321" s="79" t="n"/>
      <c r="J321" s="23">
        <f>IF(ISBLANK(F321:G321),,IF(COUNTA(F321)=0,G321,F321))</f>
        <v/>
      </c>
      <c r="K321" s="6">
        <f>IFERROR(__xludf.DUMMYFUNCTION("if(isblank(J321),,index(googlefinance(A321,K$2,J321-1),2,2))"),43.16)</f>
        <v/>
      </c>
      <c r="L321" s="37">
        <f>IF(ISBLANK(H321:I321),,IF(COUNTA(H321)=0,I321,H321))</f>
        <v/>
      </c>
      <c r="M321" s="7">
        <f>IFERROR(__xludf.DUMMYFUNCTION("if(isblank(L321),, index(googlefinance(A321,M$2,L321-1),2,2))"),44.05)</f>
        <v/>
      </c>
      <c r="N321" s="8">
        <f>IFERROR(__xludf.DUMMYFUNCTION("if(isblank(A321),,googlefinance(A321))"),42.64)</f>
        <v/>
      </c>
      <c r="O321" s="38">
        <f>IF(ISBLANK(J321),,IF(ISBLANK(L321),"Ongoing","Completed"))</f>
        <v/>
      </c>
      <c r="P321" s="70">
        <f>IF(ISBLANK(A321),,IF(AND(COUNTA(F321)=1,S321&gt;0),"Profit",IF(AND(COUNTA(G321)=1,S321&lt;0),"Profit","Loss")))</f>
        <v/>
      </c>
      <c r="Q321" s="31">
        <f>IF(ISBLANK(T321),,IF(P321="Profit",IF(S321&lt;0,T321*-S321,T321*S321),IF(S321&gt;0,T321*-S321,T321*S321)))</f>
        <v/>
      </c>
      <c r="R321" s="59">
        <f>IF($Q321&gt;0, TRUE, FALSE)</f>
        <v/>
      </c>
      <c r="S321" s="59">
        <f>IF(ISBLANK(J321),,IF(ISBLANK(L321),N321-K321,M321-K321))</f>
        <v/>
      </c>
      <c r="T321" s="61">
        <f>IF(ISBLANK(J321),,ROUNDDOWN(T$1/K321,0))</f>
        <v/>
      </c>
      <c r="U321" s="63" t="n"/>
      <c r="V321" s="63" t="n"/>
      <c r="W321" s="63" t="n"/>
      <c r="X321" s="63" t="n"/>
      <c r="Y321" s="63" t="n"/>
      <c r="Z321" s="63" t="n"/>
      <c r="AA321" s="63" t="n"/>
    </row>
    <row r="322" hidden="1" ht="15.75" customHeight="1" s="56">
      <c r="A322" s="63" t="inlineStr">
        <is>
          <t>MAR</t>
        </is>
      </c>
      <c r="B322" s="79" t="n">
        <v>12</v>
      </c>
      <c r="C322" s="79" t="n">
        <v>243.3</v>
      </c>
      <c r="D322" s="79" t="n">
        <v>33.333</v>
      </c>
      <c r="E322" s="79" t="n">
        <v>1.982</v>
      </c>
      <c r="F322" s="79" t="n"/>
      <c r="G322" s="79" t="inlineStr">
        <is>
          <t>2024/02/14</t>
        </is>
      </c>
      <c r="H322" s="79" t="n"/>
      <c r="I322" s="80" t="n">
        <v>45342</v>
      </c>
      <c r="J322" s="23">
        <f>IF(ISBLANK(F322:G322),,IF(COUNTA(F322)=0,G322,F322))</f>
        <v/>
      </c>
      <c r="K322" s="6">
        <f>IFERROR(__xludf.DUMMYFUNCTION("if(isblank(J322),,index(googlefinance(A322,K$2,J322-1),2,2))"),234.94)</f>
        <v/>
      </c>
      <c r="L322" s="37">
        <f>IF(ISBLANK(H322:I322),,IF(COUNTA(H322)=0,I322,H322))</f>
        <v/>
      </c>
      <c r="M322" s="7">
        <f>IFERROR(__xludf.DUMMYFUNCTION("if(isblank(L322),, index(googlefinance(A322,M$2,L322-1),2,2))"),242.94)</f>
        <v/>
      </c>
      <c r="N322" s="8">
        <f>IFERROR(__xludf.DUMMYFUNCTION("if(isblank(A322),,googlefinance(A322))"),244.07)</f>
        <v/>
      </c>
      <c r="O322" s="38">
        <f>IF(ISBLANK(J322),,IF(ISBLANK(L322),"Ongoing","Completed"))</f>
        <v/>
      </c>
      <c r="P322" s="70">
        <f>IF(ISBLANK(A322),,IF(AND(COUNTA(F322)=1,S322&gt;0),"Profit",IF(AND(COUNTA(G322)=1,S322&lt;0),"Profit","Loss")))</f>
        <v/>
      </c>
      <c r="Q322" s="31">
        <f>IF(ISBLANK(T322),,IF(P322="Profit",IF(S322&lt;0,T322*-S322,T322*S322),IF(S322&gt;0,T322*-S322,T322*S322)))</f>
        <v/>
      </c>
      <c r="R322" s="59">
        <f>IF($Q322&gt;0, TRUE, FALSE)</f>
        <v/>
      </c>
      <c r="S322" s="59">
        <f>IF(ISBLANK(J322),,IF(ISBLANK(L322),N322-K322,M322-K322))</f>
        <v/>
      </c>
      <c r="T322" s="61">
        <f>IF(ISBLANK(J322),,ROUNDDOWN(T$1/K322,0))</f>
        <v/>
      </c>
      <c r="U322" s="63" t="n"/>
      <c r="V322" s="63" t="n"/>
      <c r="W322" s="63" t="n"/>
      <c r="X322" s="63" t="n"/>
      <c r="Y322" s="63" t="n"/>
      <c r="Z322" s="63" t="n"/>
      <c r="AA322" s="63" t="n"/>
    </row>
    <row r="323" hidden="1" ht="15.75" customHeight="1" s="56">
      <c r="A323" s="63" t="inlineStr">
        <is>
          <t>CTRA</t>
        </is>
      </c>
      <c r="B323" s="79" t="n">
        <v>9</v>
      </c>
      <c r="C323" s="79" t="n">
        <v>198.4</v>
      </c>
      <c r="D323" s="79" t="n">
        <v>33.333</v>
      </c>
      <c r="E323" s="79" t="n">
        <v>1.73</v>
      </c>
      <c r="F323" s="79" t="inlineStr">
        <is>
          <t>2024/02/15</t>
        </is>
      </c>
      <c r="G323" s="79" t="n"/>
      <c r="H323" s="79" t="inlineStr">
        <is>
          <t>2024/02/28</t>
        </is>
      </c>
      <c r="I323" s="79" t="n"/>
      <c r="J323" s="23">
        <f>IF(ISBLANK(F323:G323),,IF(COUNTA(F323)=0,G323,F323))</f>
        <v/>
      </c>
      <c r="K323" s="6">
        <f>IFERROR(__xludf.DUMMYFUNCTION("if(isblank(J323),,index(googlefinance(A323,K$2,J323-1),2,2))"),23.91)</f>
        <v/>
      </c>
      <c r="L323" s="37">
        <f>IF(ISBLANK(H323:I323),,IF(COUNTA(H323)=0,I323,H323))</f>
        <v/>
      </c>
      <c r="M323" s="7">
        <f>IFERROR(__xludf.DUMMYFUNCTION("if(isblank(L323),, index(googlefinance(A323,M$2,L323-1),2,2))"),25.98)</f>
        <v/>
      </c>
      <c r="N323" s="8">
        <f>IFERROR(__xludf.DUMMYFUNCTION("if(isblank(A323),,googlefinance(A323))"),26.42)</f>
        <v/>
      </c>
      <c r="O323" s="38">
        <f>IF(ISBLANK(J323),,IF(ISBLANK(L323),"Ongoing","Completed"))</f>
        <v/>
      </c>
      <c r="P323" s="70">
        <f>IF(ISBLANK(A323),,IF(AND(COUNTA(F323)=1,S323&gt;0),"Profit",IF(AND(COUNTA(G323)=1,S323&lt;0),"Profit","Loss")))</f>
        <v/>
      </c>
      <c r="Q323" s="31">
        <f>IF(ISBLANK(T323),,IF(P323="Profit",IF(S323&lt;0,T323*-S323,T323*S323),IF(S323&gt;0,T323*-S323,T323*S323)))</f>
        <v/>
      </c>
      <c r="R323" s="59">
        <f>IF($Q323&gt;0, TRUE, FALSE)</f>
        <v/>
      </c>
      <c r="S323" s="59">
        <f>IF(ISBLANK(J323),,IF(ISBLANK(L323),N323-K323,M323-K323))</f>
        <v/>
      </c>
      <c r="T323" s="61">
        <f>IF(ISBLANK(J323),,ROUNDDOWN(T$1/K323,0))</f>
        <v/>
      </c>
      <c r="U323" s="63" t="n"/>
      <c r="V323" s="63" t="n"/>
      <c r="W323" s="63" t="n"/>
      <c r="X323" s="63" t="n"/>
      <c r="Y323" s="63" t="n"/>
      <c r="Z323" s="63" t="n"/>
      <c r="AA323" s="63" t="n"/>
    </row>
    <row r="324" hidden="1" ht="15.75" customHeight="1" s="56">
      <c r="A324" s="63" t="inlineStr">
        <is>
          <t>ED</t>
        </is>
      </c>
      <c r="B324" s="79" t="n">
        <v>7</v>
      </c>
      <c r="C324" s="79" t="n">
        <v>1.29</v>
      </c>
      <c r="D324" s="79" t="n">
        <v>42.857</v>
      </c>
      <c r="E324" s="79" t="n">
        <v>1.029</v>
      </c>
      <c r="F324" s="79" t="inlineStr">
        <is>
          <t>2024/02/15</t>
        </is>
      </c>
      <c r="G324" s="79" t="n"/>
      <c r="H324" s="79" t="inlineStr">
        <is>
          <t>2024/02/16</t>
        </is>
      </c>
      <c r="I324" s="79" t="n"/>
      <c r="J324" s="23">
        <f>IF(ISBLANK(F324:G324),,IF(COUNTA(F324)=0,G324,F324))</f>
        <v/>
      </c>
      <c r="K324" s="6">
        <f>IFERROR(__xludf.DUMMYFUNCTION("if(isblank(J324),,index(googlefinance(A324,K$2,J324-1),2,2))"),86.84)</f>
        <v/>
      </c>
      <c r="L324" s="37">
        <f>IF(ISBLANK(H324:I324),,IF(COUNTA(H324)=0,I324,H324))</f>
        <v/>
      </c>
      <c r="M324" s="7">
        <f>IFERROR(__xludf.DUMMYFUNCTION("if(isblank(L324),, index(googlefinance(A324,M$2,L324-1),2,2))"),88.22)</f>
        <v/>
      </c>
      <c r="N324" s="8">
        <f>IFERROR(__xludf.DUMMYFUNCTION("if(isblank(A324),,googlefinance(A324))"),88.94)</f>
        <v/>
      </c>
      <c r="O324" s="38">
        <f>IF(ISBLANK(J324),,IF(ISBLANK(L324),"Ongoing","Completed"))</f>
        <v/>
      </c>
      <c r="P324" s="70">
        <f>IF(ISBLANK(A324),,IF(AND(COUNTA(F324)=1,S324&gt;0),"Profit",IF(AND(COUNTA(G324)=1,S324&lt;0),"Profit","Loss")))</f>
        <v/>
      </c>
      <c r="Q324" s="31">
        <f>IF(ISBLANK(T324),,IF(P324="Profit",IF(S324&lt;0,T324*-S324,T324*S324),IF(S324&gt;0,T324*-S324,T324*S324)))</f>
        <v/>
      </c>
      <c r="R324" s="59">
        <f>IF($Q324&gt;0, TRUE, FALSE)</f>
        <v/>
      </c>
      <c r="S324" s="59">
        <f>IF(ISBLANK(J324),,IF(ISBLANK(L324),N324-K324,M324-K324))</f>
        <v/>
      </c>
      <c r="T324" s="61">
        <f>IF(ISBLANK(J324),,ROUNDDOWN(T$1/K324,0))</f>
        <v/>
      </c>
      <c r="U324" s="63" t="n"/>
      <c r="V324" s="63" t="n"/>
      <c r="W324" s="63" t="n"/>
      <c r="X324" s="63" t="n"/>
      <c r="Y324" s="63" t="n"/>
      <c r="Z324" s="63" t="n"/>
      <c r="AA324" s="63" t="n"/>
    </row>
    <row r="325" hidden="1" ht="15.75" customHeight="1" s="56">
      <c r="A325" s="63" t="inlineStr">
        <is>
          <t>MAA</t>
        </is>
      </c>
      <c r="B325" s="79" t="n">
        <v>11</v>
      </c>
      <c r="C325" s="79" t="n">
        <v>22.9</v>
      </c>
      <c r="D325" s="79" t="n">
        <v>36.364</v>
      </c>
      <c r="E325" s="79" t="n">
        <v>1.088</v>
      </c>
      <c r="F325" s="79" t="inlineStr">
        <is>
          <t>2024/02/15</t>
        </is>
      </c>
      <c r="G325" s="79" t="n"/>
      <c r="H325" s="79" t="inlineStr">
        <is>
          <t>2024/02/22</t>
        </is>
      </c>
      <c r="I325" s="79" t="n"/>
      <c r="J325" s="23">
        <f>IF(ISBLANK(F325:G325),,IF(COUNTA(F325)=0,G325,F325))</f>
        <v/>
      </c>
      <c r="K325" s="6">
        <f>IFERROR(__xludf.DUMMYFUNCTION("if(isblank(J325),,index(googlefinance(A325,K$2,J325-1),2,2))"),125.09)</f>
        <v/>
      </c>
      <c r="L325" s="37">
        <f>IF(ISBLANK(H325:I325),,IF(COUNTA(H325)=0,I325,H325))</f>
        <v/>
      </c>
      <c r="M325" s="7">
        <f>IFERROR(__xludf.DUMMYFUNCTION("if(isblank(L325),, index(googlefinance(A325,M$2,L325-1),2,2))"),127.67)</f>
        <v/>
      </c>
      <c r="N325" s="8">
        <f>IFERROR(__xludf.DUMMYFUNCTION("if(isblank(A325),,googlefinance(A325))"),130.34)</f>
        <v/>
      </c>
      <c r="O325" s="38">
        <f>IF(ISBLANK(J325),,IF(ISBLANK(L325),"Ongoing","Completed"))</f>
        <v/>
      </c>
      <c r="P325" s="70">
        <f>IF(ISBLANK(A325),,IF(AND(COUNTA(F325)=1,S325&gt;0),"Profit",IF(AND(COUNTA(G325)=1,S325&lt;0),"Profit","Loss")))</f>
        <v/>
      </c>
      <c r="Q325" s="31">
        <f>IF(ISBLANK(T325),,IF(P325="Profit",IF(S325&lt;0,T325*-S325,T325*S325),IF(S325&gt;0,T325*-S325,T325*S325)))</f>
        <v/>
      </c>
      <c r="R325" s="59">
        <f>IF($Q325&gt;0, TRUE, FALSE)</f>
        <v/>
      </c>
      <c r="S325" s="59">
        <f>IF(ISBLANK(J325),,IF(ISBLANK(L325),N325-K325,M325-K325))</f>
        <v/>
      </c>
      <c r="T325" s="61">
        <f>IF(ISBLANK(J325),,ROUNDDOWN(T$1/K325,0))</f>
        <v/>
      </c>
      <c r="U325" s="63" t="n"/>
      <c r="V325" s="63" t="n"/>
      <c r="W325" s="63" t="n"/>
      <c r="X325" s="63" t="n"/>
      <c r="Y325" s="63" t="n"/>
      <c r="Z325" s="63" t="n"/>
      <c r="AA325" s="63" t="n"/>
    </row>
    <row r="326" hidden="1" ht="15.75" customHeight="1" s="56">
      <c r="A326" s="63" t="inlineStr">
        <is>
          <t>VRSN</t>
        </is>
      </c>
      <c r="B326" s="79" t="n">
        <v>13</v>
      </c>
      <c r="C326" s="79" t="n">
        <v>375.52</v>
      </c>
      <c r="D326" s="79" t="n">
        <v>38.462</v>
      </c>
      <c r="E326" s="79" t="n">
        <v>3.152</v>
      </c>
      <c r="F326" s="79" t="inlineStr">
        <is>
          <t>2024/02/15</t>
        </is>
      </c>
      <c r="G326" s="79" t="n"/>
      <c r="H326" s="79" t="inlineStr">
        <is>
          <t>2024/02/16</t>
        </is>
      </c>
      <c r="I326" s="79" t="n"/>
      <c r="J326" s="23">
        <f>IF(ISBLANK(F326:G326),,IF(COUNTA(F326)=0,G326,F326))</f>
        <v/>
      </c>
      <c r="K326" s="6">
        <f>IFERROR(__xludf.DUMMYFUNCTION("if(isblank(J326),,index(googlefinance(A326,K$2,J326-1),2,2))"),195.33)</f>
        <v/>
      </c>
      <c r="L326" s="37">
        <f>IF(ISBLANK(H326:I326),,IF(COUNTA(H326)=0,I326,H326))</f>
        <v/>
      </c>
      <c r="M326" s="7">
        <f>IFERROR(__xludf.DUMMYFUNCTION("if(isblank(L326),, index(googlefinance(A326,M$2,L326-1),2,2))"),197.82)</f>
        <v/>
      </c>
      <c r="N326" s="8">
        <f>IFERROR(__xludf.DUMMYFUNCTION("if(isblank(A326),,googlefinance(A326))"),190.25)</f>
        <v/>
      </c>
      <c r="O326" s="38">
        <f>IF(ISBLANK(J326),,IF(ISBLANK(L326),"Ongoing","Completed"))</f>
        <v/>
      </c>
      <c r="P326" s="70">
        <f>IF(ISBLANK(A326),,IF(AND(COUNTA(F326)=1,S326&gt;0),"Profit",IF(AND(COUNTA(G326)=1,S326&lt;0),"Profit","Loss")))</f>
        <v/>
      </c>
      <c r="Q326" s="31">
        <f>IF(ISBLANK(T326),,IF(P326="Profit",IF(S326&lt;0,T326*-S326,T326*S326),IF(S326&gt;0,T326*-S326,T326*S326)))</f>
        <v/>
      </c>
      <c r="R326" s="59">
        <f>IF($Q326&gt;0, TRUE, FALSE)</f>
        <v/>
      </c>
      <c r="S326" s="59">
        <f>IF(ISBLANK(J326),,IF(ISBLANK(L326),N326-K326,M326-K326))</f>
        <v/>
      </c>
      <c r="T326" s="61">
        <f>IF(ISBLANK(J326),,ROUNDDOWN(T$1/K326,0))</f>
        <v/>
      </c>
      <c r="U326" s="63" t="n"/>
      <c r="V326" s="63" t="n"/>
      <c r="W326" s="63" t="n"/>
      <c r="X326" s="63" t="n"/>
      <c r="Y326" s="63" t="n"/>
      <c r="Z326" s="63" t="n"/>
      <c r="AA326" s="63" t="n"/>
    </row>
    <row r="327" hidden="1" ht="15.75" customHeight="1" s="56">
      <c r="A327" s="63" t="inlineStr">
        <is>
          <t>WST</t>
        </is>
      </c>
      <c r="B327" s="79" t="n">
        <v>9</v>
      </c>
      <c r="C327" s="79" t="n">
        <v>195.21</v>
      </c>
      <c r="D327" s="79" t="n">
        <v>44.444</v>
      </c>
      <c r="E327" s="79" t="n">
        <v>2.335</v>
      </c>
      <c r="F327" s="79" t="n"/>
      <c r="G327" s="79" t="inlineStr">
        <is>
          <t>2024/02/15</t>
        </is>
      </c>
      <c r="H327" s="79" t="n"/>
      <c r="I327" s="79" t="inlineStr">
        <is>
          <t>2024/03/07</t>
        </is>
      </c>
      <c r="J327" s="23">
        <f>IF(ISBLANK(F327:G327),,IF(COUNTA(F327)=0,G327,F327))</f>
        <v/>
      </c>
      <c r="K327" s="6">
        <f>IFERROR(__xludf.DUMMYFUNCTION("if(isblank(J327),,index(googlefinance(A327,K$2,J327-1),2,2))"),408.19)</f>
        <v/>
      </c>
      <c r="L327" s="37">
        <f>IF(ISBLANK(H327:I327),,IF(COUNTA(H327)=0,I327,H327))</f>
        <v/>
      </c>
      <c r="M327" s="7">
        <f>IFERROR(__xludf.DUMMYFUNCTION("if(isblank(L327),, index(googlefinance(A327,M$2,L327-1),2,2))"),354.31)</f>
        <v/>
      </c>
      <c r="N327" s="8">
        <f>IFERROR(__xludf.DUMMYFUNCTION("if(isblank(A327),,googlefinance(A327))"),387.62)</f>
        <v/>
      </c>
      <c r="O327" s="38">
        <f>IF(ISBLANK(J327),,IF(ISBLANK(L327),"Ongoing","Completed"))</f>
        <v/>
      </c>
      <c r="P327" s="70">
        <f>IF(ISBLANK(A327),,IF(AND(COUNTA(F327)=1,S327&gt;0),"Profit",IF(AND(COUNTA(G327)=1,S327&lt;0),"Profit","Loss")))</f>
        <v/>
      </c>
      <c r="Q327" s="31">
        <f>IF(ISBLANK(T327),,IF(P327="Profit",IF(S327&lt;0,T327*-S327,T327*S327),IF(S327&gt;0,T327*-S327,T327*S327)))</f>
        <v/>
      </c>
      <c r="R327" s="59">
        <f>IF($Q327&gt;0, TRUE, FALSE)</f>
        <v/>
      </c>
      <c r="S327" s="59">
        <f>IF(ISBLANK(J327),,IF(ISBLANK(L327),N327-K327,M327-K327))</f>
        <v/>
      </c>
      <c r="T327" s="61">
        <f>IF(ISBLANK(J327),,ROUNDDOWN(T$1/K327,0))</f>
        <v/>
      </c>
      <c r="U327" s="63" t="n"/>
      <c r="V327" s="63" t="n"/>
      <c r="W327" s="63" t="n"/>
      <c r="X327" s="63" t="n"/>
      <c r="Y327" s="63" t="n"/>
      <c r="Z327" s="63" t="n"/>
      <c r="AA327" s="63" t="n"/>
    </row>
    <row r="328" hidden="1" ht="15.75" customHeight="1" s="56">
      <c r="A328" s="63" t="inlineStr">
        <is>
          <t>XRAY</t>
        </is>
      </c>
      <c r="B328" s="79" t="n">
        <v>10</v>
      </c>
      <c r="C328" s="79" t="n">
        <v>15.74</v>
      </c>
      <c r="D328" s="79" t="n">
        <v>40</v>
      </c>
      <c r="E328" s="79" t="n">
        <v>1.124</v>
      </c>
      <c r="F328" s="79" t="inlineStr">
        <is>
          <t>2024/02/15</t>
        </is>
      </c>
      <c r="G328" s="79" t="n"/>
      <c r="H328" s="80" t="n">
        <v>45343</v>
      </c>
      <c r="I328" s="79" t="n"/>
      <c r="J328" s="23">
        <f>IF(ISBLANK(F328:G328),,IF(COUNTA(F328)=0,G328,F328))</f>
        <v/>
      </c>
      <c r="K328" s="6">
        <f>IFERROR(__xludf.DUMMYFUNCTION("if(isblank(J328),,index(googlefinance(A328,K$2,J328-1),2,2))"),32.67)</f>
        <v/>
      </c>
      <c r="L328" s="37">
        <f>IF(ISBLANK(H328:I328),,IF(COUNTA(H328)=0,I328,H328))</f>
        <v/>
      </c>
      <c r="M328" s="7">
        <f>IFERROR(__xludf.DUMMYFUNCTION("if(isblank(L328),, index(googlefinance(A328,M$2,L328-1),2,2))"),33.75)</f>
        <v/>
      </c>
      <c r="N328" s="8">
        <f>IFERROR(__xludf.DUMMYFUNCTION("if(isblank(A328),,googlefinance(A328))"),32.84)</f>
        <v/>
      </c>
      <c r="O328" s="38">
        <f>IF(ISBLANK(J328),,IF(ISBLANK(L328),"Ongoing","Completed"))</f>
        <v/>
      </c>
      <c r="P328" s="70">
        <f>IF(ISBLANK(A328),,IF(AND(COUNTA(F328)=1,S328&gt;0),"Profit",IF(AND(COUNTA(G328)=1,S328&lt;0),"Profit","Loss")))</f>
        <v/>
      </c>
      <c r="Q328" s="31">
        <f>IF(ISBLANK(T328),,IF(P328="Profit",IF(S328&lt;0,T328*-S328,T328*S328),IF(S328&gt;0,T328*-S328,T328*S328)))</f>
        <v/>
      </c>
      <c r="R328" s="59">
        <f>IF($Q328&gt;0, TRUE, FALSE)</f>
        <v/>
      </c>
      <c r="S328" s="59">
        <f>IF(ISBLANK(J328),,IF(ISBLANK(L328),N328-K328,M328-K328))</f>
        <v/>
      </c>
      <c r="T328" s="61">
        <f>IF(ISBLANK(J328),,ROUNDDOWN(T$1/K328,0))</f>
        <v/>
      </c>
      <c r="U328" s="63" t="n"/>
      <c r="V328" s="63" t="n"/>
      <c r="W328" s="63" t="n"/>
      <c r="X328" s="63" t="n"/>
      <c r="Y328" s="63" t="n"/>
      <c r="Z328" s="63" t="n"/>
      <c r="AA328" s="63" t="n"/>
    </row>
    <row r="329" hidden="1" ht="15.75" customHeight="1" s="56">
      <c r="A329" s="63" t="inlineStr">
        <is>
          <t>CAG</t>
        </is>
      </c>
      <c r="B329" s="79" t="n">
        <v>15</v>
      </c>
      <c r="C329" s="79" t="n">
        <v>98.16</v>
      </c>
      <c r="D329" s="79" t="n">
        <v>46.667</v>
      </c>
      <c r="E329" s="79" t="n">
        <v>1.57</v>
      </c>
      <c r="F329" s="80" t="n">
        <v>45342</v>
      </c>
      <c r="G329" s="79" t="n"/>
      <c r="H329" s="79" t="inlineStr">
        <is>
          <t>2024/03/01</t>
        </is>
      </c>
      <c r="I329" s="79" t="n"/>
      <c r="J329" s="23">
        <f>IF(ISBLANK(F329:G329),,IF(COUNTA(F329)=0,G329,F329))</f>
        <v/>
      </c>
      <c r="K329" s="6">
        <f>IFERROR(__xludf.DUMMYFUNCTION("if(isblank(J329),,index(googlefinance(A329,K$2,J329-1),2,2))"),28.48)</f>
        <v/>
      </c>
      <c r="L329" s="37">
        <f>IF(ISBLANK(H329:I329),,IF(COUNTA(H329)=0,I329,H329))</f>
        <v/>
      </c>
      <c r="M329" s="7">
        <f>IFERROR(__xludf.DUMMYFUNCTION("if(isblank(L329),, index(googlefinance(A329,M$2,L329-1),2,2))"),28.08)</f>
        <v/>
      </c>
      <c r="N329" s="8">
        <f>IFERROR(__xludf.DUMMYFUNCTION("if(isblank(A329),,googlefinance(A329))"),28.07)</f>
        <v/>
      </c>
      <c r="O329" s="38">
        <f>IF(ISBLANK(J329),,IF(ISBLANK(L329),"Ongoing","Completed"))</f>
        <v/>
      </c>
      <c r="P329" s="70">
        <f>IF(ISBLANK(A329),,IF(AND(COUNTA(F329)=1,S329&gt;0),"Profit",IF(AND(COUNTA(G329)=1,S329&lt;0),"Profit","Loss")))</f>
        <v/>
      </c>
      <c r="Q329" s="31">
        <f>IF(ISBLANK(T329),,IF(P329="Profit",IF(S329&lt;0,T329*-S329,T329*S329),IF(S329&gt;0,T329*-S329,T329*S329)))</f>
        <v/>
      </c>
      <c r="R329" s="59">
        <f>IF($Q329&gt;0, TRUE, FALSE)</f>
        <v/>
      </c>
      <c r="S329" s="59">
        <f>IF(ISBLANK(J329),,IF(ISBLANK(L329),N329-K329,M329-K329))</f>
        <v/>
      </c>
      <c r="T329" s="61">
        <f>IF(ISBLANK(J329),,ROUNDDOWN(T$1/K329,0))</f>
        <v/>
      </c>
      <c r="U329" s="63" t="n"/>
      <c r="V329" s="63" t="n"/>
      <c r="W329" s="63" t="n"/>
      <c r="X329" s="63" t="n"/>
      <c r="Y329" s="63" t="n"/>
      <c r="Z329" s="63" t="n"/>
      <c r="AA329" s="63" t="n"/>
    </row>
    <row r="330" hidden="1" ht="15.75" customHeight="1" s="56">
      <c r="A330" s="63" t="inlineStr">
        <is>
          <t>SLB</t>
        </is>
      </c>
      <c r="B330" s="79" t="n">
        <v>13</v>
      </c>
      <c r="C330" s="79" t="n">
        <v>330.23</v>
      </c>
      <c r="D330" s="79" t="n">
        <v>38.462</v>
      </c>
      <c r="E330" s="79" t="n">
        <v>2.245</v>
      </c>
      <c r="F330" s="80" t="n">
        <v>45342</v>
      </c>
      <c r="G330" s="79" t="n"/>
      <c r="H330" s="81" t="inlineStr">
        <is>
          <t>2024/02/26</t>
        </is>
      </c>
      <c r="I330" s="79" t="n"/>
      <c r="J330" s="23">
        <f>IF(ISBLANK(F330:G330),,IF(COUNTA(F330)=0,G330,F330))</f>
        <v/>
      </c>
      <c r="K330" s="6">
        <f>IFERROR(__xludf.DUMMYFUNCTION("if(isblank(J330),,index(googlefinance(A330,K$2,J330-1),2,2))"),48.52)</f>
        <v/>
      </c>
      <c r="L330" s="37">
        <f>IF(ISBLANK(H330:I330),,IF(COUNTA(H330)=0,I330,H330))</f>
        <v/>
      </c>
      <c r="M330" s="7">
        <f>IFERROR(__xludf.DUMMYFUNCTION("if(isblank(L330),, index(googlefinance(A330,M$2,L330-1),2,2))"),48.56)</f>
        <v/>
      </c>
      <c r="N330" s="8">
        <f>IFERROR(__xludf.DUMMYFUNCTION("if(isblank(A330),,googlefinance(A330))"),52.87)</f>
        <v/>
      </c>
      <c r="O330" s="38">
        <f>IF(ISBLANK(J330),,IF(ISBLANK(L330),"Ongoing","Completed"))</f>
        <v/>
      </c>
      <c r="P330" s="70">
        <f>IF(ISBLANK(A330),,IF(AND(COUNTA(F330)=1,S330&gt;0),"Profit",IF(AND(COUNTA(G330)=1,S330&lt;0),"Profit","Loss")))</f>
        <v/>
      </c>
      <c r="Q330" s="31">
        <f>IF(ISBLANK(T330),,IF(P330="Profit",IF(S330&lt;0,T330*-S330,T330*S330),IF(S330&gt;0,T330*-S330,T330*S330)))</f>
        <v/>
      </c>
      <c r="R330" s="59">
        <f>IF($Q330&gt;0, TRUE, FALSE)</f>
        <v/>
      </c>
      <c r="S330" s="59">
        <f>IF(ISBLANK(J330),,IF(ISBLANK(L330),N330-K330,M330-K330))</f>
        <v/>
      </c>
      <c r="T330" s="61">
        <f>IF(ISBLANK(J330),,ROUNDDOWN(T$1/K330,0))</f>
        <v/>
      </c>
      <c r="U330" s="63" t="n"/>
      <c r="V330" s="63" t="n"/>
      <c r="W330" s="63" t="n"/>
      <c r="X330" s="63" t="n"/>
      <c r="Y330" s="63" t="n"/>
      <c r="Z330" s="63" t="n"/>
      <c r="AA330" s="63" t="n"/>
    </row>
    <row r="331" hidden="1" ht="15.75" customHeight="1" s="56">
      <c r="A331" s="63" t="inlineStr">
        <is>
          <t>UNP</t>
        </is>
      </c>
      <c r="B331" s="79" t="n">
        <v>12</v>
      </c>
      <c r="C331" s="79" t="n">
        <v>122.03</v>
      </c>
      <c r="D331" s="79" t="n">
        <v>25</v>
      </c>
      <c r="E331" s="79" t="n">
        <v>1.795</v>
      </c>
      <c r="F331" s="80" t="n">
        <v>45342</v>
      </c>
      <c r="G331" s="79" t="n"/>
      <c r="H331" s="80" t="n">
        <v>45343</v>
      </c>
      <c r="I331" s="79" t="n"/>
      <c r="J331" s="23">
        <f>IF(ISBLANK(F331:G331),,IF(COUNTA(F331)=0,G331,F331))</f>
        <v/>
      </c>
      <c r="K331" s="6">
        <f>IFERROR(__xludf.DUMMYFUNCTION("if(isblank(J331),,index(googlefinance(A331,K$2,J331-1),2,2))"),247.14)</f>
        <v/>
      </c>
      <c r="L331" s="37">
        <f>IF(ISBLANK(H331:I331),,IF(COUNTA(H331)=0,I331,H331))</f>
        <v/>
      </c>
      <c r="M331" s="7">
        <f>IFERROR(__xludf.DUMMYFUNCTION("if(isblank(L331),, index(googlefinance(A331,M$2,L331-1),2,2))"),247.14)</f>
        <v/>
      </c>
      <c r="N331" s="8">
        <f>IFERROR(__xludf.DUMMYFUNCTION("if(isblank(A331),,googlefinance(A331))"),244.13)</f>
        <v/>
      </c>
      <c r="O331" s="38">
        <f>IF(ISBLANK(J331),,IF(ISBLANK(L331),"Ongoing","Completed"))</f>
        <v/>
      </c>
      <c r="P331" s="70">
        <f>IF(ISBLANK(A331),,IF(AND(COUNTA(F331)=1,S331&gt;0),"Profit",IF(AND(COUNTA(G331)=1,S331&lt;0),"Profit","Loss")))</f>
        <v/>
      </c>
      <c r="Q331" s="31">
        <f>IF(ISBLANK(T331),,IF(P331="Profit",IF(S331&lt;0,T331*-S331,T331*S331),IF(S331&gt;0,T331*-S331,T331*S331)))</f>
        <v/>
      </c>
      <c r="R331" s="59">
        <f>IF($Q331&gt;0, TRUE, FALSE)</f>
        <v/>
      </c>
      <c r="S331" s="59">
        <f>IF(ISBLANK(J331),,IF(ISBLANK(L331),N331-K331,M331-K331))</f>
        <v/>
      </c>
      <c r="T331" s="61">
        <f>IF(ISBLANK(J331),,ROUNDDOWN(T$1/K331,0))</f>
        <v/>
      </c>
      <c r="U331" s="63" t="n"/>
      <c r="V331" s="63" t="n"/>
      <c r="W331" s="63" t="n"/>
      <c r="X331" s="63" t="n"/>
      <c r="Y331" s="63" t="n"/>
      <c r="Z331" s="63" t="n"/>
      <c r="AA331" s="63" t="n"/>
    </row>
    <row r="332" hidden="1" ht="15.75" customHeight="1" s="56">
      <c r="A332" s="63" t="inlineStr">
        <is>
          <t>AXON</t>
        </is>
      </c>
      <c r="B332" s="79" t="n">
        <v>17</v>
      </c>
      <c r="C332" s="79" t="n">
        <v>217.85</v>
      </c>
      <c r="D332" s="79" t="n">
        <v>29.412</v>
      </c>
      <c r="E332" s="79" t="n">
        <v>1.696</v>
      </c>
      <c r="F332" s="79" t="n"/>
      <c r="G332" s="80" t="n">
        <v>45343</v>
      </c>
      <c r="H332" s="79" t="n"/>
      <c r="I332" s="79" t="inlineStr">
        <is>
          <t>2024/02/22</t>
        </is>
      </c>
      <c r="J332" s="23">
        <f>IF(ISBLANK(F332:G332),,IF(COUNTA(F332)=0,G332,F332))</f>
        <v/>
      </c>
      <c r="K332" s="6">
        <f>IFERROR(__xludf.DUMMYFUNCTION("if(isblank(J332),,index(googlefinance(A332,K$2,J332-1),2,2))"),267.7)</f>
        <v/>
      </c>
      <c r="L332" s="37">
        <f>IF(ISBLANK(H332:I332),,IF(COUNTA(H332)=0,I332,H332))</f>
        <v/>
      </c>
      <c r="M332" s="7">
        <f>IFERROR(__xludf.DUMMYFUNCTION("if(isblank(L332),, index(googlefinance(A332,M$2,L332-1),2,2))"),263.73)</f>
        <v/>
      </c>
      <c r="N332" s="8">
        <f>IFERROR(__xludf.DUMMYFUNCTION("if(isblank(A332),,googlefinance(A332))"),307.65)</f>
        <v/>
      </c>
      <c r="O332" s="38">
        <f>IF(ISBLANK(J332),,IF(ISBLANK(L332),"Ongoing","Completed"))</f>
        <v/>
      </c>
      <c r="P332" s="70">
        <f>IF(ISBLANK(A332),,IF(AND(COUNTA(F332)=1,S332&gt;0),"Profit",IF(AND(COUNTA(G332)=1,S332&lt;0),"Profit","Loss")))</f>
        <v/>
      </c>
      <c r="Q332" s="31">
        <f>IF(ISBLANK(T332),,IF(P332="Profit",IF(S332&lt;0,T332*-S332,T332*S332),IF(S332&gt;0,T332*-S332,T332*S332)))</f>
        <v/>
      </c>
      <c r="R332" s="59">
        <f>IF($Q332&gt;0, TRUE, FALSE)</f>
        <v/>
      </c>
      <c r="S332" s="59">
        <f>IF(ISBLANK(J332),,IF(ISBLANK(L332),N332-K332,M332-K332))</f>
        <v/>
      </c>
      <c r="T332" s="61">
        <f>IF(ISBLANK(J332),,ROUNDDOWN(T$1/K332,0))</f>
        <v/>
      </c>
      <c r="U332" s="63" t="n"/>
      <c r="V332" s="63" t="n"/>
      <c r="W332" s="63" t="n"/>
      <c r="X332" s="63" t="n"/>
      <c r="Y332" s="63" t="n"/>
      <c r="Z332" s="63" t="n"/>
      <c r="AA332" s="63" t="n"/>
    </row>
    <row r="333" hidden="1" ht="15.75" customHeight="1" s="56">
      <c r="A333" s="63" t="inlineStr">
        <is>
          <t>DASH</t>
        </is>
      </c>
      <c r="B333" s="79" t="n">
        <v>8</v>
      </c>
      <c r="C333" s="79" t="n">
        <v>479.08</v>
      </c>
      <c r="D333" s="79" t="n">
        <v>50</v>
      </c>
      <c r="E333" s="79" t="n">
        <v>5.628</v>
      </c>
      <c r="F333" s="79" t="n"/>
      <c r="G333" s="80" t="n">
        <v>45343</v>
      </c>
      <c r="H333" s="79" t="n"/>
      <c r="I333" s="79" t="inlineStr">
        <is>
          <t>2024/02/22</t>
        </is>
      </c>
      <c r="J333" s="23">
        <f>IF(ISBLANK(F333:G333),,IF(COUNTA(F333)=0,G333,F333))</f>
        <v/>
      </c>
      <c r="K333" s="6">
        <f>IFERROR(__xludf.DUMMYFUNCTION("if(isblank(J333),,index(googlefinance(A333,K$2,J333-1),2,2))"),115.48)</f>
        <v/>
      </c>
      <c r="L333" s="37">
        <f>IF(ISBLANK(H333:I333),,IF(COUNTA(H333)=0,I333,H333))</f>
        <v/>
      </c>
      <c r="M333" s="7">
        <f>IFERROR(__xludf.DUMMYFUNCTION("if(isblank(L333),, index(googlefinance(A333,M$2,L333-1),2,2))"),114.69)</f>
        <v/>
      </c>
      <c r="N333" s="8">
        <f>IFERROR(__xludf.DUMMYFUNCTION("if(isblank(A333),,googlefinance(A333))"),130.55)</f>
        <v/>
      </c>
      <c r="O333" s="38">
        <f>IF(ISBLANK(J333),,IF(ISBLANK(L333),"Ongoing","Completed"))</f>
        <v/>
      </c>
      <c r="P333" s="70">
        <f>IF(ISBLANK(A333),,IF(AND(COUNTA(F333)=1,S333&gt;0),"Profit",IF(AND(COUNTA(G333)=1,S333&lt;0),"Profit","Loss")))</f>
        <v/>
      </c>
      <c r="Q333" s="31">
        <f>IF(ISBLANK(T333),,IF(P333="Profit",IF(S333&lt;0,T333*-S333,T333*S333),IF(S333&gt;0,T333*-S333,T333*S333)))</f>
        <v/>
      </c>
      <c r="R333" s="59">
        <f>IF($Q333&gt;0, TRUE, FALSE)</f>
        <v/>
      </c>
      <c r="S333" s="59">
        <f>IF(ISBLANK(J333),,IF(ISBLANK(L333),N333-K333,M333-K333))</f>
        <v/>
      </c>
      <c r="T333" s="61">
        <f>IF(ISBLANK(J333),,ROUNDDOWN(T$1/K333,0))</f>
        <v/>
      </c>
      <c r="U333" s="63" t="n"/>
      <c r="V333" s="63" t="n"/>
      <c r="W333" s="63" t="n"/>
      <c r="X333" s="63" t="n"/>
      <c r="Y333" s="63" t="n"/>
      <c r="Z333" s="63" t="n"/>
      <c r="AA333" s="63" t="n"/>
    </row>
    <row r="334" hidden="1" ht="15.75" customHeight="1" s="56">
      <c r="A334" s="63" t="inlineStr">
        <is>
          <t>GL</t>
        </is>
      </c>
      <c r="B334" s="79" t="n">
        <v>14</v>
      </c>
      <c r="C334" s="79" t="n">
        <v>66.42</v>
      </c>
      <c r="D334" s="79" t="n">
        <v>21.429</v>
      </c>
      <c r="E334" s="79" t="n">
        <v>1.247</v>
      </c>
      <c r="F334" s="79" t="n"/>
      <c r="G334" s="79" t="inlineStr">
        <is>
          <t>2024/02/22</t>
        </is>
      </c>
      <c r="H334" s="79" t="n"/>
      <c r="I334" s="79" t="inlineStr">
        <is>
          <t>2024/02/28</t>
        </is>
      </c>
      <c r="J334" s="23">
        <f>IF(ISBLANK(F334:G334),,IF(COUNTA(F334)=0,G334,F334))</f>
        <v/>
      </c>
      <c r="K334" s="6">
        <f>IFERROR(__xludf.DUMMYFUNCTION("if(isblank(J334),,index(googlefinance(A334,K$2,J334-1),2,2))"),126.59)</f>
        <v/>
      </c>
      <c r="L334" s="37">
        <f>IF(ISBLANK(H334:I334),,IF(COUNTA(H334)=0,I334,H334))</f>
        <v/>
      </c>
      <c r="M334" s="7">
        <f>IFERROR(__xludf.DUMMYFUNCTION("if(isblank(L334),, index(googlefinance(A334,M$2,L334-1),2,2))"),128.2)</f>
        <v/>
      </c>
      <c r="N334" s="8">
        <f>IFERROR(__xludf.DUMMYFUNCTION("if(isblank(A334),,googlefinance(A334))"),116.03)</f>
        <v/>
      </c>
      <c r="O334" s="38">
        <f>IF(ISBLANK(J334),,IF(ISBLANK(L334),"Ongoing","Completed"))</f>
        <v/>
      </c>
      <c r="P334" s="70">
        <f>IF(ISBLANK(A334),,IF(AND(COUNTA(F334)=1,S334&gt;0),"Profit",IF(AND(COUNTA(G334)=1,S334&lt;0),"Profit","Loss")))</f>
        <v/>
      </c>
      <c r="Q334" s="31">
        <f>IF(ISBLANK(T334),,IF(P334="Profit",IF(S334&lt;0,T334*-S334,T334*S334),IF(S334&gt;0,T334*-S334,T334*S334)))</f>
        <v/>
      </c>
      <c r="R334" s="59">
        <f>IF($Q334&gt;0, TRUE, FALSE)</f>
        <v/>
      </c>
      <c r="S334" s="59">
        <f>IF(ISBLANK(J334),,IF(ISBLANK(L334),N334-K334,M334-K334))</f>
        <v/>
      </c>
      <c r="T334" s="61">
        <f>IF(ISBLANK(J334),,ROUNDDOWN(T$1/K334,0))</f>
        <v/>
      </c>
      <c r="U334" s="63" t="n"/>
      <c r="V334" s="63" t="n"/>
      <c r="W334" s="63" t="n"/>
      <c r="X334" s="63" t="n"/>
      <c r="Y334" s="63" t="n"/>
      <c r="Z334" s="63" t="n"/>
      <c r="AA334" s="63" t="n"/>
    </row>
    <row r="335" hidden="1" ht="15.75" customHeight="1" s="56">
      <c r="A335" s="63" t="inlineStr">
        <is>
          <t>GL</t>
        </is>
      </c>
      <c r="B335" s="79" t="n">
        <v>14</v>
      </c>
      <c r="C335" s="79" t="n">
        <v>66.42</v>
      </c>
      <c r="D335" s="79" t="n">
        <v>21.429</v>
      </c>
      <c r="E335" s="79" t="n">
        <v>1.247</v>
      </c>
      <c r="F335" s="79" t="n"/>
      <c r="G335" s="79" t="inlineStr">
        <is>
          <t>2024/02/24</t>
        </is>
      </c>
      <c r="H335" s="79" t="n"/>
      <c r="I335" s="79" t="inlineStr">
        <is>
          <t>2024/02/28</t>
        </is>
      </c>
      <c r="J335" s="23">
        <f>IF(ISBLANK(F335:G335),,IF(COUNTA(F335)=0,G335,F335))</f>
        <v/>
      </c>
      <c r="K335" s="6">
        <f>IFERROR(__xludf.DUMMYFUNCTION("if(isblank(J335),,index(googlefinance(A335,K$2,J335-1),2,2))"),126.9)</f>
        <v/>
      </c>
      <c r="L335" s="37">
        <f>IF(ISBLANK(H335:I335),,IF(COUNTA(H335)=0,I335,H335))</f>
        <v/>
      </c>
      <c r="M335" s="7">
        <f>IFERROR(__xludf.DUMMYFUNCTION("if(isblank(L335),, index(googlefinance(A335,M$2,L335-1),2,2))"),128.2)</f>
        <v/>
      </c>
      <c r="N335" s="8">
        <f>IFERROR(__xludf.DUMMYFUNCTION("if(isblank(A335),,googlefinance(A335))"),116.03)</f>
        <v/>
      </c>
      <c r="O335" s="38">
        <f>IF(ISBLANK(J335),,IF(ISBLANK(L335),"Ongoing","Completed"))</f>
        <v/>
      </c>
      <c r="P335" s="70">
        <f>IF(ISBLANK(A335),,IF(AND(COUNTA(F335)=1,S335&gt;0),"Profit",IF(AND(COUNTA(G335)=1,S335&lt;0),"Profit","Loss")))</f>
        <v/>
      </c>
      <c r="Q335" s="31">
        <f>IF(ISBLANK(T335),,IF(P335="Profit",IF(S335&lt;0,T335*-S335,T335*S335),IF(S335&gt;0,T335*-S335,T335*S335)))</f>
        <v/>
      </c>
      <c r="R335" s="59">
        <f>IF($Q335&gt;0, TRUE, FALSE)</f>
        <v/>
      </c>
      <c r="S335" s="59">
        <f>IF(ISBLANK(J335),,IF(ISBLANK(L335),N335-K335,M335-K335))</f>
        <v/>
      </c>
      <c r="T335" s="61">
        <f>IF(ISBLANK(J335),,ROUNDDOWN(T$1/K335,0))</f>
        <v/>
      </c>
      <c r="U335" s="63" t="n"/>
      <c r="V335" s="63" t="n"/>
      <c r="W335" s="63" t="n"/>
      <c r="X335" s="63" t="n"/>
      <c r="Y335" s="63" t="n"/>
      <c r="Z335" s="63" t="n"/>
      <c r="AA335" s="63" t="n"/>
    </row>
    <row r="336" hidden="1" ht="15.75" customHeight="1" s="56">
      <c r="A336" s="63" t="inlineStr">
        <is>
          <t>HRL</t>
        </is>
      </c>
      <c r="B336" s="79" t="n">
        <v>13</v>
      </c>
      <c r="C336" s="79" t="n">
        <v>52.32</v>
      </c>
      <c r="D336" s="79" t="n">
        <v>53.846</v>
      </c>
      <c r="E336" s="79" t="n">
        <v>1.757</v>
      </c>
      <c r="F336" s="79" t="inlineStr">
        <is>
          <t>2024/02/24</t>
        </is>
      </c>
      <c r="G336" s="79" t="n"/>
      <c r="H336" s="81" t="inlineStr">
        <is>
          <t>2024/03/13</t>
        </is>
      </c>
      <c r="I336" s="79" t="n"/>
      <c r="J336" s="23">
        <f>IF(ISBLANK(F336:G336),,IF(COUNTA(F336)=0,G336,F336))</f>
        <v/>
      </c>
      <c r="K336" s="6">
        <f>IFERROR(__xludf.DUMMYFUNCTION("if(isblank(J336),,index(googlefinance(A336,K$2,J336-1),2,2))"),30.51)</f>
        <v/>
      </c>
      <c r="L336" s="37">
        <f>IF(ISBLANK(H336:I336),,IF(COUNTA(H336)=0,I336,H336))</f>
        <v/>
      </c>
      <c r="M336" s="7">
        <f>IFERROR(__xludf.DUMMYFUNCTION("if(isblank(L336),, index(googlefinance(A336,M$2,L336-1),2,2))"),34.16)</f>
        <v/>
      </c>
      <c r="N336" s="8">
        <f>IFERROR(__xludf.DUMMYFUNCTION("if(isblank(A336),,googlefinance(A336))"),34.14)</f>
        <v/>
      </c>
      <c r="O336" s="38">
        <f>IF(ISBLANK(J336),,IF(ISBLANK(L336),"Ongoing","Completed"))</f>
        <v/>
      </c>
      <c r="P336" s="70">
        <f>IF(ISBLANK(A336),,IF(AND(COUNTA(F336)=1,S336&gt;0),"Profit",IF(AND(COUNTA(G336)=1,S336&lt;0),"Profit","Loss")))</f>
        <v/>
      </c>
      <c r="Q336" s="31">
        <f>IF(ISBLANK(T336),,IF(P336="Profit",IF(S336&lt;0,T336*-S336,T336*S336),IF(S336&gt;0,T336*-S336,T336*S336)))</f>
        <v/>
      </c>
      <c r="R336" s="59">
        <f>IF($Q336&gt;0, TRUE, FALSE)</f>
        <v/>
      </c>
      <c r="S336" s="59">
        <f>IF(ISBLANK(J336),,IF(ISBLANK(L336),N336-K336,M336-K336))</f>
        <v/>
      </c>
      <c r="T336" s="61">
        <f>IF(ISBLANK(J336),,ROUNDDOWN(T$1/K336,0))</f>
        <v/>
      </c>
      <c r="U336" s="63" t="n"/>
      <c r="V336" s="63" t="n"/>
      <c r="W336" s="63" t="n"/>
      <c r="X336" s="63" t="n"/>
      <c r="Y336" s="63" t="n"/>
      <c r="Z336" s="63" t="n"/>
      <c r="AA336" s="63" t="n"/>
    </row>
    <row r="337" hidden="1" ht="15.75" customHeight="1" s="56">
      <c r="A337" s="63" t="inlineStr">
        <is>
          <t>MRNA</t>
        </is>
      </c>
      <c r="B337" s="79" t="n">
        <v>14</v>
      </c>
      <c r="C337" s="79" t="n">
        <v>224.99</v>
      </c>
      <c r="D337" s="79" t="n">
        <v>28.571</v>
      </c>
      <c r="E337" s="79" t="n">
        <v>1.62</v>
      </c>
      <c r="F337" s="79" t="inlineStr">
        <is>
          <t>2024/02/24</t>
        </is>
      </c>
      <c r="G337" s="79" t="n"/>
      <c r="H337" s="79" t="inlineStr">
        <is>
          <t>2024/02/29</t>
        </is>
      </c>
      <c r="I337" s="79" t="n"/>
      <c r="J337" s="23">
        <f>IF(ISBLANK(F337:G337),,IF(COUNTA(F337)=0,G337,F337))</f>
        <v/>
      </c>
      <c r="K337" s="6">
        <f>IFERROR(__xludf.DUMMYFUNCTION("if(isblank(J337),,index(googlefinance(A337,K$2,J337-1),2,2))"),96.46)</f>
        <v/>
      </c>
      <c r="L337" s="37">
        <f>IF(ISBLANK(H337:I337),,IF(COUNTA(H337)=0,I337,H337))</f>
        <v/>
      </c>
      <c r="M337" s="7">
        <f>IFERROR(__xludf.DUMMYFUNCTION("if(isblank(L337),, index(googlefinance(A337,M$2,L337-1),2,2))"),97.48)</f>
        <v/>
      </c>
      <c r="N337" s="8">
        <f>IFERROR(__xludf.DUMMYFUNCTION("if(isblank(A337),,googlefinance(A337))"),103.85)</f>
        <v/>
      </c>
      <c r="O337" s="38">
        <f>IF(ISBLANK(J337),,IF(ISBLANK(L337),"Ongoing","Completed"))</f>
        <v/>
      </c>
      <c r="P337" s="70">
        <f>IF(ISBLANK(A337),,IF(AND(COUNTA(F337)=1,S337&gt;0),"Profit",IF(AND(COUNTA(G337)=1,S337&lt;0),"Profit","Loss")))</f>
        <v/>
      </c>
      <c r="Q337" s="31">
        <f>IF(ISBLANK(T337),,IF(P337="Profit",IF(S337&lt;0,T337*-S337,T337*S337),IF(S337&gt;0,T337*-S337,T337*S337)))</f>
        <v/>
      </c>
      <c r="R337" s="59">
        <f>IF($Q337&gt;0, TRUE, FALSE)</f>
        <v/>
      </c>
      <c r="S337" s="59">
        <f>IF(ISBLANK(J337),,IF(ISBLANK(L337),N337-K337,M337-K337))</f>
        <v/>
      </c>
      <c r="T337" s="61">
        <f>IF(ISBLANK(J337),,ROUNDDOWN(T$1/K337,0))</f>
        <v/>
      </c>
      <c r="U337" s="63" t="n"/>
      <c r="V337" s="63" t="n"/>
      <c r="W337" s="63" t="n"/>
      <c r="X337" s="63" t="n"/>
      <c r="Y337" s="63" t="n"/>
      <c r="Z337" s="63" t="n"/>
      <c r="AA337" s="63" t="n"/>
    </row>
    <row r="338" ht="15.75" customHeight="1" s="56">
      <c r="A338" s="63" t="inlineStr">
        <is>
          <t>RCL</t>
        </is>
      </c>
      <c r="B338" s="79" t="n">
        <v>9</v>
      </c>
      <c r="C338" s="79" t="n">
        <v>196.61</v>
      </c>
      <c r="D338" s="79" t="n">
        <v>22.222</v>
      </c>
      <c r="E338" s="79" t="n">
        <v>1.974</v>
      </c>
      <c r="F338" s="79" t="inlineStr">
        <is>
          <t>2024/02/24</t>
        </is>
      </c>
      <c r="G338" s="79" t="n"/>
      <c r="H338" s="79" t="n"/>
      <c r="I338" s="79" t="n"/>
      <c r="J338" s="23">
        <f>IF(ISBLANK(F338:G338),,IF(COUNTA(F338)=0,G338,F338))</f>
        <v/>
      </c>
      <c r="K338" s="6">
        <f>IFERROR(__xludf.DUMMYFUNCTION("if(isblank(J338),,index(googlefinance(A338,K$2,J338-1),2,2))"),121.91)</f>
        <v/>
      </c>
      <c r="L338" s="37">
        <f>IF(ISBLANK(H338:I338),,IF(COUNTA(H338)=0,I338,H338))</f>
        <v/>
      </c>
      <c r="M338" s="7">
        <f>IFERROR(__xludf.DUMMYFUNCTION("if(isblank(L338),, index(googlefinance(A338,M$2,L338-1),2,2))"),"")</f>
        <v/>
      </c>
      <c r="N338" s="8">
        <f>IFERROR(__xludf.DUMMYFUNCTION("if(isblank(A338),,googlefinance(A338))"),128.92)</f>
        <v/>
      </c>
      <c r="O338" s="38">
        <f>IF(ISBLANK(J338),,IF(ISBLANK(L338),"Ongoing","Completed"))</f>
        <v/>
      </c>
      <c r="P338" s="70">
        <f>IF(ISBLANK(A338),,IF(AND(COUNTA(F338)=1,S338&gt;0),"Profit",IF(AND(COUNTA(G338)=1,S338&lt;0),"Profit","Loss")))</f>
        <v/>
      </c>
      <c r="Q338" s="31">
        <f>IF(ISBLANK(T338),,IF(P338="Profit",IF(S338&lt;0,T338*-S338,T338*S338),IF(S338&gt;0,T338*-S338,T338*S338)))</f>
        <v/>
      </c>
      <c r="R338" s="59">
        <f>IF($Q338&gt;0, TRUE, FALSE)</f>
        <v/>
      </c>
      <c r="S338" s="59">
        <f>IF(ISBLANK(J338),,IF(ISBLANK(L338),N338-K338,M338-K338))</f>
        <v/>
      </c>
      <c r="T338" s="61">
        <f>IF(ISBLANK(J338),,ROUNDDOWN(T$1/K338,0))</f>
        <v/>
      </c>
      <c r="U338" s="63" t="n"/>
      <c r="V338" s="63" t="n"/>
      <c r="W338" s="63" t="n"/>
      <c r="X338" s="63" t="n"/>
      <c r="Y338" s="63" t="n"/>
      <c r="Z338" s="63" t="n"/>
      <c r="AA338" s="63" t="n"/>
    </row>
    <row r="339" hidden="1" ht="15.75" customHeight="1" s="56">
      <c r="A339" s="82" t="inlineStr">
        <is>
          <t>LHX</t>
        </is>
      </c>
      <c r="B339" s="79" t="n">
        <v>10</v>
      </c>
      <c r="C339" s="79" t="n">
        <v>196</v>
      </c>
      <c r="D339" s="79" t="n">
        <v>50</v>
      </c>
      <c r="E339" s="79" t="n">
        <v>6.532</v>
      </c>
      <c r="F339" s="83" t="n"/>
      <c r="G339" s="81" t="inlineStr">
        <is>
          <t>2024/02/26</t>
        </is>
      </c>
      <c r="H339" s="79" t="n"/>
      <c r="I339" s="79" t="inlineStr">
        <is>
          <t>2024/02/28</t>
        </is>
      </c>
      <c r="J339" s="23">
        <f>IF(ISBLANK(G339),,IF(COUNTA(G339)=0,#REF!,G339))</f>
        <v/>
      </c>
      <c r="K339" s="6">
        <f>IFERROR(__xludf.DUMMYFUNCTION("if(isblank(J339),,index(googlefinance(A339,K$2,J339-1),2,2))"),211.74)</f>
        <v/>
      </c>
      <c r="L339" s="37">
        <f>IF(ISBLANK(H339:I339),,IF(COUNTA(H339)=0,I339,H339))</f>
        <v/>
      </c>
      <c r="M339" s="7">
        <f>IFERROR(__xludf.DUMMYFUNCTION("if(isblank(L339),, index(googlefinance(A339,M$2,L339-1),2,2))"),211.74)</f>
        <v/>
      </c>
      <c r="N339" s="8">
        <f>IFERROR(__xludf.DUMMYFUNCTION("if(isblank(A339),,googlefinance(A339))"),212.86)</f>
        <v/>
      </c>
      <c r="O339" s="38">
        <f>IF(ISBLANK(J339),,IF(ISBLANK(L339),"Ongoing","Completed"))</f>
        <v/>
      </c>
      <c r="P339" s="70">
        <f>IF(ISBLANK(A339),,IF(AND(COUNTA(G339)=1,S339&gt;0),"Profit",IF(AND(COUNTA(#REF!)=1,S339&lt;0),"Profit","Loss")))</f>
        <v/>
      </c>
      <c r="Q339" s="31">
        <f>IF(ISBLANK(T339),,IF(P339="Profit",IF(S339&lt;0,T339*-S339,T339*S339),IF(S339&gt;0,T339*-S339,T339*S339)))</f>
        <v/>
      </c>
      <c r="R339" s="59">
        <f>IF($Q339&gt;0, TRUE, FALSE)</f>
        <v/>
      </c>
      <c r="S339" s="59">
        <f>IF(ISBLANK(J339),,IF(ISBLANK(L339),N339-K339,M339-K339))</f>
        <v/>
      </c>
      <c r="T339" s="61">
        <f>IF(ISBLANK(J339),,ROUNDDOWN(T$1/K339,0))</f>
        <v/>
      </c>
      <c r="U339" s="63" t="n"/>
      <c r="V339" s="63" t="n"/>
      <c r="W339" s="63" t="n"/>
      <c r="X339" s="63" t="n"/>
      <c r="Y339" s="63" t="n"/>
      <c r="Z339" s="63" t="n"/>
      <c r="AA339" s="63" t="n"/>
    </row>
    <row r="340" hidden="1" ht="15.75" customHeight="1" s="56">
      <c r="A340" s="82" t="inlineStr">
        <is>
          <t>LULU</t>
        </is>
      </c>
      <c r="B340" s="79" t="n">
        <v>14</v>
      </c>
      <c r="C340" s="79" t="n">
        <v>428.77</v>
      </c>
      <c r="D340" s="79" t="n">
        <v>57.143</v>
      </c>
      <c r="E340" s="79" t="n">
        <v>2.533</v>
      </c>
      <c r="F340" s="81" t="inlineStr">
        <is>
          <t>2024/02/26</t>
        </is>
      </c>
      <c r="G340" s="79" t="n"/>
      <c r="H340" s="79" t="inlineStr">
        <is>
          <t>2024/03/01</t>
        </is>
      </c>
      <c r="I340" s="79" t="n"/>
      <c r="J340" s="23">
        <f>IF(ISBLANK(F340:G340),,IF(COUNTA(F340)=0,G340,F340))</f>
        <v/>
      </c>
      <c r="K340" s="6">
        <f>IFERROR(__xludf.DUMMYFUNCTION("if(isblank(J340),,index(googlefinance(A340,K$2,J340-1),2,2))"),468.25)</f>
        <v/>
      </c>
      <c r="L340" s="37">
        <f>IF(ISBLANK(H340:I340),,IF(COUNTA(H340)=0,I340,H340))</f>
        <v/>
      </c>
      <c r="M340" s="7">
        <f>IFERROR(__xludf.DUMMYFUNCTION("if(isblank(L340),, index(googlefinance(A340,M$2,L340-1),2,2))"),467.09)</f>
        <v/>
      </c>
      <c r="N340" s="8">
        <f>IFERROR(__xludf.DUMMYFUNCTION("if(isblank(A340),,googlefinance(A340))"),464.94)</f>
        <v/>
      </c>
      <c r="O340" s="38">
        <f>IF(ISBLANK(J340),,IF(ISBLANK(L340),"Ongoing","Completed"))</f>
        <v/>
      </c>
      <c r="P340" s="70">
        <f>IF(ISBLANK(A340),,IF(AND(COUNTA(F340)=1,S340&gt;0),"Profit",IF(AND(COUNTA(G340)=1,S340&lt;0),"Profit","Loss")))</f>
        <v/>
      </c>
      <c r="Q340" s="31">
        <f>IF(ISBLANK(T340),,IF(P340="Profit",IF(S340&lt;0,T340*-S340,T340*S340),IF(S340&gt;0,T340*-S340,T340*S340)))</f>
        <v/>
      </c>
      <c r="R340" s="59">
        <f>IF($Q340&gt;0, TRUE, FALSE)</f>
        <v/>
      </c>
      <c r="S340" s="59">
        <f>IF(ISBLANK(J340),,IF(ISBLANK(L340),N340-K340,M340-K340))</f>
        <v/>
      </c>
      <c r="T340" s="61">
        <f>IF(ISBLANK(J340),,ROUNDDOWN(T$1/K340,0))</f>
        <v/>
      </c>
      <c r="U340" s="63" t="n"/>
      <c r="V340" s="63" t="n"/>
      <c r="W340" s="63" t="n"/>
      <c r="X340" s="63" t="n"/>
      <c r="Y340" s="63" t="n"/>
      <c r="Z340" s="63" t="n"/>
      <c r="AA340" s="63" t="n"/>
    </row>
    <row r="341" hidden="1" ht="15.75" customHeight="1" s="56">
      <c r="A341" s="63" t="inlineStr">
        <is>
          <t>CMCSA</t>
        </is>
      </c>
      <c r="B341" s="79" t="n">
        <v>10</v>
      </c>
      <c r="C341" s="79" t="n">
        <v>166.03</v>
      </c>
      <c r="D341" s="79" t="n">
        <v>60</v>
      </c>
      <c r="E341" s="79" t="n">
        <v>2.62</v>
      </c>
      <c r="F341" s="79" t="inlineStr">
        <is>
          <t>2024/02/27</t>
        </is>
      </c>
      <c r="G341" s="79" t="n"/>
      <c r="H341" s="79" t="inlineStr">
        <is>
          <t>2024/03/04</t>
        </is>
      </c>
      <c r="I341" s="79" t="n"/>
      <c r="J341" s="23">
        <f>IF(ISBLANK(F341:G341),,IF(COUNTA(F341)=0,G341,F341))</f>
        <v/>
      </c>
      <c r="K341" s="6">
        <f>IFERROR(__xludf.DUMMYFUNCTION("if(isblank(J341),,index(googlefinance(A341,K$2,J341-1),2,2))"),42.19)</f>
        <v/>
      </c>
      <c r="L341" s="37">
        <f>IF(ISBLANK(H341:I341),,IF(COUNTA(H341)=0,I341,H341))</f>
        <v/>
      </c>
      <c r="M341" s="7">
        <f>IFERROR(__xludf.DUMMYFUNCTION("if(isblank(L341),, index(googlefinance(A341,M$2,L341-1),2,2))"),41.85)</f>
        <v/>
      </c>
      <c r="N341" s="8">
        <f>IFERROR(__xludf.DUMMYFUNCTION("if(isblank(A341),,googlefinance(A341))"),42.77)</f>
        <v/>
      </c>
      <c r="O341" s="38">
        <f>IF(ISBLANK(J341),,IF(ISBLANK(L341),"Ongoing","Completed"))</f>
        <v/>
      </c>
      <c r="P341" s="70">
        <f>IF(ISBLANK(A341),,IF(AND(COUNTA(F341)=1,S341&gt;0),"Profit",IF(AND(COUNTA(G341)=1,S341&lt;0),"Profit","Loss")))</f>
        <v/>
      </c>
      <c r="Q341" s="31">
        <f>IF(ISBLANK(T341),,IF(P341="Profit",IF(S341&lt;0,T341*-S341,T341*S341),IF(S341&gt;0,T341*-S341,T341*S341)))</f>
        <v/>
      </c>
      <c r="R341" s="59">
        <f>IF($Q341&gt;0, TRUE, FALSE)</f>
        <v/>
      </c>
      <c r="S341" s="59">
        <f>IF(ISBLANK(J341),,IF(ISBLANK(L341),N341-K341,M341-K341))</f>
        <v/>
      </c>
      <c r="T341" s="61">
        <f>IF(ISBLANK(J341),,ROUNDDOWN(T$1/K341,0))</f>
        <v/>
      </c>
      <c r="U341" s="63" t="n"/>
      <c r="V341" s="63" t="n"/>
      <c r="W341" s="63" t="n"/>
      <c r="X341" s="63" t="n"/>
      <c r="Y341" s="63" t="n"/>
      <c r="Z341" s="63" t="n"/>
      <c r="AA341" s="63" t="n"/>
    </row>
    <row r="342" hidden="1" ht="15.75" customHeight="1" s="56">
      <c r="A342" s="63" t="inlineStr">
        <is>
          <t>PAYX</t>
        </is>
      </c>
      <c r="B342" s="79" t="n">
        <v>15</v>
      </c>
      <c r="C342" s="79" t="n">
        <v>32.47</v>
      </c>
      <c r="D342" s="79" t="n">
        <v>40</v>
      </c>
      <c r="E342" s="79" t="n">
        <v>1.168</v>
      </c>
      <c r="F342" s="79" t="n"/>
      <c r="G342" s="79" t="inlineStr">
        <is>
          <t>2024/02/27</t>
        </is>
      </c>
      <c r="H342" s="79" t="n"/>
      <c r="I342" s="81" t="inlineStr">
        <is>
          <t>2024/03/11</t>
        </is>
      </c>
      <c r="J342" s="23">
        <f>IF(ISBLANK(F342:G342),,IF(COUNTA(F342)=0,G342,F342))</f>
        <v/>
      </c>
      <c r="K342" s="6">
        <f>IFERROR(__xludf.DUMMYFUNCTION("if(isblank(J342),,index(googlefinance(A342,K$2,J342-1),2,2))"),123.37)</f>
        <v/>
      </c>
      <c r="L342" s="37">
        <f>IF(ISBLANK(H342:I342),,IF(COUNTA(H342)=0,I342,H342))</f>
        <v/>
      </c>
      <c r="M342" s="7">
        <f>IFERROR(__xludf.DUMMYFUNCTION("if(isblank(L342),, index(googlefinance(A342,M$2,L342-1),2,2))"),121.64)</f>
        <v/>
      </c>
      <c r="N342" s="8">
        <f>IFERROR(__xludf.DUMMYFUNCTION("if(isblank(A342),,googlefinance(A342))"),120.28)</f>
        <v/>
      </c>
      <c r="O342" s="38">
        <f>IF(ISBLANK(J342),,IF(ISBLANK(L342),"Ongoing","Completed"))</f>
        <v/>
      </c>
      <c r="P342" s="70">
        <f>IF(ISBLANK(A342),,IF(AND(COUNTA(F342)=1,S342&gt;0),"Profit",IF(AND(COUNTA(G342)=1,S342&lt;0),"Profit","Loss")))</f>
        <v/>
      </c>
      <c r="Q342" s="31">
        <f>IF(ISBLANK(T342),,IF(P342="Profit",IF(S342&lt;0,T342*-S342,T342*S342),IF(S342&gt;0,T342*-S342,T342*S342)))</f>
        <v/>
      </c>
      <c r="R342" s="59">
        <f>IF($Q342&gt;0, TRUE, FALSE)</f>
        <v/>
      </c>
      <c r="S342" s="59">
        <f>IF(ISBLANK(J342),,IF(ISBLANK(L342),N342-K342,M342-K342))</f>
        <v/>
      </c>
      <c r="T342" s="61">
        <f>IF(ISBLANK(J342),,ROUNDDOWN(T$1/K342,0))</f>
        <v/>
      </c>
      <c r="U342" s="63" t="n"/>
      <c r="V342" s="63" t="n"/>
      <c r="W342" s="63" t="n"/>
      <c r="X342" s="63" t="n"/>
      <c r="Y342" s="63" t="n"/>
      <c r="Z342" s="63" t="n"/>
      <c r="AA342" s="63" t="n"/>
    </row>
    <row r="343" hidden="1" ht="15.75" customHeight="1" s="56">
      <c r="A343" s="63" t="inlineStr">
        <is>
          <t>DXCM</t>
        </is>
      </c>
      <c r="B343" s="79" t="n">
        <v>17</v>
      </c>
      <c r="C343" s="79" t="n">
        <v>165.957</v>
      </c>
      <c r="D343" s="79" t="n">
        <v>29.412</v>
      </c>
      <c r="E343" s="79" t="n">
        <v>1.401</v>
      </c>
      <c r="F343" s="79" t="inlineStr">
        <is>
          <t>2024/03/04</t>
        </is>
      </c>
      <c r="G343" s="79" t="n"/>
      <c r="H343" s="81" t="inlineStr">
        <is>
          <t>2024/03/13</t>
        </is>
      </c>
      <c r="I343" s="79" t="n"/>
      <c r="J343" s="23">
        <f>IF(ISBLANK(F343:G343),,IF(COUNTA(F343)=0,G343,F343))</f>
        <v/>
      </c>
      <c r="K343" s="6">
        <f>IFERROR(__xludf.DUMMYFUNCTION("if(isblank(J343),,index(googlefinance(A343,K$2,J343-1),2,2))"),122.3)</f>
        <v/>
      </c>
      <c r="L343" s="37">
        <f>IF(ISBLANK(H343:I343),,IF(COUNTA(H343)=0,I343,H343))</f>
        <v/>
      </c>
      <c r="M343" s="7">
        <f>IFERROR(__xludf.DUMMYFUNCTION("if(isblank(L343),, index(googlefinance(A343,M$2,L343-1),2,2))"),135.38)</f>
        <v/>
      </c>
      <c r="N343" s="8">
        <f>IFERROR(__xludf.DUMMYFUNCTION("if(isblank(A343),,googlefinance(A343))"),130.46)</f>
        <v/>
      </c>
      <c r="O343" s="38">
        <f>IF(ISBLANK(J343),,IF(ISBLANK(L343),"Ongoing","Completed"))</f>
        <v/>
      </c>
      <c r="P343" s="70">
        <f>IF(ISBLANK(A343),,IF(AND(COUNTA(F343)=1,S343&gt;0),"Profit",IF(AND(COUNTA(G343)=1,S343&lt;0),"Profit","Loss")))</f>
        <v/>
      </c>
      <c r="Q343" s="31">
        <f>IF(ISBLANK(T343),,IF(P343="Profit",IF(S343&lt;0,T343*-S343,T343*S343),IF(S343&gt;0,T343*-S343,T343*S343)))</f>
        <v/>
      </c>
      <c r="R343" s="59">
        <f>IF($Q343&gt;0, TRUE, FALSE)</f>
        <v/>
      </c>
      <c r="S343" s="59">
        <f>IF(ISBLANK(J343),,IF(ISBLANK(L343),N343-K343,M343-K343))</f>
        <v/>
      </c>
      <c r="T343" s="61">
        <f>IF(ISBLANK(J343),,ROUNDDOWN(T$1/K343,0))</f>
        <v/>
      </c>
      <c r="U343" s="63" t="n"/>
      <c r="V343" s="63" t="n"/>
      <c r="W343" s="63" t="n"/>
      <c r="X343" s="63" t="n"/>
      <c r="Y343" s="63" t="n"/>
      <c r="Z343" s="63" t="n"/>
      <c r="AA343" s="63" t="n"/>
    </row>
    <row r="344" ht="15.75" customHeight="1" s="56">
      <c r="A344" s="63" t="inlineStr">
        <is>
          <t>INTC</t>
        </is>
      </c>
      <c r="B344" s="79" t="n">
        <v>12</v>
      </c>
      <c r="C344" s="79" t="n">
        <v>136.16</v>
      </c>
      <c r="D344" s="79" t="n">
        <v>33.333</v>
      </c>
      <c r="E344" s="79" t="n">
        <v>1.608</v>
      </c>
      <c r="F344" s="79" t="inlineStr">
        <is>
          <t>2024/03/04</t>
        </is>
      </c>
      <c r="G344" s="79" t="n"/>
      <c r="H344" s="79" t="n"/>
      <c r="I344" s="79" t="n"/>
      <c r="J344" s="23">
        <f>IF(ISBLANK(F344:G344),,IF(COUNTA(F344)=0,G344,F344))</f>
        <v/>
      </c>
      <c r="K344" s="6">
        <f>IFERROR(__xludf.DUMMYFUNCTION("if(isblank(J344),,index(googlefinance(A344,K$2,J344-1),2,2))"),45.61)</f>
        <v/>
      </c>
      <c r="L344" s="37">
        <f>IF(ISBLANK(H344:I344),,IF(COUNTA(H344)=0,I344,H344))</f>
        <v/>
      </c>
      <c r="M344" s="7">
        <f>IFERROR(__xludf.DUMMYFUNCTION("if(isblank(L344),, index(googlefinance(A344,M$2,L344-1),2,2))"),"")</f>
        <v/>
      </c>
      <c r="N344" s="8">
        <f>IFERROR(__xludf.DUMMYFUNCTION("if(isblank(A344),,googlefinance(A344))"),42.64)</f>
        <v/>
      </c>
      <c r="O344" s="38">
        <f>IF(ISBLANK(J344),,IF(ISBLANK(L344),"Ongoing","Completed"))</f>
        <v/>
      </c>
      <c r="P344" s="70">
        <f>IF(ISBLANK(A344),,IF(AND(COUNTA(F344)=1,S344&gt;0),"Profit",IF(AND(COUNTA(G344)=1,S344&lt;0),"Profit","Loss")))</f>
        <v/>
      </c>
      <c r="Q344" s="31">
        <f>IF(ISBLANK(T344),,IF(P344="Profit",IF(S344&lt;0,T344*-S344,T344*S344),IF(S344&gt;0,T344*-S344,T344*S344)))</f>
        <v/>
      </c>
      <c r="R344" s="59">
        <f>IF($Q344&gt;0, TRUE, FALSE)</f>
        <v/>
      </c>
      <c r="S344" s="59">
        <f>IF(ISBLANK(J344),,IF(ISBLANK(L344),N344-K344,M344-K344))</f>
        <v/>
      </c>
      <c r="T344" s="61">
        <f>IF(ISBLANK(J344),,ROUNDDOWN(T$1/K344,0))</f>
        <v/>
      </c>
      <c r="U344" s="63" t="n"/>
      <c r="V344" s="63" t="n"/>
      <c r="W344" s="63" t="n"/>
      <c r="X344" s="63" t="n"/>
      <c r="Y344" s="63" t="n"/>
      <c r="Z344" s="63" t="n"/>
      <c r="AA344" s="63" t="n"/>
    </row>
    <row r="345" hidden="1" ht="15.75" customHeight="1" s="56">
      <c r="A345" s="63" t="inlineStr">
        <is>
          <t>MOH</t>
        </is>
      </c>
      <c r="B345" s="79" t="n">
        <v>12</v>
      </c>
      <c r="C345" s="79" t="n">
        <v>198.34</v>
      </c>
      <c r="D345" s="79" t="n">
        <v>41.667</v>
      </c>
      <c r="E345" s="79" t="n">
        <v>2.063</v>
      </c>
      <c r="F345" s="79" t="n"/>
      <c r="G345" s="79" t="inlineStr">
        <is>
          <t>2024/03/04</t>
        </is>
      </c>
      <c r="H345" s="79" t="n"/>
      <c r="I345" s="81" t="inlineStr">
        <is>
          <t>2024/03/08</t>
        </is>
      </c>
      <c r="J345" s="23">
        <f>IF(ISBLANK(F345:G345),,IF(COUNTA(F345)=0,G345,F345))</f>
        <v/>
      </c>
      <c r="K345" s="6">
        <f>IFERROR(__xludf.DUMMYFUNCTION("if(isblank(J345),,index(googlefinance(A345,K$2,J345-1),2,2))"),386.55)</f>
        <v/>
      </c>
      <c r="L345" s="37">
        <f>IF(ISBLANK(H345:I345),,IF(COUNTA(H345)=0,I345,H345))</f>
        <v/>
      </c>
      <c r="M345" s="7">
        <f>IFERROR(__xludf.DUMMYFUNCTION("if(isblank(L345),, index(googlefinance(A345,M$2,L345-1),2,2))"),391.85)</f>
        <v/>
      </c>
      <c r="N345" s="8">
        <f>IFERROR(__xludf.DUMMYFUNCTION("if(isblank(A345),,googlefinance(A345))"),404.45)</f>
        <v/>
      </c>
      <c r="O345" s="38">
        <f>IF(ISBLANK(J345),,IF(ISBLANK(L345),"Ongoing","Completed"))</f>
        <v/>
      </c>
      <c r="P345" s="70">
        <f>IF(ISBLANK(A345),,IF(AND(COUNTA(F345)=1,S345&gt;0),"Profit",IF(AND(COUNTA(G345)=1,S345&lt;0),"Profit","Loss")))</f>
        <v/>
      </c>
      <c r="Q345" s="31">
        <f>IF(ISBLANK(T345),,IF(P345="Profit",IF(S345&lt;0,T345*-S345,T345*S345),IF(S345&gt;0,T345*-S345,T345*S345)))</f>
        <v/>
      </c>
      <c r="R345" s="59">
        <f>IF($Q345&gt;0, TRUE, FALSE)</f>
        <v/>
      </c>
      <c r="S345" s="59">
        <f>IF(ISBLANK(J345),,IF(ISBLANK(L345),N345-K345,M345-K345))</f>
        <v/>
      </c>
      <c r="T345" s="61">
        <f>IF(ISBLANK(J345),,ROUNDDOWN(T$1/K345,0))</f>
        <v/>
      </c>
      <c r="U345" s="63" t="n"/>
      <c r="V345" s="63" t="n"/>
      <c r="W345" s="63" t="n"/>
      <c r="X345" s="63" t="n"/>
      <c r="Y345" s="63" t="n"/>
      <c r="Z345" s="63" t="n"/>
      <c r="AA345" s="63" t="n"/>
    </row>
    <row r="346" ht="15.75" customHeight="1" s="56">
      <c r="A346" s="63" t="inlineStr">
        <is>
          <t>NEM</t>
        </is>
      </c>
      <c r="B346" s="79" t="n">
        <v>10</v>
      </c>
      <c r="C346" s="79" t="n">
        <v>27.05</v>
      </c>
      <c r="D346" s="79" t="n">
        <v>40</v>
      </c>
      <c r="E346" s="79" t="n">
        <v>1.092</v>
      </c>
      <c r="F346" s="79" t="inlineStr">
        <is>
          <t>2024/03/04</t>
        </is>
      </c>
      <c r="G346" s="79" t="n"/>
      <c r="H346" s="79" t="n"/>
      <c r="I346" s="79" t="n"/>
      <c r="J346" s="23">
        <f>IF(ISBLANK(F346:G346),,IF(COUNTA(F346)=0,G346,F346))</f>
        <v/>
      </c>
      <c r="K346" s="6">
        <f>IFERROR(__xludf.DUMMYFUNCTION("if(isblank(J346),,index(googlefinance(A346,K$2,J346-1),2,2))"),33.48)</f>
        <v/>
      </c>
      <c r="L346" s="37">
        <f>IF(ISBLANK(H346:I346),,IF(COUNTA(H346)=0,I346,H346))</f>
        <v/>
      </c>
      <c r="M346" s="7">
        <f>IFERROR(__xludf.DUMMYFUNCTION("if(isblank(L346),, index(googlefinance(A346,M$2,L346-1),2,2))"),"")</f>
        <v/>
      </c>
      <c r="N346" s="8">
        <f>IFERROR(__xludf.DUMMYFUNCTION("if(isblank(A346),,googlefinance(A346))"),33.88)</f>
        <v/>
      </c>
      <c r="O346" s="38">
        <f>IF(ISBLANK(J346),,IF(ISBLANK(L346),"Ongoing","Completed"))</f>
        <v/>
      </c>
      <c r="P346" s="70">
        <f>IF(ISBLANK(A346),,IF(AND(COUNTA(F346)=1,S346&gt;0),"Profit",IF(AND(COUNTA(G346)=1,S346&lt;0),"Profit","Loss")))</f>
        <v/>
      </c>
      <c r="Q346" s="31">
        <f>IF(ISBLANK(T346),,IF(P346="Profit",IF(S346&lt;0,T346*-S346,T346*S346),IF(S346&gt;0,T346*-S346,T346*S346)))</f>
        <v/>
      </c>
      <c r="R346" s="59">
        <f>IF($Q346&gt;0, TRUE, FALSE)</f>
        <v/>
      </c>
      <c r="S346" s="59">
        <f>IF(ISBLANK(J346),,IF(ISBLANK(L346),N346-K346,M346-K346))</f>
        <v/>
      </c>
      <c r="T346" s="61">
        <f>IF(ISBLANK(J346),,ROUNDDOWN(T$1/K346,0))</f>
        <v/>
      </c>
      <c r="U346" s="63" t="n"/>
      <c r="V346" s="63" t="n"/>
      <c r="W346" s="63" t="n"/>
      <c r="X346" s="63" t="n"/>
      <c r="Y346" s="63" t="n"/>
      <c r="Z346" s="63" t="n"/>
      <c r="AA346" s="63" t="n"/>
    </row>
    <row r="347" hidden="1" ht="15.75" customHeight="1" s="56">
      <c r="A347" s="63" t="inlineStr">
        <is>
          <t>CAH</t>
        </is>
      </c>
      <c r="B347" s="79" t="n">
        <v>13</v>
      </c>
      <c r="C347" s="79" t="n">
        <v>191.58</v>
      </c>
      <c r="D347" s="79" t="n">
        <v>30.769</v>
      </c>
      <c r="E347" s="79" t="n">
        <v>2.184</v>
      </c>
      <c r="F347" s="79" t="n"/>
      <c r="G347" s="79" t="inlineStr">
        <is>
          <t>2024/03/06</t>
        </is>
      </c>
      <c r="H347" s="79" t="n"/>
      <c r="I347" s="79" t="inlineStr">
        <is>
          <t>2024/03/07</t>
        </is>
      </c>
      <c r="J347" s="23">
        <f>IF(ISBLANK(F347:G347),,IF(COUNTA(F347)=0,G347,F347))</f>
        <v/>
      </c>
      <c r="K347" s="6">
        <f>IFERROR(__xludf.DUMMYFUNCTION("if(isblank(J347),,index(googlefinance(A347,K$2,J347-1),2,2))"),112.92)</f>
        <v/>
      </c>
      <c r="L347" s="37">
        <f>IF(ISBLANK(H347:I347),,IF(COUNTA(H347)=0,I347,H347))</f>
        <v/>
      </c>
      <c r="M347" s="7">
        <f>IFERROR(__xludf.DUMMYFUNCTION("if(isblank(L347),, index(googlefinance(A347,M$2,L347-1),2,2))"),110.62)</f>
        <v/>
      </c>
      <c r="N347" s="8">
        <f>IFERROR(__xludf.DUMMYFUNCTION("if(isblank(A347),,googlefinance(A347))"),110.61)</f>
        <v/>
      </c>
      <c r="O347" s="38">
        <f>IF(ISBLANK(J347),,IF(ISBLANK(L347),"Ongoing","Completed"))</f>
        <v/>
      </c>
      <c r="P347" s="70">
        <f>IF(ISBLANK(A347),,IF(AND(COUNTA(F347)=1,S347&gt;0),"Profit",IF(AND(COUNTA(G347)=1,S347&lt;0),"Profit","Loss")))</f>
        <v/>
      </c>
      <c r="Q347" s="31">
        <f>IF(ISBLANK(T347),,IF(P347="Profit",IF(S347&lt;0,T347*-S347,T347*S347),IF(S347&gt;0,T347*-S347,T347*S347)))</f>
        <v/>
      </c>
      <c r="R347" s="59">
        <f>IF($Q347&gt;0, TRUE, FALSE)</f>
        <v/>
      </c>
      <c r="S347" s="59">
        <f>IF(ISBLANK(J347),,IF(ISBLANK(L347),N347-K347,M347-K347))</f>
        <v/>
      </c>
      <c r="T347" s="61">
        <f>IF(ISBLANK(J347),,ROUNDDOWN(T$1/K347,0))</f>
        <v/>
      </c>
      <c r="U347" s="63" t="n"/>
      <c r="V347" s="63" t="n"/>
      <c r="W347" s="63" t="n"/>
      <c r="X347" s="63" t="n"/>
      <c r="Y347" s="63" t="n"/>
      <c r="Z347" s="63" t="n"/>
      <c r="AA347" s="63" t="n"/>
    </row>
    <row r="348" ht="15.75" customHeight="1" s="56">
      <c r="A348" s="63" t="inlineStr">
        <is>
          <t>IDXX</t>
        </is>
      </c>
      <c r="B348" s="79" t="n">
        <v>16</v>
      </c>
      <c r="C348" s="79" t="n">
        <v>169.63</v>
      </c>
      <c r="D348" s="79" t="n">
        <v>50</v>
      </c>
      <c r="E348" s="79" t="n">
        <v>1.609</v>
      </c>
      <c r="F348" s="79" t="n"/>
      <c r="G348" s="79" t="inlineStr">
        <is>
          <t>2024/03/06</t>
        </is>
      </c>
      <c r="H348" s="79" t="n"/>
      <c r="I348" s="79" t="n"/>
      <c r="J348" s="23">
        <f>IF(ISBLANK(F348:G348),,IF(COUNTA(F348)=0,G348,F348))</f>
        <v/>
      </c>
      <c r="K348" s="6">
        <f>IFERROR(__xludf.DUMMYFUNCTION("if(isblank(J348),,index(googlefinance(A348,K$2,J348-1),2,2))"),558.32)</f>
        <v/>
      </c>
      <c r="L348" s="37">
        <f>IF(ISBLANK(H348:I348),,IF(COUNTA(H348)=0,I348,H348))</f>
        <v/>
      </c>
      <c r="M348" s="7">
        <f>IFERROR(__xludf.DUMMYFUNCTION("if(isblank(L348),, index(googlefinance(A348,M$2,L348-1),2,2))"),"")</f>
        <v/>
      </c>
      <c r="N348" s="8">
        <f>IFERROR(__xludf.DUMMYFUNCTION("if(isblank(A348),,googlefinance(A348))"),529.77)</f>
        <v/>
      </c>
      <c r="O348" s="38">
        <f>IF(ISBLANK(J348),,IF(ISBLANK(L348),"Ongoing","Completed"))</f>
        <v/>
      </c>
      <c r="P348" s="70">
        <f>IF(ISBLANK(A348),,IF(AND(COUNTA(F348)=1,S348&gt;0),"Profit",IF(AND(COUNTA(G348)=1,S348&lt;0),"Profit","Loss")))</f>
        <v/>
      </c>
      <c r="Q348" s="31">
        <f>IF(ISBLANK(T348),,IF(P348="Profit",IF(S348&lt;0,T348*-S348,T348*S348),IF(S348&gt;0,T348*-S348,T348*S348)))</f>
        <v/>
      </c>
      <c r="R348" s="59">
        <f>IF($Q348&gt;0, TRUE, FALSE)</f>
        <v/>
      </c>
      <c r="S348" s="59">
        <f>IF(ISBLANK(J348),,IF(ISBLANK(L348),N348-K348,M348-K348))</f>
        <v/>
      </c>
      <c r="T348" s="61">
        <f>IF(ISBLANK(J348),,ROUNDDOWN(T$1/K348,0))</f>
        <v/>
      </c>
      <c r="U348" s="63" t="n"/>
      <c r="V348" s="63" t="n"/>
      <c r="W348" s="63" t="n"/>
      <c r="X348" s="63" t="n"/>
      <c r="Y348" s="63" t="n"/>
      <c r="Z348" s="63" t="n"/>
      <c r="AA348" s="63" t="n"/>
    </row>
    <row r="349" hidden="1" ht="15.75" customHeight="1" s="56">
      <c r="A349" s="63" t="inlineStr">
        <is>
          <t>NUE</t>
        </is>
      </c>
      <c r="B349" s="79" t="n">
        <v>12</v>
      </c>
      <c r="C349" s="79" t="n">
        <v>170.22</v>
      </c>
      <c r="D349" s="79" t="n">
        <v>41.667</v>
      </c>
      <c r="E349" s="79" t="n">
        <v>1.611</v>
      </c>
      <c r="F349" s="79" t="n"/>
      <c r="G349" s="79" t="inlineStr">
        <is>
          <t>2024/03/06</t>
        </is>
      </c>
      <c r="H349" s="79" t="n"/>
      <c r="I349" s="81" t="inlineStr">
        <is>
          <t>2024/03/14</t>
        </is>
      </c>
      <c r="J349" s="23">
        <f>IF(ISBLANK(F349:G349),,IF(COUNTA(F349)=0,G349,F349))</f>
        <v/>
      </c>
      <c r="K349" s="6">
        <f>IFERROR(__xludf.DUMMYFUNCTION("if(isblank(J349),,index(googlefinance(A349,K$2,J349-1),2,2))"),184.8)</f>
        <v/>
      </c>
      <c r="L349" s="37">
        <f>IF(ISBLANK(H349:I349),,IF(COUNTA(H349)=0,I349,H349))</f>
        <v/>
      </c>
      <c r="M349" s="7">
        <f>IFERROR(__xludf.DUMMYFUNCTION("if(isblank(L349),, index(googlefinance(A349,M$2,L349-1),2,2))"),184.1)</f>
        <v/>
      </c>
      <c r="N349" s="8">
        <f>IFERROR(__xludf.DUMMYFUNCTION("if(isblank(A349),,googlefinance(A349))"),188.48)</f>
        <v/>
      </c>
      <c r="O349" s="38">
        <f>IF(ISBLANK(J349),,IF(ISBLANK(L349),"Ongoing","Completed"))</f>
        <v/>
      </c>
      <c r="P349" s="70">
        <f>IF(ISBLANK(A349),,IF(AND(COUNTA(F349)=1,S349&gt;0),"Profit",IF(AND(COUNTA(G349)=1,S349&lt;0),"Profit","Loss")))</f>
        <v/>
      </c>
      <c r="Q349" s="31">
        <f>IF(ISBLANK(T349),,IF(P349="Profit",IF(S349&lt;0,T349*-S349,T349*S349),IF(S349&gt;0,T349*-S349,T349*S349)))</f>
        <v/>
      </c>
      <c r="R349" s="59">
        <f>IF($Q349&gt;0, TRUE, FALSE)</f>
        <v/>
      </c>
      <c r="S349" s="59">
        <f>IF(ISBLANK(J349),,IF(ISBLANK(L349),N349-K349,M349-K349))</f>
        <v/>
      </c>
      <c r="T349" s="61">
        <f>IF(ISBLANK(J349),,ROUNDDOWN(T$1/K349,0))</f>
        <v/>
      </c>
      <c r="U349" s="63" t="n"/>
      <c r="V349" s="63" t="n"/>
      <c r="W349" s="63" t="n"/>
      <c r="X349" s="63" t="n"/>
      <c r="Y349" s="63" t="n"/>
      <c r="Z349" s="63" t="n"/>
      <c r="AA349" s="63" t="n"/>
    </row>
    <row r="350" ht="15.75" customHeight="1" s="56">
      <c r="A350" s="63" t="inlineStr">
        <is>
          <t>PFE</t>
        </is>
      </c>
      <c r="B350" s="79" t="n">
        <v>10</v>
      </c>
      <c r="C350" s="79" t="n">
        <v>91.688</v>
      </c>
      <c r="D350" s="79" t="n">
        <v>30</v>
      </c>
      <c r="E350" s="79" t="n">
        <v>1.356</v>
      </c>
      <c r="F350" s="79" t="inlineStr">
        <is>
          <t>2024/03/06</t>
        </is>
      </c>
      <c r="G350" s="79" t="n"/>
      <c r="H350" s="79" t="n"/>
      <c r="I350" s="79" t="n"/>
      <c r="J350" s="23">
        <f>IF(ISBLANK(F350:G350),,IF(COUNTA(F350)=0,G350,F350))</f>
        <v/>
      </c>
      <c r="K350" s="6">
        <f>IFERROR(__xludf.DUMMYFUNCTION("if(isblank(J350),,index(googlefinance(A350,K$2,J350-1),2,2))"),26.08)</f>
        <v/>
      </c>
      <c r="L350" s="37">
        <f>IF(ISBLANK(H350:I350),,IF(COUNTA(H350)=0,I350,H350))</f>
        <v/>
      </c>
      <c r="M350" s="7">
        <f>IFERROR(__xludf.DUMMYFUNCTION("if(isblank(L350),, index(googlefinance(A350,M$2,L350-1),2,2))"),"")</f>
        <v/>
      </c>
      <c r="N350" s="8">
        <f>IFERROR(__xludf.DUMMYFUNCTION("if(isblank(A350),,googlefinance(A350))"),27.94)</f>
        <v/>
      </c>
      <c r="O350" s="38">
        <f>IF(ISBLANK(J350),,IF(ISBLANK(L350),"Ongoing","Completed"))</f>
        <v/>
      </c>
      <c r="P350" s="70">
        <f>IF(ISBLANK(A350),,IF(AND(COUNTA(F350)=1,S350&gt;0),"Profit",IF(AND(COUNTA(G350)=1,S350&lt;0),"Profit","Loss")))</f>
        <v/>
      </c>
      <c r="Q350" s="31">
        <f>IF(ISBLANK(T350),,IF(P350="Profit",IF(S350&lt;0,T350*-S350,T350*S350),IF(S350&gt;0,T350*-S350,T350*S350)))</f>
        <v/>
      </c>
      <c r="R350" s="59">
        <f>IF($Q350&gt;0, TRUE, FALSE)</f>
        <v/>
      </c>
      <c r="S350" s="59">
        <f>IF(ISBLANK(J350),,IF(ISBLANK(L350),N350-K350,M350-K350))</f>
        <v/>
      </c>
      <c r="T350" s="61">
        <f>IF(ISBLANK(J350),,ROUNDDOWN(T$1/K350,0))</f>
        <v/>
      </c>
      <c r="U350" s="63" t="n"/>
      <c r="V350" s="63" t="n"/>
      <c r="W350" s="63" t="n"/>
      <c r="X350" s="63" t="n"/>
      <c r="Y350" s="63" t="n"/>
      <c r="Z350" s="63" t="n"/>
      <c r="AA350" s="63" t="n"/>
    </row>
    <row r="351" hidden="1" ht="15.75" customHeight="1" s="56">
      <c r="A351" s="63" t="inlineStr">
        <is>
          <t>CRM</t>
        </is>
      </c>
      <c r="B351" s="79" t="n">
        <v>14</v>
      </c>
      <c r="C351" s="79" t="n">
        <v>87.02</v>
      </c>
      <c r="D351" s="79" t="n">
        <v>35.714</v>
      </c>
      <c r="E351" s="79" t="n">
        <v>1.254</v>
      </c>
      <c r="F351" s="79" t="n"/>
      <c r="G351" s="79" t="inlineStr">
        <is>
          <t>2024/03/07</t>
        </is>
      </c>
      <c r="H351" s="79" t="n"/>
      <c r="I351" s="79" t="inlineStr">
        <is>
          <t>2024/03/21</t>
        </is>
      </c>
      <c r="J351" s="23">
        <f>IF(ISBLANK(F351:G351),,IF(COUNTA(F351)=0,G351,F351))</f>
        <v/>
      </c>
      <c r="K351" s="6">
        <f>IFERROR(__xludf.DUMMYFUNCTION("if(isblank(J351),,index(googlefinance(A351,K$2,J351-1),2,2))"),303.77)</f>
        <v/>
      </c>
      <c r="L351" s="37">
        <f>IF(ISBLANK(H351:I351),,IF(COUNTA(H351)=0,I351,H351))</f>
        <v/>
      </c>
      <c r="M351" s="7">
        <f>IFERROR(__xludf.DUMMYFUNCTION("if(isblank(L351),, index(googlefinance(A351,M$2,L351-1),2,2))"),"")</f>
        <v/>
      </c>
      <c r="N351" s="8">
        <f>IFERROR(__xludf.DUMMYFUNCTION("if(isblank(A351),,googlefinance(A351))"),294.33)</f>
        <v/>
      </c>
      <c r="O351" s="38">
        <f>IF(ISBLANK(J351),,IF(ISBLANK(L351),"Ongoing","Completed"))</f>
        <v/>
      </c>
      <c r="P351" s="70">
        <f>IF(ISBLANK(A351),,IF(AND(COUNTA(F351)=1,S351&gt;0),"Profit",IF(AND(COUNTA(G351)=1,S351&lt;0),"Profit","Loss")))</f>
        <v/>
      </c>
      <c r="Q351" s="31">
        <f>IF(ISBLANK(T351),,IF(P351="Profit",IF(S351&lt;0,T351*-S351,T351*S351),IF(S351&gt;0,T351*-S351,T351*S351)))</f>
        <v/>
      </c>
      <c r="R351" s="59">
        <f>IF($Q351&gt;0, TRUE, FALSE)</f>
        <v/>
      </c>
      <c r="S351" s="59">
        <f>IF(ISBLANK(J351),,IF(ISBLANK(L351),N351-K351,M351-K351))</f>
        <v/>
      </c>
      <c r="T351" s="61">
        <f>IF(ISBLANK(J351),,ROUNDDOWN(T$1/K351,0))</f>
        <v/>
      </c>
      <c r="U351" s="63" t="n"/>
      <c r="V351" s="63" t="n"/>
      <c r="W351" s="63" t="n"/>
      <c r="X351" s="63" t="n"/>
      <c r="Y351" s="63" t="n"/>
      <c r="Z351" s="63" t="n"/>
      <c r="AA351" s="63" t="n"/>
    </row>
    <row r="352" ht="15.75" customHeight="1" s="56">
      <c r="A352" s="63" t="inlineStr">
        <is>
          <t>PAYC</t>
        </is>
      </c>
      <c r="B352" s="79" t="n">
        <v>13</v>
      </c>
      <c r="C352" s="79" t="n">
        <v>131.94</v>
      </c>
      <c r="D352" s="79" t="n">
        <v>30.769</v>
      </c>
      <c r="E352" s="79" t="n">
        <v>1.553</v>
      </c>
      <c r="F352" s="81" t="inlineStr">
        <is>
          <t>2024/03/08</t>
        </is>
      </c>
      <c r="G352" s="79" t="n"/>
      <c r="H352" s="79" t="n"/>
      <c r="I352" s="79" t="n"/>
      <c r="J352" s="23">
        <f>IF(ISBLANK(F352:G352),,IF(COUNTA(F352)=0,G352,F352))</f>
        <v/>
      </c>
      <c r="K352" s="6">
        <f>IFERROR(__xludf.DUMMYFUNCTION("if(isblank(J352),,index(googlefinance(A352,K$2,J352-1),2,2))"),181.68)</f>
        <v/>
      </c>
      <c r="L352" s="37">
        <f>IF(ISBLANK(H352:I352),,IF(COUNTA(H352)=0,I352,H352))</f>
        <v/>
      </c>
      <c r="M352" s="7">
        <f>IFERROR(__xludf.DUMMYFUNCTION("if(isblank(L352),, index(googlefinance(A352,M$2,L352-1),2,2))"),"")</f>
        <v/>
      </c>
      <c r="N352" s="8">
        <f>IFERROR(__xludf.DUMMYFUNCTION("if(isblank(A352),,googlefinance(A352))"),189.7)</f>
        <v/>
      </c>
      <c r="O352" s="38">
        <f>IF(ISBLANK(J352),,IF(ISBLANK(L352),"Ongoing","Completed"))</f>
        <v/>
      </c>
      <c r="P352" s="70">
        <f>IF(ISBLANK(A352),,IF(AND(COUNTA(F352)=1,S352&gt;0),"Profit",IF(AND(COUNTA(G352)=1,S352&lt;0),"Profit","Loss")))</f>
        <v/>
      </c>
      <c r="Q352" s="31">
        <f>IF(ISBLANK(T352),,IF(P352="Profit",IF(S352&lt;0,T352*-S352,T352*S352),IF(S352&gt;0,T352*-S352,T352*S352)))</f>
        <v/>
      </c>
      <c r="R352" s="59">
        <f>IF($Q352&gt;0, TRUE, FALSE)</f>
        <v/>
      </c>
      <c r="S352" s="59">
        <f>IF(ISBLANK(J352),,IF(ISBLANK(L352),N352-K352,M352-K352))</f>
        <v/>
      </c>
      <c r="T352" s="61">
        <f>IF(ISBLANK(J352),,ROUNDDOWN(T$1/K352,0))</f>
        <v/>
      </c>
      <c r="U352" s="84" t="n"/>
      <c r="V352" s="84" t="n"/>
      <c r="W352" s="63" t="n"/>
      <c r="X352" s="84" t="n"/>
      <c r="Y352" s="63" t="n"/>
      <c r="Z352" s="63" t="n"/>
      <c r="AA352" s="84" t="n"/>
    </row>
    <row r="353" hidden="1" ht="15.75" customHeight="1" s="56">
      <c r="A353" s="63" t="inlineStr">
        <is>
          <t>WMB</t>
        </is>
      </c>
      <c r="B353" s="79" t="n">
        <v>13</v>
      </c>
      <c r="C353" s="79" t="n">
        <v>436.5</v>
      </c>
      <c r="D353" s="79" t="n">
        <v>46.154</v>
      </c>
      <c r="E353" s="79" t="n">
        <v>3.298</v>
      </c>
      <c r="F353" s="79" t="n"/>
      <c r="G353" s="81" t="inlineStr">
        <is>
          <t>2024/03/08</t>
        </is>
      </c>
      <c r="H353" s="79" t="n"/>
      <c r="I353" s="85" t="inlineStr">
        <is>
          <t>2024/03/10</t>
        </is>
      </c>
      <c r="J353" s="23">
        <f>IF(ISBLANK(F353:G353),,IF(COUNTA(F353)=0,G353,F353))</f>
        <v/>
      </c>
      <c r="K353" s="6">
        <f>IFERROR(__xludf.DUMMYFUNCTION("if(isblank(J353),,index(googlefinance(A353,K$2,J353-1),2,2))"),35.92)</f>
        <v/>
      </c>
      <c r="L353" s="37">
        <f>IF(ISBLANK(H353:I353),,IF(COUNTA(H353)=0,I353,H353))</f>
        <v/>
      </c>
      <c r="M353" s="7">
        <f>IFERROR(__xludf.DUMMYFUNCTION("if(isblank(L353),, index(googlefinance(A353,M$2,L353-1),2,2))"),36.64)</f>
        <v/>
      </c>
      <c r="N353" s="8">
        <f>IFERROR(__xludf.DUMMYFUNCTION("if(isblank(A353),,googlefinance(A353))"),37.0)</f>
        <v/>
      </c>
      <c r="O353" s="38">
        <f>IF(ISBLANK(J353),,IF(ISBLANK(L353),"Ongoing","Completed"))</f>
        <v/>
      </c>
      <c r="P353" s="70">
        <f>IF(ISBLANK(A353),,IF(AND(COUNTA(F353)=1,S353&gt;0),"Profit",IF(AND(COUNTA(G353)=1,S353&lt;0),"Profit","Loss")))</f>
        <v/>
      </c>
      <c r="Q353" s="31">
        <f>IF(ISBLANK(T353),,IF(P353="Profit",IF(S353&lt;0,T353*-S353,T353*S353),IF(S353&gt;0,T353*-S353,T353*S353)))</f>
        <v/>
      </c>
      <c r="R353" s="59">
        <f>IF($Q353&gt;0, TRUE, FALSE)</f>
        <v/>
      </c>
      <c r="S353" s="59">
        <f>IF(ISBLANK(J353),,IF(ISBLANK(L353),N353-K353,M353-K353))</f>
        <v/>
      </c>
      <c r="T353" s="61">
        <f>IF(ISBLANK(J353),,ROUNDDOWN(T$1/K353,0))</f>
        <v/>
      </c>
      <c r="U353" s="84" t="n"/>
      <c r="V353" s="84" t="n"/>
      <c r="W353" s="63" t="n"/>
      <c r="X353" s="84" t="n"/>
      <c r="Y353" s="63" t="n"/>
      <c r="Z353" s="63" t="n"/>
      <c r="AA353" s="84" t="n"/>
    </row>
    <row r="354" hidden="1" ht="15.75" customHeight="1" s="56">
      <c r="A354" s="63" t="inlineStr">
        <is>
          <t>ACN</t>
        </is>
      </c>
      <c r="B354" s="79" t="n">
        <v>11</v>
      </c>
      <c r="C354" s="79" t="n">
        <v>89.58</v>
      </c>
      <c r="D354" s="79" t="n">
        <v>36.364</v>
      </c>
      <c r="E354" s="79" t="n">
        <v>1.318</v>
      </c>
      <c r="F354" s="79" t="n"/>
      <c r="G354" s="81" t="inlineStr">
        <is>
          <t>2024/03/10</t>
        </is>
      </c>
      <c r="H354" s="79" t="n"/>
      <c r="I354" s="79" t="inlineStr">
        <is>
          <t>2024/03/19</t>
        </is>
      </c>
      <c r="J354" s="23">
        <f>IF(ISBLANK(F354:G354),,IF(COUNTA(F354)=0,G354,F354))</f>
        <v/>
      </c>
      <c r="K354" s="6">
        <f>IFERROR(__xludf.DUMMYFUNCTION("if(isblank(J354),,index(googlefinance(A354,K$2,J354-1),2,2))"),373.22)</f>
        <v/>
      </c>
      <c r="L354" s="37">
        <f>IF(ISBLANK(H354:I354),,IF(COUNTA(H354)=0,I354,H354))</f>
        <v/>
      </c>
      <c r="M354" s="7">
        <f>IFERROR(__xludf.DUMMYFUNCTION("if(isblank(L354),, index(googlefinance(A354,M$2,L354-1),2,2))"),"")</f>
        <v/>
      </c>
      <c r="N354" s="8">
        <f>IFERROR(__xludf.DUMMYFUNCTION("if(isblank(A354),,googlefinance(A354))"),374.6)</f>
        <v/>
      </c>
      <c r="O354" s="38">
        <f>IF(ISBLANK(J354),,IF(ISBLANK(L354),"Ongoing","Completed"))</f>
        <v/>
      </c>
      <c r="P354" s="70">
        <f>IF(ISBLANK(A354),,IF(AND(COUNTA(F354)=1,S354&gt;0),"Profit",IF(AND(COUNTA(G354)=1,S354&lt;0),"Profit","Loss")))</f>
        <v/>
      </c>
      <c r="Q354" s="31">
        <f>IF(ISBLANK(T354),,IF(P354="Profit",IF(S354&lt;0,T354*-S354,T354*S354),IF(S354&gt;0,T354*-S354,T354*S354)))</f>
        <v/>
      </c>
      <c r="R354" s="59">
        <f>IF($Q354&gt;0, TRUE, FALSE)</f>
        <v/>
      </c>
      <c r="S354" s="59">
        <f>IF(ISBLANK(J354),,IF(ISBLANK(L354),N354-K354,M354-K354))</f>
        <v/>
      </c>
      <c r="T354" s="61">
        <f>IF(ISBLANK(J354),,ROUNDDOWN(T$1/K354,0))</f>
        <v/>
      </c>
      <c r="U354" s="84" t="n"/>
      <c r="V354" s="84" t="n"/>
      <c r="W354" s="63" t="n"/>
      <c r="X354" s="84" t="n"/>
      <c r="Y354" s="63" t="n"/>
      <c r="Z354" s="63" t="n"/>
      <c r="AA354" s="84" t="n"/>
    </row>
    <row r="355" hidden="1" ht="15.75" customHeight="1" s="56">
      <c r="A355" s="63" t="inlineStr">
        <is>
          <t>CDNS</t>
        </is>
      </c>
      <c r="B355" s="79" t="n">
        <v>15</v>
      </c>
      <c r="C355" s="79" t="n">
        <v>25.22</v>
      </c>
      <c r="D355" s="79" t="n">
        <v>40</v>
      </c>
      <c r="E355" s="79" t="n">
        <v>1.092</v>
      </c>
      <c r="F355" s="79" t="n"/>
      <c r="G355" s="81" t="inlineStr">
        <is>
          <t>2024/03/10</t>
        </is>
      </c>
      <c r="H355" s="79" t="n"/>
      <c r="I355" s="79" t="inlineStr">
        <is>
          <t>2024/03/21</t>
        </is>
      </c>
      <c r="J355" s="23">
        <f>IF(ISBLANK(F355:G355),,IF(COUNTA(F355)=0,G355,F355))</f>
        <v/>
      </c>
      <c r="K355" s="6">
        <f>IFERROR(__xludf.DUMMYFUNCTION("if(isblank(J355),,index(googlefinance(A355,K$2,J355-1),2,2))"),305.74)</f>
        <v/>
      </c>
      <c r="L355" s="37">
        <f>IF(ISBLANK(H355:I355),,IF(COUNTA(H355)=0,I355,H355))</f>
        <v/>
      </c>
      <c r="M355" s="7">
        <f>IFERROR(__xludf.DUMMYFUNCTION("if(isblank(L355),, index(googlefinance(A355,M$2,L355-1),2,2))"),"")</f>
        <v/>
      </c>
      <c r="N355" s="8">
        <f>IFERROR(__xludf.DUMMYFUNCTION("if(isblank(A355),,googlefinance(A355))"),298.44)</f>
        <v/>
      </c>
      <c r="O355" s="38">
        <f>IF(ISBLANK(J355),,IF(ISBLANK(L355),"Ongoing","Completed"))</f>
        <v/>
      </c>
      <c r="P355" s="70">
        <f>IF(ISBLANK(A355),,IF(AND(COUNTA(F355)=1,S355&gt;0),"Profit",IF(AND(COUNTA(G355)=1,S355&lt;0),"Profit","Loss")))</f>
        <v/>
      </c>
      <c r="Q355" s="31">
        <f>IF(ISBLANK(T355),,IF(P355="Profit",IF(S355&lt;0,T355*-S355,T355*S355),IF(S355&gt;0,T355*-S355,T355*S355)))</f>
        <v/>
      </c>
      <c r="R355" s="59">
        <f>IF($Q355&gt;0, TRUE, FALSE)</f>
        <v/>
      </c>
      <c r="S355" s="59">
        <f>IF(ISBLANK(J355),,IF(ISBLANK(L355),N355-K355,M355-K355))</f>
        <v/>
      </c>
      <c r="T355" s="61">
        <f>IF(ISBLANK(J355),,ROUNDDOWN(T$1/K355,0))</f>
        <v/>
      </c>
      <c r="U355" s="84" t="n"/>
      <c r="V355" s="84" t="n"/>
      <c r="W355" s="63" t="n"/>
      <c r="X355" s="84" t="n"/>
      <c r="Y355" s="63" t="n"/>
      <c r="Z355" s="63" t="n"/>
      <c r="AA355" s="84" t="n"/>
    </row>
    <row r="356" hidden="1" ht="15.75" customHeight="1" s="56">
      <c r="A356" s="63" t="inlineStr">
        <is>
          <t>COST</t>
        </is>
      </c>
      <c r="B356" s="79" t="n">
        <v>14</v>
      </c>
      <c r="C356" s="79" t="n">
        <v>11.79</v>
      </c>
      <c r="D356" s="79" t="n">
        <v>28.571</v>
      </c>
      <c r="E356" s="79" t="n">
        <v>1.06</v>
      </c>
      <c r="F356" s="79" t="n"/>
      <c r="G356" s="81" t="inlineStr">
        <is>
          <t>2024/03/10</t>
        </is>
      </c>
      <c r="H356" s="79" t="n"/>
      <c r="I356" s="79" t="inlineStr">
        <is>
          <t>2024/03/21</t>
        </is>
      </c>
      <c r="J356" s="23">
        <f>IF(ISBLANK(F356:G356),,IF(COUNTA(F356)=0,G356,F356))</f>
        <v/>
      </c>
      <c r="K356" s="6">
        <f>IFERROR(__xludf.DUMMYFUNCTION("if(isblank(J356),,index(googlefinance(A356,K$2,J356-1),2,2))"),714.08)</f>
        <v/>
      </c>
      <c r="L356" s="37">
        <f>IF(ISBLANK(H356:I356),,IF(COUNTA(H356)=0,I356,H356))</f>
        <v/>
      </c>
      <c r="M356" s="7">
        <f>IFERROR(__xludf.DUMMYFUNCTION("if(isblank(L356),, index(googlefinance(A356,M$2,L356-1),2,2))"),"")</f>
        <v/>
      </c>
      <c r="N356" s="8">
        <f>IFERROR(__xludf.DUMMYFUNCTION("if(isblank(A356),,googlefinance(A356))"),725.63)</f>
        <v/>
      </c>
      <c r="O356" s="38">
        <f>IF(ISBLANK(J356),,IF(ISBLANK(L356),"Ongoing","Completed"))</f>
        <v/>
      </c>
      <c r="P356" s="70">
        <f>IF(ISBLANK(A356),,IF(AND(COUNTA(F356)=1,S356&gt;0),"Profit",IF(AND(COUNTA(G356)=1,S356&lt;0),"Profit","Loss")))</f>
        <v/>
      </c>
      <c r="Q356" s="31">
        <f>IF(ISBLANK(T356),,IF(P356="Profit",IF(S356&lt;0,T356*-S356,T356*S356),IF(S356&gt;0,T356*-S356,T356*S356)))</f>
        <v/>
      </c>
      <c r="R356" s="59">
        <f>IF($Q356&gt;0, TRUE, FALSE)</f>
        <v/>
      </c>
      <c r="S356" s="59">
        <f>IF(ISBLANK(J356),,IF(ISBLANK(L356),N356-K356,M356-K356))</f>
        <v/>
      </c>
      <c r="T356" s="61">
        <f>IF(ISBLANK(J356),,ROUNDDOWN(T$1/K356,0))</f>
        <v/>
      </c>
      <c r="U356" s="84" t="n"/>
      <c r="V356" s="84" t="n"/>
      <c r="W356" s="63" t="n"/>
      <c r="X356" s="84" t="n"/>
      <c r="Y356" s="63" t="n"/>
      <c r="Z356" s="63" t="n"/>
      <c r="AA356" s="84" t="n"/>
    </row>
    <row r="357" hidden="1" ht="15.75" customHeight="1" s="56">
      <c r="A357" s="63" t="inlineStr">
        <is>
          <t>MDLZ</t>
        </is>
      </c>
      <c r="B357" s="79" t="n">
        <v>12</v>
      </c>
      <c r="C357" s="79" t="n">
        <v>95.06</v>
      </c>
      <c r="D357" s="79" t="n">
        <v>33.333</v>
      </c>
      <c r="E357" s="79" t="n">
        <v>1.815</v>
      </c>
      <c r="F357" s="81" t="inlineStr">
        <is>
          <t>2024/03/10</t>
        </is>
      </c>
      <c r="G357" s="79" t="n"/>
      <c r="H357" s="81" t="inlineStr">
        <is>
          <t>2024/03/11</t>
        </is>
      </c>
      <c r="I357" s="79" t="n"/>
      <c r="J357" s="23">
        <f>IF(ISBLANK(F357:G357),,IF(COUNTA(F357)=0,G357,F357))</f>
        <v/>
      </c>
      <c r="K357" s="6">
        <f>IFERROR(__xludf.DUMMYFUNCTION("if(isblank(J357),,index(googlefinance(A357,K$2,J357-1),2,2))"),72.4)</f>
        <v/>
      </c>
      <c r="L357" s="37">
        <f>IF(ISBLANK(H357:I357),,IF(COUNTA(H357)=0,I357,H357))</f>
        <v/>
      </c>
      <c r="M357" s="7">
        <f>IFERROR(__xludf.DUMMYFUNCTION("if(isblank(L357),, index(googlefinance(A357,M$2,L357-1),2,2))"),72.4)</f>
        <v/>
      </c>
      <c r="N357" s="8">
        <f>IFERROR(__xludf.DUMMYFUNCTION("if(isblank(A357),,googlefinance(A357))"),70.75)</f>
        <v/>
      </c>
      <c r="O357" s="38">
        <f>IF(ISBLANK(J357),,IF(ISBLANK(L357),"Ongoing","Completed"))</f>
        <v/>
      </c>
      <c r="P357" s="70">
        <f>IF(ISBLANK(A357),,IF(AND(COUNTA(F357)=1,S357&gt;0),"Profit",IF(AND(COUNTA(G357)=1,S357&lt;0),"Profit","Loss")))</f>
        <v/>
      </c>
      <c r="Q357" s="31">
        <f>IF(ISBLANK(T357),,IF(P357="Profit",IF(S357&lt;0,T357*-S357,T357*S357),IF(S357&gt;0,T357*-S357,T357*S357)))</f>
        <v/>
      </c>
      <c r="R357" s="59">
        <f>IF($Q357&gt;0, TRUE, FALSE)</f>
        <v/>
      </c>
      <c r="S357" s="59">
        <f>IF(ISBLANK(J357),,IF(ISBLANK(L357),N357-K357,M357-K357))</f>
        <v/>
      </c>
      <c r="T357" s="61">
        <f>IF(ISBLANK(J357),,ROUNDDOWN(T$1/K357,0))</f>
        <v/>
      </c>
      <c r="U357" s="84" t="n"/>
      <c r="V357" s="84" t="n"/>
      <c r="W357" s="63" t="n"/>
      <c r="X357" s="84" t="n"/>
      <c r="Y357" s="63" t="n"/>
      <c r="Z357" s="63" t="n"/>
      <c r="AA357" s="84" t="n"/>
    </row>
    <row r="358" hidden="1" ht="15.75" customHeight="1" s="56">
      <c r="A358" s="63" t="inlineStr">
        <is>
          <t>FOXA</t>
        </is>
      </c>
      <c r="B358" s="79" t="n">
        <v>13</v>
      </c>
      <c r="C358" s="79" t="n">
        <v>7.11</v>
      </c>
      <c r="D358" s="79" t="n">
        <v>38.462</v>
      </c>
      <c r="E358" s="79" t="n">
        <v>1.048</v>
      </c>
      <c r="F358" s="81" t="inlineStr">
        <is>
          <t>2024/03/11</t>
        </is>
      </c>
      <c r="G358" s="79" t="n"/>
      <c r="H358" s="81" t="inlineStr">
        <is>
          <t>2024/03/13</t>
        </is>
      </c>
      <c r="I358" s="79" t="n"/>
      <c r="J358" s="23">
        <f>IF(ISBLANK(F358:G358),,IF(COUNTA(F358)=0,G358,F358))</f>
        <v/>
      </c>
      <c r="K358" s="6">
        <f>IFERROR(__xludf.DUMMYFUNCTION("if(isblank(J358),,index(googlefinance(A358,K$2,J358-1),2,2))"),29.93)</f>
        <v/>
      </c>
      <c r="L358" s="37">
        <f>IF(ISBLANK(H358:I358),,IF(COUNTA(H358)=0,I358,H358))</f>
        <v/>
      </c>
      <c r="M358" s="7">
        <f>IFERROR(__xludf.DUMMYFUNCTION("if(isblank(L358),, index(googlefinance(A358,M$2,L358-1),2,2))"),29.46)</f>
        <v/>
      </c>
      <c r="N358" s="8">
        <f>IFERROR(__xludf.DUMMYFUNCTION("if(isblank(A358),,googlefinance(A358))"),29.55)</f>
        <v/>
      </c>
      <c r="O358" s="38">
        <f>IF(ISBLANK(J358),,IF(ISBLANK(L358),"Ongoing","Completed"))</f>
        <v/>
      </c>
      <c r="P358" s="70">
        <f>IF(ISBLANK(A358),,IF(AND(COUNTA(F358)=1,S358&gt;0),"Profit",IF(AND(COUNTA(G358)=1,S358&lt;0),"Profit","Loss")))</f>
        <v/>
      </c>
      <c r="Q358" s="31">
        <f>IF(ISBLANK(T358),,IF(P358="Profit",IF(S358&lt;0,T358*-S358,T358*S358),IF(S358&gt;0,T358*-S358,T358*S358)))</f>
        <v/>
      </c>
      <c r="R358" s="59">
        <f>IF($Q358&gt;0, TRUE, FALSE)</f>
        <v/>
      </c>
      <c r="S358" s="59">
        <f>IF(ISBLANK(J358),,IF(ISBLANK(L358),N358-K358,M358-K358))</f>
        <v/>
      </c>
      <c r="T358" s="61">
        <f>IF(ISBLANK(J358),,ROUNDDOWN(T$1/K358,0))</f>
        <v/>
      </c>
      <c r="U358" s="84" t="n"/>
      <c r="V358" s="84" t="n"/>
      <c r="W358" s="63" t="n"/>
      <c r="X358" s="84" t="n"/>
      <c r="Y358" s="63" t="n"/>
      <c r="Z358" s="63" t="n"/>
      <c r="AA358" s="84" t="n"/>
    </row>
    <row r="359" ht="15.75" customHeight="1" s="56">
      <c r="A359" s="63" t="inlineStr">
        <is>
          <t>GOOG</t>
        </is>
      </c>
      <c r="B359" s="79" t="n">
        <v>10</v>
      </c>
      <c r="C359" s="79" t="n">
        <v>47.243</v>
      </c>
      <c r="D359" s="79" t="n">
        <v>40</v>
      </c>
      <c r="E359" s="79" t="n">
        <v>1.303</v>
      </c>
      <c r="F359" s="81" t="inlineStr">
        <is>
          <t>2024/03/11</t>
        </is>
      </c>
      <c r="G359" s="79" t="n"/>
      <c r="H359" s="79" t="n"/>
      <c r="I359" s="79" t="n"/>
      <c r="J359" s="23">
        <f>IF(ISBLANK(F359:G359),,IF(COUNTA(F359)=0,G359,F359))</f>
        <v/>
      </c>
      <c r="K359" s="6">
        <f>IFERROR(__xludf.DUMMYFUNCTION("if(isblank(J359),,index(googlefinance(A359,K$2,J359-1),2,2))"),138.94)</f>
        <v/>
      </c>
      <c r="L359" s="37">
        <f>IF(ISBLANK(H359:I359),,IF(COUNTA(H359)=0,I359,H359))</f>
        <v/>
      </c>
      <c r="M359" s="7">
        <f>IFERROR(__xludf.DUMMYFUNCTION("if(isblank(L359),, index(googlefinance(A359,M$2,L359-1),2,2))"),"")</f>
        <v/>
      </c>
      <c r="N359" s="8">
        <f>IFERROR(__xludf.DUMMYFUNCTION("if(isblank(A359),,googlefinance(A359))"),142.17)</f>
        <v/>
      </c>
      <c r="O359" s="38">
        <f>IF(ISBLANK(J359),,IF(ISBLANK(L359),"Ongoing","Completed"))</f>
        <v/>
      </c>
      <c r="P359" s="70">
        <f>IF(ISBLANK(A359),,IF(AND(COUNTA(F359)=1,S359&gt;0),"Profit",IF(AND(COUNTA(G359)=1,S359&lt;0),"Profit","Loss")))</f>
        <v/>
      </c>
      <c r="Q359" s="31">
        <f>IF(ISBLANK(T359),,IF(P359="Profit",IF(S359&lt;0,T359*-S359,T359*S359),IF(S359&gt;0,T359*-S359,T359*S359)))</f>
        <v/>
      </c>
      <c r="R359" s="59">
        <f>IF($Q359&gt;0, TRUE, FALSE)</f>
        <v/>
      </c>
      <c r="S359" s="59">
        <f>IF(ISBLANK(J359),,IF(ISBLANK(L359),N359-K359,M359-K359))</f>
        <v/>
      </c>
      <c r="T359" s="61">
        <f>IF(ISBLANK(J359),,ROUNDDOWN(T$1/K359,0))</f>
        <v/>
      </c>
      <c r="U359" s="84" t="n"/>
      <c r="V359" s="84" t="n"/>
      <c r="W359" s="63" t="n"/>
      <c r="X359" s="84" t="n"/>
      <c r="Y359" s="63" t="n"/>
      <c r="Z359" s="63" t="n"/>
      <c r="AA359" s="84" t="n"/>
    </row>
    <row r="360" ht="15.75" customHeight="1" s="56">
      <c r="A360" s="63" t="inlineStr">
        <is>
          <t>GOOGL</t>
        </is>
      </c>
      <c r="B360" s="79" t="n">
        <v>9</v>
      </c>
      <c r="C360" s="79" t="n">
        <v>208.144</v>
      </c>
      <c r="D360" s="79" t="n">
        <v>66.667</v>
      </c>
      <c r="E360" s="79" t="n">
        <v>2.995</v>
      </c>
      <c r="F360" s="81" t="inlineStr">
        <is>
          <t>2024/03/11</t>
        </is>
      </c>
      <c r="G360" s="79" t="n"/>
      <c r="H360" s="79" t="n"/>
      <c r="I360" s="79" t="n"/>
      <c r="J360" s="23">
        <f>IF(ISBLANK(F360:G360),,IF(COUNTA(F360)=0,G360,F360))</f>
        <v/>
      </c>
      <c r="K360" s="6">
        <f>IFERROR(__xludf.DUMMYFUNCTION("if(isblank(J360),,index(googlefinance(A360,K$2,J360-1),2,2))"),137.67)</f>
        <v/>
      </c>
      <c r="L360" s="37">
        <f>IF(ISBLANK(H360:I360),,IF(COUNTA(H360)=0,I360,H360))</f>
        <v/>
      </c>
      <c r="M360" s="7">
        <f>IFERROR(__xludf.DUMMYFUNCTION("if(isblank(L360),, index(googlefinance(A360,M$2,L360-1),2,2))"),"")</f>
        <v/>
      </c>
      <c r="N360" s="8">
        <f>IFERROR(__xludf.DUMMYFUNCTION("if(isblank(A360),,googlefinance(A360))"),141.18)</f>
        <v/>
      </c>
      <c r="O360" s="38">
        <f>IF(ISBLANK(J360),,IF(ISBLANK(L360),"Ongoing","Completed"))</f>
        <v/>
      </c>
      <c r="P360" s="70">
        <f>IF(ISBLANK(A360),,IF(AND(COUNTA(F360)=1,S360&gt;0),"Profit",IF(AND(COUNTA(G360)=1,S360&lt;0),"Profit","Loss")))</f>
        <v/>
      </c>
      <c r="Q360" s="31">
        <f>IF(ISBLANK(T360),,IF(P360="Profit",IF(S360&lt;0,T360*-S360,T360*S360),IF(S360&gt;0,T360*-S360,T360*S360)))</f>
        <v/>
      </c>
      <c r="R360" s="59">
        <f>IF($Q360&gt;0, TRUE, FALSE)</f>
        <v/>
      </c>
      <c r="S360" s="59">
        <f>IF(ISBLANK(J360),,IF(ISBLANK(L360),N360-K360,M360-K360))</f>
        <v/>
      </c>
      <c r="T360" s="61">
        <f>IF(ISBLANK(J360),,ROUNDDOWN(T$1/K360,0))</f>
        <v/>
      </c>
      <c r="U360" s="84" t="n"/>
      <c r="V360" s="84" t="n"/>
      <c r="W360" s="63" t="n"/>
      <c r="X360" s="84" t="n"/>
      <c r="Y360" s="63" t="n"/>
      <c r="Z360" s="63" t="n"/>
      <c r="AA360" s="84" t="n"/>
    </row>
    <row r="361" hidden="1" ht="15.75" customHeight="1" s="56">
      <c r="A361" s="63" t="inlineStr">
        <is>
          <t>WDC</t>
        </is>
      </c>
      <c r="B361" s="79" t="n">
        <v>12</v>
      </c>
      <c r="C361" s="79" t="n">
        <v>190.62</v>
      </c>
      <c r="D361" s="79" t="n">
        <v>50</v>
      </c>
      <c r="E361" s="79" t="n">
        <v>1.525</v>
      </c>
      <c r="F361" s="79" t="n"/>
      <c r="G361" s="81" t="inlineStr">
        <is>
          <t>2024/03/11</t>
        </is>
      </c>
      <c r="H361" s="79" t="n"/>
      <c r="I361" s="79" t="inlineStr">
        <is>
          <t>2024/03/21</t>
        </is>
      </c>
      <c r="J361" s="23">
        <f>IF(ISBLANK(F361:G361),,IF(COUNTA(F361)=0,G361,F361))</f>
        <v/>
      </c>
      <c r="K361" s="6">
        <f>IFERROR(__xludf.DUMMYFUNCTION("if(isblank(J361),,index(googlefinance(A361,K$2,J361-1),2,2))"),62.05)</f>
        <v/>
      </c>
      <c r="L361" s="37">
        <f>IF(ISBLANK(H361:I361),,IF(COUNTA(H361)=0,I361,H361))</f>
        <v/>
      </c>
      <c r="M361" s="7">
        <f>IFERROR(__xludf.DUMMYFUNCTION("if(isblank(L361),, index(googlefinance(A361,M$2,L361-1),2,2))"),"")</f>
        <v/>
      </c>
      <c r="N361" s="8">
        <f>IFERROR(__xludf.DUMMYFUNCTION("if(isblank(A361),,googlefinance(A361))"),59.79)</f>
        <v/>
      </c>
      <c r="O361" s="38">
        <f>IF(ISBLANK(J361),,IF(ISBLANK(L361),"Ongoing","Completed"))</f>
        <v/>
      </c>
      <c r="P361" s="70">
        <f>IF(ISBLANK(A361),,IF(AND(COUNTA(F361)=1,S361&gt;0),"Profit",IF(AND(COUNTA(G361)=1,S361&lt;0),"Profit","Loss")))</f>
        <v/>
      </c>
      <c r="Q361" s="31">
        <f>IF(ISBLANK(T361),,IF(P361="Profit",IF(S361&lt;0,T361*-S361,T361*S361),IF(S361&gt;0,T361*-S361,T361*S361)))</f>
        <v/>
      </c>
      <c r="R361" s="59">
        <f>IF($Q361&gt;0, TRUE, FALSE)</f>
        <v/>
      </c>
      <c r="S361" s="59">
        <f>IF(ISBLANK(J361),,IF(ISBLANK(L361),N361-K361,M361-K361))</f>
        <v/>
      </c>
      <c r="T361" s="61">
        <f>IF(ISBLANK(J361),,ROUNDDOWN(T$1/K361,0))</f>
        <v/>
      </c>
      <c r="U361" s="84" t="n"/>
      <c r="V361" s="84" t="n"/>
      <c r="W361" s="63" t="n"/>
      <c r="X361" s="84" t="n"/>
      <c r="Y361" s="63" t="n"/>
      <c r="Z361" s="63" t="n"/>
      <c r="AA361" s="84" t="n"/>
    </row>
    <row r="362" hidden="1" ht="15.75" customHeight="1" s="56">
      <c r="A362" s="63" t="inlineStr">
        <is>
          <t>BLK</t>
        </is>
      </c>
      <c r="B362" s="79" t="n">
        <v>16</v>
      </c>
      <c r="C362" s="79" t="n">
        <v>610.61</v>
      </c>
      <c r="D362" s="79" t="n">
        <v>43.75</v>
      </c>
      <c r="E362" s="79" t="n">
        <v>3.798</v>
      </c>
      <c r="F362" s="79" t="n"/>
      <c r="G362" s="81" t="inlineStr">
        <is>
          <t>2024/03/12</t>
        </is>
      </c>
      <c r="H362" s="79" t="n"/>
      <c r="I362" s="79" t="inlineStr">
        <is>
          <t>2024/03/21</t>
        </is>
      </c>
      <c r="J362" s="23">
        <f>IF(ISBLANK(F362:G362),,IF(COUNTA(F362)=0,G362,F362))</f>
        <v/>
      </c>
      <c r="K362" s="6">
        <f>IFERROR(__xludf.DUMMYFUNCTION("if(isblank(J362),,index(googlefinance(A362,K$2,J362-1),2,2))"),825.16)</f>
        <v/>
      </c>
      <c r="L362" s="37">
        <f>IF(ISBLANK(H362:I362),,IF(COUNTA(H362)=0,I362,H362))</f>
        <v/>
      </c>
      <c r="M362" s="7">
        <f>IFERROR(__xludf.DUMMYFUNCTION("if(isblank(L362),, index(googlefinance(A362,M$2,L362-1),2,2))"),"")</f>
        <v/>
      </c>
      <c r="N362" s="8">
        <f>IFERROR(__xludf.DUMMYFUNCTION("if(isblank(A362),,googlefinance(A362))"),802.52)</f>
        <v/>
      </c>
      <c r="O362" s="38">
        <f>IF(ISBLANK(J362),,IF(ISBLANK(L362),"Ongoing","Completed"))</f>
        <v/>
      </c>
      <c r="P362" s="70">
        <f>IF(ISBLANK(A362),,IF(AND(COUNTA(F362)=1,S362&gt;0),"Profit",IF(AND(COUNTA(G362)=1,S362&lt;0),"Profit","Loss")))</f>
        <v/>
      </c>
      <c r="Q362" s="31">
        <f>IF(ISBLANK(T362),,IF(P362="Profit",IF(S362&lt;0,T362*-S362,T362*S362),IF(S362&gt;0,T362*-S362,T362*S362)))</f>
        <v/>
      </c>
      <c r="R362" s="59">
        <f>IF($Q362&gt;0, TRUE, FALSE)</f>
        <v/>
      </c>
      <c r="S362" s="59">
        <f>IF(ISBLANK(J362),,IF(ISBLANK(L362),N362-K362,M362-K362))</f>
        <v/>
      </c>
      <c r="T362" s="61">
        <f>IF(ISBLANK(J362),,ROUNDDOWN(T$1/K362,0))</f>
        <v/>
      </c>
      <c r="U362" s="84" t="n"/>
      <c r="V362" s="84" t="n"/>
      <c r="W362" s="63" t="n"/>
      <c r="X362" s="84" t="n"/>
      <c r="Y362" s="63" t="n"/>
      <c r="Z362" s="63" t="n"/>
      <c r="AA362" s="84" t="n"/>
    </row>
    <row r="363" ht="15.75" customHeight="1" s="56">
      <c r="A363" s="63" t="inlineStr">
        <is>
          <t>PEP</t>
        </is>
      </c>
      <c r="B363" s="79" t="n">
        <v>12</v>
      </c>
      <c r="C363" s="79" t="n">
        <v>111.05</v>
      </c>
      <c r="D363" s="79" t="n">
        <v>41.667</v>
      </c>
      <c r="E363" s="79" t="n">
        <v>2.292</v>
      </c>
      <c r="F363" s="81" t="inlineStr">
        <is>
          <t>2024/03/12</t>
        </is>
      </c>
      <c r="G363" s="79" t="n"/>
      <c r="H363" s="79" t="n"/>
      <c r="I363" s="79" t="n"/>
      <c r="J363" s="23">
        <f>IF(ISBLANK(F363:G363),,IF(COUNTA(F363)=0,G363,F363))</f>
        <v/>
      </c>
      <c r="K363" s="6">
        <f>IFERROR(__xludf.DUMMYFUNCTION("if(isblank(J363),,index(googlefinance(A363,K$2,J363-1),2,2))"),164.73)</f>
        <v/>
      </c>
      <c r="L363" s="37">
        <f>IF(ISBLANK(H363:I363),,IF(COUNTA(H363)=0,I363,H363))</f>
        <v/>
      </c>
      <c r="M363" s="7">
        <f>IFERROR(__xludf.DUMMYFUNCTION("if(isblank(L363),, index(googlefinance(A363,M$2,L363-1),2,2))"),"")</f>
        <v/>
      </c>
      <c r="N363" s="8">
        <f>IFERROR(__xludf.DUMMYFUNCTION("if(isblank(A363),,googlefinance(A363))"),164.66)</f>
        <v/>
      </c>
      <c r="O363" s="38">
        <f>IF(ISBLANK(J363),,IF(ISBLANK(L363),"Ongoing","Completed"))</f>
        <v/>
      </c>
      <c r="P363" s="70">
        <f>IF(ISBLANK(A363),,IF(AND(COUNTA(F363)=1,S363&gt;0),"Profit",IF(AND(COUNTA(G363)=1,S363&lt;0),"Profit","Loss")))</f>
        <v/>
      </c>
      <c r="Q363" s="31">
        <f>IF(ISBLANK(T363),,IF(P363="Profit",IF(S363&lt;0,T363*-S363,T363*S363),IF(S363&gt;0,T363*-S363,T363*S363)))</f>
        <v/>
      </c>
      <c r="R363" s="59">
        <f>IF($Q363&gt;0, TRUE, FALSE)</f>
        <v/>
      </c>
      <c r="S363" s="59">
        <f>IF(ISBLANK(J363),,IF(ISBLANK(L363),N363-K363,M363-K363))</f>
        <v/>
      </c>
      <c r="T363" s="61">
        <f>IF(ISBLANK(J363),,ROUNDDOWN(T$1/K363,0))</f>
        <v/>
      </c>
      <c r="U363" s="84" t="n"/>
      <c r="V363" s="84" t="n"/>
      <c r="W363" s="63" t="n"/>
      <c r="X363" s="84" t="n"/>
      <c r="Y363" s="63" t="n"/>
      <c r="Z363" s="63" t="n"/>
      <c r="AA363" s="84" t="n"/>
    </row>
    <row r="364" ht="15.75" customHeight="1" s="56">
      <c r="A364" s="63" t="inlineStr">
        <is>
          <t>CAH</t>
        </is>
      </c>
      <c r="B364" s="79" t="n">
        <v>13</v>
      </c>
      <c r="C364" s="79" t="n">
        <v>191.58</v>
      </c>
      <c r="D364" s="79" t="n">
        <v>30.769</v>
      </c>
      <c r="E364" s="79" t="n">
        <v>2.184</v>
      </c>
      <c r="F364" s="81" t="inlineStr">
        <is>
          <t>2024/03/13</t>
        </is>
      </c>
      <c r="G364" s="79" t="n"/>
      <c r="H364" s="79" t="n"/>
      <c r="I364" s="79" t="n"/>
      <c r="J364" s="23">
        <f>IF(ISBLANK(F364:G364),,IF(COUNTA(F364)=0,G364,F364))</f>
        <v/>
      </c>
      <c r="K364" s="6">
        <f>IFERROR(__xludf.DUMMYFUNCTION("if(isblank(J364),,index(googlefinance(A364,K$2,J364-1),2,2))"),115.62)</f>
        <v/>
      </c>
      <c r="L364" s="37">
        <f>IF(ISBLANK(H364:I364),,IF(COUNTA(H364)=0,I364,H364))</f>
        <v/>
      </c>
      <c r="M364" s="7">
        <f>IFERROR(__xludf.DUMMYFUNCTION("if(isblank(L364),, index(googlefinance(A364,M$2,L364-1),2,2))"),"")</f>
        <v/>
      </c>
      <c r="N364" s="8">
        <f>IFERROR(__xludf.DUMMYFUNCTION("if(isblank(A364),,googlefinance(A364))"),110.61)</f>
        <v/>
      </c>
      <c r="O364" s="38">
        <f>IF(ISBLANK(J364),,IF(ISBLANK(L364),"Ongoing","Completed"))</f>
        <v/>
      </c>
      <c r="P364" s="70">
        <f>IF(ISBLANK(A364),,IF(AND(COUNTA(F364)=1,S364&gt;0),"Profit",IF(AND(COUNTA(G364)=1,S364&lt;0),"Profit","Loss")))</f>
        <v/>
      </c>
      <c r="Q364" s="31">
        <f>IF(ISBLANK(T364),,IF(P364="Profit",IF(S364&lt;0,T364*-S364,T364*S364),IF(S364&gt;0,T364*-S364,T364*S364)))</f>
        <v/>
      </c>
      <c r="R364" s="59">
        <f>IF($Q364&gt;0, TRUE, FALSE)</f>
        <v/>
      </c>
      <c r="S364" s="59">
        <f>IF(ISBLANK(J364),,IF(ISBLANK(L364),N364-K364,M364-K364))</f>
        <v/>
      </c>
      <c r="T364" s="61">
        <f>IF(ISBLANK(J364),,ROUNDDOWN(T$1/K364,0))</f>
        <v/>
      </c>
      <c r="U364" s="84" t="n"/>
      <c r="V364" s="84" t="n"/>
      <c r="W364" s="63" t="n"/>
      <c r="X364" s="84" t="n"/>
      <c r="Y364" s="63" t="n"/>
      <c r="Z364" s="63" t="n"/>
      <c r="AA364" s="84" t="n"/>
    </row>
    <row r="365" ht="15.75" customHeight="1" s="56">
      <c r="A365" s="63" t="inlineStr">
        <is>
          <t>IBM</t>
        </is>
      </c>
      <c r="B365" s="79" t="n">
        <v>12</v>
      </c>
      <c r="C365" s="79" t="n">
        <v>197.073</v>
      </c>
      <c r="D365" s="79" t="n">
        <v>41.667</v>
      </c>
      <c r="E365" s="79" t="n">
        <v>3.431</v>
      </c>
      <c r="F365" s="81" t="inlineStr">
        <is>
          <t>2024/03/14</t>
        </is>
      </c>
      <c r="G365" s="79" t="n"/>
      <c r="H365" s="79" t="n"/>
      <c r="I365" s="79" t="n"/>
      <c r="J365" s="23">
        <f>IF(ISBLANK(F365:G365),,IF(COUNTA(F365)=0,G365,F365))</f>
        <v/>
      </c>
      <c r="K365" s="6">
        <f>IFERROR(__xludf.DUMMYFUNCTION("if(isblank(J365),,index(googlefinance(A365,K$2,J365-1),2,2))"),196.7)</f>
        <v/>
      </c>
      <c r="L365" s="37">
        <f>IF(ISBLANK(H365:I365),,IF(COUNTA(H365)=0,I365,H365))</f>
        <v/>
      </c>
      <c r="M365" s="7">
        <f>IFERROR(__xludf.DUMMYFUNCTION("if(isblank(L365),, index(googlefinance(A365,M$2,L365-1),2,2))"),"")</f>
        <v/>
      </c>
      <c r="N365" s="8">
        <f>IFERROR(__xludf.DUMMYFUNCTION("if(isblank(A365),,googlefinance(A365))"),191.07)</f>
        <v/>
      </c>
      <c r="O365" s="38">
        <f>IF(ISBLANK(J365),,IF(ISBLANK(L365),"Ongoing","Completed"))</f>
        <v/>
      </c>
      <c r="P365" s="70">
        <f>IF(ISBLANK(A365),,IF(AND(COUNTA(F365)=1,S365&gt;0),"Profit",IF(AND(COUNTA(G365)=1,S365&lt;0),"Profit","Loss")))</f>
        <v/>
      </c>
      <c r="Q365" s="31">
        <f>IF(ISBLANK(T365),,IF(P365="Profit",IF(S365&lt;0,T365*-S365,T365*S365),IF(S365&gt;0,T365*-S365,T365*S365)))</f>
        <v/>
      </c>
      <c r="R365" s="59">
        <f>IF($Q365&gt;0, TRUE, FALSE)</f>
        <v/>
      </c>
      <c r="S365" s="59">
        <f>IF(ISBLANK(J365),,IF(ISBLANK(L365),N365-K365,M365-K365))</f>
        <v/>
      </c>
      <c r="T365" s="61">
        <f>IF(ISBLANK(J365),,ROUNDDOWN(T$1/K365,0))</f>
        <v/>
      </c>
      <c r="U365" s="84" t="n"/>
      <c r="V365" s="84" t="n"/>
      <c r="W365" s="63" t="n"/>
      <c r="X365" s="84" t="n"/>
      <c r="Y365" s="63" t="n"/>
      <c r="Z365" s="63" t="n"/>
      <c r="AA365" s="84" t="n"/>
    </row>
    <row r="366" ht="15.75" customHeight="1" s="56">
      <c r="A366" s="63" t="inlineStr">
        <is>
          <t>KMB</t>
        </is>
      </c>
      <c r="B366" s="79" t="n">
        <v>7</v>
      </c>
      <c r="C366" s="79" t="n">
        <v>67.76000000000001</v>
      </c>
      <c r="D366" s="79" t="n">
        <v>42.857</v>
      </c>
      <c r="E366" s="79" t="n">
        <v>2.524</v>
      </c>
      <c r="F366" s="79" t="n"/>
      <c r="G366" s="81" t="inlineStr">
        <is>
          <t>2024/03/14</t>
        </is>
      </c>
      <c r="H366" s="79" t="n"/>
      <c r="I366" s="79" t="n"/>
      <c r="J366" s="23">
        <f>IF(ISBLANK(F366:G366),,IF(COUNTA(F366)=0,G366,F366))</f>
        <v/>
      </c>
      <c r="K366" s="6">
        <f>IFERROR(__xludf.DUMMYFUNCTION("if(isblank(J366),,index(googlefinance(A366,K$2,J366-1),2,2))"),127.9)</f>
        <v/>
      </c>
      <c r="L366" s="37">
        <f>IF(ISBLANK(H366:I366),,IF(COUNTA(H366)=0,I366,H366))</f>
        <v/>
      </c>
      <c r="M366" s="7">
        <f>IFERROR(__xludf.DUMMYFUNCTION("if(isblank(L366),, index(googlefinance(A366,M$2,L366-1),2,2))"),"")</f>
        <v/>
      </c>
      <c r="N366" s="8">
        <f>IFERROR(__xludf.DUMMYFUNCTION("if(isblank(A366),,googlefinance(A366))"),124.47)</f>
        <v/>
      </c>
      <c r="O366" s="38">
        <f>IF(ISBLANK(J366),,IF(ISBLANK(L366),"Ongoing","Completed"))</f>
        <v/>
      </c>
      <c r="P366" s="70">
        <f>IF(ISBLANK(A366),,IF(AND(COUNTA(F366)=1,S366&gt;0),"Profit",IF(AND(COUNTA(G366)=1,S366&lt;0),"Profit","Loss")))</f>
        <v/>
      </c>
      <c r="Q366" s="31">
        <f>IF(ISBLANK(T366),,IF(P366="Profit",IF(S366&lt;0,T366*-S366,T366*S366),IF(S366&gt;0,T366*-S366,T366*S366)))</f>
        <v/>
      </c>
      <c r="R366" s="59">
        <f>IF($Q366&gt;0, TRUE, FALSE)</f>
        <v/>
      </c>
      <c r="S366" s="59">
        <f>IF(ISBLANK(J366),,IF(ISBLANK(L366),N366-K366,M366-K366))</f>
        <v/>
      </c>
      <c r="T366" s="61">
        <f>IF(ISBLANK(J366),,ROUNDDOWN(T$1/K366,0))</f>
        <v/>
      </c>
      <c r="U366" s="84" t="n"/>
      <c r="V366" s="84" t="n"/>
      <c r="W366" s="63" t="n"/>
      <c r="X366" s="84" t="n"/>
      <c r="Y366" s="63" t="n"/>
      <c r="Z366" s="63" t="n"/>
      <c r="AA366" s="84" t="n"/>
    </row>
    <row r="367" ht="15.75" customHeight="1" s="56">
      <c r="A367" s="63" t="n"/>
      <c r="B367" s="79" t="n"/>
      <c r="C367" s="79" t="n"/>
      <c r="D367" s="79" t="n"/>
      <c r="E367" s="79" t="n"/>
      <c r="F367" s="79" t="n"/>
      <c r="G367" s="79" t="n"/>
      <c r="H367" s="79" t="n"/>
      <c r="I367" s="79" t="n"/>
      <c r="J367" s="83" t="n"/>
      <c r="K367" s="83" t="n"/>
      <c r="L367" s="83" t="n"/>
      <c r="M367" s="83" t="n"/>
      <c r="N367" s="83" t="n"/>
      <c r="O367" s="83" t="n"/>
      <c r="P367" s="83" t="n"/>
      <c r="Q367" s="83" t="n"/>
      <c r="R367" s="83" t="n"/>
      <c r="S367" s="83" t="n"/>
      <c r="T367" s="83" t="n"/>
      <c r="U367" s="84" t="n"/>
      <c r="V367" s="84" t="n"/>
      <c r="W367" s="63" t="n"/>
      <c r="X367" s="84" t="n"/>
      <c r="Y367" s="63" t="n"/>
      <c r="Z367" s="63" t="n"/>
      <c r="AA367" s="84" t="n"/>
    </row>
    <row r="368" ht="15.75" customHeight="1" s="56">
      <c r="A368" s="63" t="n"/>
      <c r="B368" s="79" t="n"/>
      <c r="C368" s="79" t="n"/>
      <c r="D368" s="79" t="n"/>
      <c r="E368" s="79" t="n"/>
      <c r="F368" s="79" t="n"/>
      <c r="G368" s="79" t="n"/>
      <c r="H368" s="79" t="n"/>
      <c r="I368" s="79" t="n"/>
      <c r="J368" s="83" t="n"/>
      <c r="K368" s="83" t="n"/>
      <c r="L368" s="83" t="n"/>
      <c r="M368" s="83" t="n"/>
      <c r="N368" s="83" t="n"/>
      <c r="O368" s="83" t="n"/>
      <c r="P368" s="83" t="n"/>
      <c r="Q368" s="83" t="n"/>
      <c r="R368" s="83" t="n"/>
      <c r="S368" s="83" t="n"/>
      <c r="T368" s="83" t="n"/>
      <c r="U368" s="84" t="n"/>
      <c r="V368" s="84" t="n"/>
      <c r="W368" s="63" t="n"/>
      <c r="X368" s="84" t="n"/>
      <c r="Y368" s="63" t="n"/>
      <c r="Z368" s="63" t="n"/>
      <c r="AA368" s="84" t="n"/>
    </row>
    <row r="369" ht="15.75" customHeight="1" s="56">
      <c r="A369" s="63" t="n"/>
      <c r="B369" s="79" t="n"/>
      <c r="C369" s="79" t="n"/>
      <c r="D369" s="79" t="n"/>
      <c r="E369" s="79" t="n"/>
      <c r="F369" s="79" t="n"/>
      <c r="G369" s="79" t="n"/>
      <c r="H369" s="79" t="n"/>
      <c r="I369" s="79" t="n"/>
      <c r="J369" s="83" t="n"/>
      <c r="K369" s="83" t="n"/>
      <c r="L369" s="83" t="n"/>
      <c r="M369" s="83" t="n"/>
      <c r="N369" s="83" t="n"/>
      <c r="O369" s="83" t="n"/>
      <c r="P369" s="83" t="n"/>
      <c r="Q369" s="83" t="n"/>
      <c r="R369" s="83" t="n"/>
      <c r="S369" s="83" t="n"/>
      <c r="T369" s="83" t="n"/>
      <c r="U369" s="84" t="n"/>
      <c r="V369" s="84" t="n"/>
      <c r="W369" s="63" t="n"/>
      <c r="X369" s="84" t="n"/>
      <c r="Y369" s="63" t="n"/>
      <c r="Z369" s="63" t="n"/>
      <c r="AA369" s="84" t="n"/>
    </row>
    <row r="370" ht="15.75" customHeight="1" s="56">
      <c r="A370" s="63" t="n"/>
      <c r="B370" s="79" t="n"/>
      <c r="C370" s="79" t="n"/>
      <c r="D370" s="79" t="n"/>
      <c r="E370" s="79" t="n"/>
      <c r="F370" s="79" t="n"/>
      <c r="G370" s="79" t="n"/>
      <c r="H370" s="79" t="n"/>
      <c r="I370" s="79" t="n"/>
      <c r="J370" s="83" t="n"/>
      <c r="K370" s="83" t="n"/>
      <c r="L370" s="83" t="n"/>
      <c r="M370" s="83" t="n"/>
      <c r="N370" s="83" t="n"/>
      <c r="O370" s="83" t="n"/>
      <c r="P370" s="83" t="n"/>
      <c r="Q370" s="83" t="n"/>
      <c r="R370" s="83" t="n"/>
      <c r="S370" s="83" t="n"/>
      <c r="T370" s="83" t="n"/>
      <c r="U370" s="84" t="n"/>
      <c r="V370" s="84" t="n"/>
      <c r="W370" s="63" t="n"/>
      <c r="X370" s="84" t="n"/>
      <c r="Y370" s="63" t="n"/>
      <c r="Z370" s="63" t="n"/>
      <c r="AA370" s="84" t="n"/>
    </row>
    <row r="371" ht="15.75" customHeight="1" s="56">
      <c r="A371" s="63" t="n"/>
      <c r="B371" s="79" t="n"/>
      <c r="C371" s="79" t="n"/>
      <c r="D371" s="79" t="n"/>
      <c r="E371" s="79" t="n"/>
      <c r="F371" s="79" t="n"/>
      <c r="G371" s="79" t="n"/>
      <c r="H371" s="79" t="n"/>
      <c r="I371" s="79" t="n"/>
      <c r="J371" s="83" t="n"/>
      <c r="K371" s="83" t="n"/>
      <c r="L371" s="83" t="n"/>
      <c r="M371" s="83" t="n"/>
      <c r="N371" s="83" t="n"/>
      <c r="O371" s="83" t="n"/>
      <c r="P371" s="83" t="n"/>
      <c r="Q371" s="83" t="n"/>
      <c r="R371" s="83" t="n"/>
      <c r="S371" s="83" t="n"/>
      <c r="T371" s="83" t="n"/>
      <c r="U371" s="84" t="n"/>
      <c r="V371" s="84" t="n"/>
      <c r="W371" s="63" t="n"/>
      <c r="X371" s="84" t="n"/>
      <c r="Y371" s="63" t="n"/>
      <c r="Z371" s="63" t="n"/>
      <c r="AA371" s="84" t="n"/>
    </row>
    <row r="372" ht="15.75" customHeight="1" s="56">
      <c r="A372" s="63" t="n"/>
      <c r="B372" s="79" t="n"/>
      <c r="C372" s="79" t="n"/>
      <c r="D372" s="79" t="n"/>
      <c r="E372" s="79" t="n"/>
      <c r="F372" s="79" t="n"/>
      <c r="G372" s="79" t="n"/>
      <c r="H372" s="79" t="n"/>
      <c r="I372" s="79" t="n"/>
      <c r="J372" s="83" t="n"/>
      <c r="K372" s="83" t="n"/>
      <c r="L372" s="83" t="n"/>
      <c r="M372" s="83" t="n"/>
      <c r="N372" s="83" t="n"/>
      <c r="O372" s="83" t="n"/>
      <c r="P372" s="83" t="n"/>
      <c r="Q372" s="83" t="n"/>
      <c r="R372" s="83" t="n"/>
      <c r="S372" s="83" t="n"/>
      <c r="T372" s="83" t="n"/>
      <c r="U372" s="84" t="n"/>
      <c r="V372" s="84" t="n"/>
      <c r="W372" s="63" t="n"/>
      <c r="X372" s="84" t="n"/>
      <c r="Y372" s="63" t="n"/>
      <c r="Z372" s="63" t="n"/>
      <c r="AA372" s="84" t="n"/>
    </row>
    <row r="373" ht="15.75" customHeight="1" s="56">
      <c r="A373" s="63" t="n"/>
      <c r="B373" s="79" t="n"/>
      <c r="C373" s="79" t="n"/>
      <c r="D373" s="79" t="n"/>
      <c r="E373" s="79" t="n"/>
      <c r="F373" s="79" t="n"/>
      <c r="G373" s="79" t="n"/>
      <c r="H373" s="79" t="n"/>
      <c r="I373" s="79" t="n"/>
      <c r="J373" s="83" t="n"/>
      <c r="K373" s="83" t="n"/>
      <c r="L373" s="83" t="n"/>
      <c r="M373" s="83" t="n"/>
      <c r="N373" s="83" t="n"/>
      <c r="O373" s="83" t="n"/>
      <c r="P373" s="83" t="n"/>
      <c r="Q373" s="83" t="n"/>
      <c r="R373" s="83" t="n"/>
      <c r="S373" s="83" t="n"/>
      <c r="T373" s="83" t="n"/>
      <c r="U373" s="84" t="n"/>
      <c r="V373" s="84" t="n"/>
      <c r="W373" s="63" t="n"/>
      <c r="X373" s="84" t="n"/>
      <c r="Y373" s="63" t="n"/>
      <c r="Z373" s="63" t="n"/>
      <c r="AA373" s="84" t="n"/>
    </row>
    <row r="374" ht="15.75" customHeight="1" s="56">
      <c r="A374" s="63" t="n"/>
      <c r="B374" s="79" t="n"/>
      <c r="C374" s="79" t="n"/>
      <c r="D374" s="79" t="n"/>
      <c r="E374" s="79" t="n"/>
      <c r="F374" s="79" t="n"/>
      <c r="G374" s="79" t="n"/>
      <c r="H374" s="79" t="n"/>
      <c r="I374" s="79" t="n"/>
      <c r="J374" s="83" t="n"/>
      <c r="K374" s="83" t="n"/>
      <c r="L374" s="83" t="n"/>
      <c r="M374" s="83" t="n"/>
      <c r="N374" s="83" t="n"/>
      <c r="O374" s="83" t="n"/>
      <c r="P374" s="83" t="n"/>
      <c r="Q374" s="83" t="n"/>
      <c r="R374" s="83" t="n"/>
      <c r="S374" s="83" t="n"/>
      <c r="T374" s="83" t="n"/>
      <c r="U374" s="84" t="n"/>
      <c r="V374" s="84" t="n"/>
      <c r="W374" s="63" t="n"/>
      <c r="X374" s="84" t="n"/>
      <c r="Y374" s="63" t="n"/>
      <c r="Z374" s="63" t="n"/>
      <c r="AA374" s="84" t="n"/>
    </row>
    <row r="375" ht="15.75" customHeight="1" s="56">
      <c r="A375" s="63" t="n"/>
      <c r="B375" s="79" t="n"/>
      <c r="C375" s="79" t="n"/>
      <c r="D375" s="79" t="n"/>
      <c r="E375" s="79" t="n"/>
      <c r="F375" s="79" t="n"/>
      <c r="G375" s="79" t="n"/>
      <c r="H375" s="79" t="n"/>
      <c r="I375" s="79" t="n"/>
      <c r="J375" s="83" t="n"/>
      <c r="K375" s="83" t="n"/>
      <c r="L375" s="83" t="n"/>
      <c r="M375" s="83" t="n"/>
      <c r="N375" s="83" t="n"/>
      <c r="O375" s="83" t="n"/>
      <c r="P375" s="83" t="n"/>
      <c r="Q375" s="83" t="n"/>
      <c r="R375" s="83" t="n"/>
      <c r="S375" s="83" t="n"/>
      <c r="T375" s="83" t="n"/>
      <c r="U375" s="84" t="n"/>
      <c r="V375" s="84" t="n"/>
      <c r="W375" s="63" t="n"/>
      <c r="X375" s="84" t="n"/>
      <c r="Y375" s="63" t="n"/>
      <c r="Z375" s="63" t="n"/>
      <c r="AA375" s="84" t="n"/>
    </row>
    <row r="376" ht="15.75" customHeight="1" s="56">
      <c r="A376" s="63" t="n"/>
      <c r="B376" s="79" t="n"/>
      <c r="C376" s="79" t="n"/>
      <c r="D376" s="79" t="n"/>
      <c r="E376" s="79" t="n"/>
      <c r="F376" s="79" t="n"/>
      <c r="G376" s="79" t="n"/>
      <c r="H376" s="79" t="n"/>
      <c r="I376" s="79" t="n"/>
      <c r="J376" s="83" t="n"/>
      <c r="K376" s="83" t="n"/>
      <c r="L376" s="83" t="n"/>
      <c r="M376" s="83" t="n"/>
      <c r="N376" s="83" t="n"/>
      <c r="O376" s="83" t="n"/>
      <c r="P376" s="83" t="n"/>
      <c r="Q376" s="83" t="n"/>
      <c r="R376" s="83" t="n"/>
      <c r="S376" s="83" t="n"/>
      <c r="T376" s="83" t="n"/>
      <c r="U376" s="84" t="n"/>
      <c r="V376" s="84" t="n"/>
      <c r="W376" s="63" t="n"/>
      <c r="X376" s="84" t="n"/>
      <c r="Y376" s="63" t="n"/>
      <c r="Z376" s="63" t="n"/>
      <c r="AA376" s="84" t="n"/>
    </row>
    <row r="377" ht="15.75" customHeight="1" s="56">
      <c r="A377" s="63" t="n"/>
      <c r="B377" s="79" t="n"/>
      <c r="C377" s="79" t="n"/>
      <c r="D377" s="79" t="n"/>
      <c r="E377" s="79" t="n"/>
      <c r="F377" s="79" t="n"/>
      <c r="G377" s="79" t="n"/>
      <c r="H377" s="79" t="n"/>
      <c r="I377" s="79" t="n"/>
      <c r="J377" s="83" t="n"/>
      <c r="K377" s="83" t="n"/>
      <c r="L377" s="83" t="n"/>
      <c r="M377" s="83" t="n"/>
      <c r="N377" s="83" t="n"/>
      <c r="O377" s="83" t="n"/>
      <c r="P377" s="83" t="n"/>
      <c r="Q377" s="83" t="n"/>
      <c r="R377" s="83" t="n"/>
      <c r="S377" s="83" t="n"/>
      <c r="T377" s="83" t="n"/>
      <c r="U377" s="84" t="n"/>
      <c r="V377" s="84" t="n"/>
      <c r="W377" s="63" t="n"/>
      <c r="X377" s="84" t="n"/>
      <c r="Y377" s="63" t="n"/>
      <c r="Z377" s="63" t="n"/>
      <c r="AA377" s="84" t="n"/>
    </row>
    <row r="378" ht="15.75" customHeight="1" s="56">
      <c r="A378" s="63" t="n"/>
      <c r="B378" s="79" t="n"/>
      <c r="C378" s="79" t="n"/>
      <c r="D378" s="79" t="n"/>
      <c r="E378" s="79" t="n"/>
      <c r="F378" s="79" t="n"/>
      <c r="G378" s="79" t="n"/>
      <c r="H378" s="79" t="n"/>
      <c r="I378" s="79" t="n"/>
      <c r="J378" s="83" t="n"/>
      <c r="K378" s="83" t="n"/>
      <c r="L378" s="83" t="n"/>
      <c r="M378" s="83" t="n"/>
      <c r="N378" s="83" t="n"/>
      <c r="O378" s="83" t="n"/>
      <c r="P378" s="83" t="n"/>
      <c r="Q378" s="83" t="n"/>
      <c r="R378" s="83" t="n"/>
      <c r="S378" s="83" t="n"/>
      <c r="T378" s="83" t="n"/>
      <c r="U378" s="84" t="n"/>
      <c r="V378" s="84" t="n"/>
      <c r="W378" s="63" t="n"/>
      <c r="X378" s="84" t="n"/>
      <c r="Y378" s="63" t="n"/>
      <c r="Z378" s="63" t="n"/>
      <c r="AA378" s="84" t="n"/>
    </row>
    <row r="379" ht="15.75" customHeight="1" s="56">
      <c r="A379" s="63" t="n"/>
      <c r="B379" s="79" t="n"/>
      <c r="C379" s="79" t="n"/>
      <c r="D379" s="79" t="n"/>
      <c r="E379" s="79" t="n"/>
      <c r="F379" s="79" t="n"/>
      <c r="G379" s="79" t="n"/>
      <c r="H379" s="79" t="n"/>
      <c r="I379" s="79" t="n"/>
      <c r="J379" s="83" t="n"/>
      <c r="K379" s="83" t="n"/>
      <c r="L379" s="83" t="n"/>
      <c r="M379" s="83" t="n"/>
      <c r="N379" s="83" t="n"/>
      <c r="O379" s="83" t="n"/>
      <c r="P379" s="83" t="n"/>
      <c r="Q379" s="83" t="n"/>
      <c r="R379" s="83" t="n"/>
      <c r="S379" s="83" t="n"/>
      <c r="T379" s="83" t="n"/>
      <c r="U379" s="84" t="n"/>
      <c r="V379" s="84" t="n"/>
      <c r="W379" s="63" t="n"/>
      <c r="X379" s="84" t="n"/>
      <c r="Y379" s="63" t="n"/>
      <c r="Z379" s="63" t="n"/>
      <c r="AA379" s="84" t="n"/>
    </row>
    <row r="380" ht="15.75" customHeight="1" s="56">
      <c r="A380" s="63" t="n"/>
      <c r="B380" s="79" t="n"/>
      <c r="C380" s="79" t="n"/>
      <c r="D380" s="79" t="n"/>
      <c r="E380" s="79" t="n"/>
      <c r="F380" s="79" t="n"/>
      <c r="G380" s="79" t="n"/>
      <c r="H380" s="79" t="n"/>
      <c r="I380" s="79" t="n"/>
      <c r="J380" s="83" t="n"/>
      <c r="K380" s="83" t="n"/>
      <c r="L380" s="83" t="n"/>
      <c r="M380" s="83" t="n"/>
      <c r="N380" s="83" t="n"/>
      <c r="O380" s="83" t="n"/>
      <c r="P380" s="83" t="n"/>
      <c r="Q380" s="83" t="n"/>
      <c r="R380" s="83" t="n"/>
      <c r="S380" s="83" t="n"/>
      <c r="T380" s="83" t="n"/>
      <c r="U380" s="84" t="n"/>
      <c r="V380" s="84" t="n"/>
      <c r="W380" s="63" t="n"/>
      <c r="X380" s="84" t="n"/>
      <c r="Y380" s="63" t="n"/>
      <c r="Z380" s="63" t="n"/>
      <c r="AA380" s="84" t="n"/>
    </row>
    <row r="381" ht="15.75" customHeight="1" s="56">
      <c r="A381" s="63" t="n"/>
      <c r="B381" s="79" t="n"/>
      <c r="C381" s="79" t="n"/>
      <c r="D381" s="79" t="n"/>
      <c r="E381" s="79" t="n"/>
      <c r="F381" s="79" t="n"/>
      <c r="G381" s="79" t="n"/>
      <c r="H381" s="79" t="n"/>
      <c r="I381" s="79" t="n"/>
      <c r="J381" s="83" t="n"/>
      <c r="K381" s="83" t="n"/>
      <c r="L381" s="83" t="n"/>
      <c r="M381" s="83" t="n"/>
      <c r="N381" s="83" t="n"/>
      <c r="O381" s="83" t="n"/>
      <c r="P381" s="83" t="n"/>
      <c r="Q381" s="83" t="n"/>
      <c r="R381" s="83" t="n"/>
      <c r="S381" s="83" t="n"/>
      <c r="T381" s="83" t="n"/>
      <c r="U381" s="84" t="n"/>
      <c r="V381" s="84" t="n"/>
      <c r="W381" s="63" t="n"/>
      <c r="X381" s="84" t="n"/>
      <c r="Y381" s="63" t="n"/>
      <c r="Z381" s="63" t="n"/>
      <c r="AA381" s="84" t="n"/>
    </row>
    <row r="382" ht="15.75" customHeight="1" s="56">
      <c r="A382" s="63" t="n"/>
      <c r="B382" s="79" t="n"/>
      <c r="C382" s="79" t="n"/>
      <c r="D382" s="79" t="n"/>
      <c r="E382" s="79" t="n"/>
      <c r="F382" s="79" t="n"/>
      <c r="G382" s="79" t="n"/>
      <c r="H382" s="79" t="n"/>
      <c r="I382" s="79" t="n"/>
      <c r="J382" s="83" t="n"/>
      <c r="K382" s="83" t="n"/>
      <c r="L382" s="83" t="n"/>
      <c r="M382" s="83" t="n"/>
      <c r="N382" s="83" t="n"/>
      <c r="O382" s="83" t="n"/>
      <c r="P382" s="83" t="n"/>
      <c r="Q382" s="83" t="n"/>
      <c r="R382" s="83" t="n"/>
      <c r="S382" s="83" t="n"/>
      <c r="T382" s="83" t="n"/>
      <c r="U382" s="84" t="n"/>
      <c r="V382" s="84" t="n"/>
      <c r="W382" s="63" t="n"/>
      <c r="X382" s="84" t="n"/>
      <c r="Y382" s="63" t="n"/>
      <c r="Z382" s="63" t="n"/>
      <c r="AA382" s="84" t="n"/>
    </row>
    <row r="383" ht="15.75" customHeight="1" s="56">
      <c r="A383" s="63" t="n"/>
      <c r="B383" s="79" t="n"/>
      <c r="C383" s="79" t="n"/>
      <c r="D383" s="79" t="n"/>
      <c r="E383" s="79" t="n"/>
      <c r="F383" s="79" t="n"/>
      <c r="G383" s="79" t="n"/>
      <c r="H383" s="79" t="n"/>
      <c r="I383" s="79" t="n"/>
      <c r="J383" s="83" t="n"/>
      <c r="K383" s="83" t="n"/>
      <c r="L383" s="83" t="n"/>
      <c r="M383" s="83" t="n"/>
      <c r="N383" s="83" t="n"/>
      <c r="O383" s="83" t="n"/>
      <c r="P383" s="83" t="n"/>
      <c r="Q383" s="83" t="n"/>
      <c r="R383" s="83" t="n"/>
      <c r="S383" s="83" t="n"/>
      <c r="T383" s="83" t="n"/>
      <c r="U383" s="84" t="n"/>
      <c r="V383" s="84" t="n"/>
      <c r="W383" s="63" t="n"/>
      <c r="X383" s="84" t="n"/>
      <c r="Y383" s="63" t="n"/>
      <c r="Z383" s="63" t="n"/>
      <c r="AA383" s="84" t="n"/>
    </row>
    <row r="384" ht="15.75" customHeight="1" s="56">
      <c r="A384" s="63" t="n"/>
      <c r="B384" s="79" t="n"/>
      <c r="C384" s="79" t="n"/>
      <c r="D384" s="79" t="n"/>
      <c r="E384" s="79" t="n"/>
      <c r="F384" s="79" t="n"/>
      <c r="G384" s="79" t="n"/>
      <c r="H384" s="79" t="n"/>
      <c r="I384" s="79" t="n"/>
      <c r="J384" s="83" t="n"/>
      <c r="K384" s="83" t="n"/>
      <c r="L384" s="83" t="n"/>
      <c r="M384" s="83" t="n"/>
      <c r="N384" s="83" t="n"/>
      <c r="O384" s="83" t="n"/>
      <c r="P384" s="83" t="n"/>
      <c r="Q384" s="83" t="n"/>
      <c r="R384" s="83" t="n"/>
      <c r="S384" s="83" t="n"/>
      <c r="T384" s="83" t="n"/>
      <c r="U384" s="84" t="n"/>
      <c r="V384" s="84" t="n"/>
      <c r="W384" s="63" t="n"/>
      <c r="X384" s="84" t="n"/>
      <c r="Y384" s="63" t="n"/>
      <c r="Z384" s="63" t="n"/>
      <c r="AA384" s="84" t="n"/>
    </row>
    <row r="385" ht="15.75" customHeight="1" s="56">
      <c r="A385" s="63" t="n"/>
      <c r="B385" s="79" t="n"/>
      <c r="C385" s="79" t="n"/>
      <c r="D385" s="79" t="n"/>
      <c r="E385" s="79" t="n"/>
      <c r="F385" s="79" t="n"/>
      <c r="G385" s="79" t="n"/>
      <c r="H385" s="79" t="n"/>
      <c r="I385" s="79" t="n"/>
      <c r="J385" s="83" t="n"/>
      <c r="K385" s="83" t="n"/>
      <c r="L385" s="83" t="n"/>
      <c r="M385" s="83" t="n"/>
      <c r="N385" s="83" t="n"/>
      <c r="O385" s="83" t="n"/>
      <c r="P385" s="83" t="n"/>
      <c r="Q385" s="83" t="n"/>
      <c r="R385" s="83" t="n"/>
      <c r="S385" s="83" t="n"/>
      <c r="T385" s="83" t="n"/>
      <c r="U385" s="84" t="n"/>
      <c r="V385" s="84" t="n"/>
      <c r="W385" s="63" t="n"/>
      <c r="X385" s="84" t="n"/>
      <c r="Y385" s="63" t="n"/>
      <c r="Z385" s="63" t="n"/>
      <c r="AA385" s="84" t="n"/>
    </row>
    <row r="386" ht="15.75" customHeight="1" s="56">
      <c r="A386" s="63" t="n"/>
      <c r="B386" s="79" t="n"/>
      <c r="C386" s="79" t="n"/>
      <c r="D386" s="79" t="n"/>
      <c r="E386" s="79" t="n"/>
      <c r="F386" s="79" t="n"/>
      <c r="G386" s="79" t="n"/>
      <c r="H386" s="79" t="n"/>
      <c r="I386" s="79" t="n"/>
      <c r="J386" s="83" t="n"/>
      <c r="K386" s="83" t="n"/>
      <c r="L386" s="83" t="n"/>
      <c r="M386" s="83" t="n"/>
      <c r="N386" s="83" t="n"/>
      <c r="O386" s="83" t="n"/>
      <c r="P386" s="83" t="n"/>
      <c r="Q386" s="83" t="n"/>
      <c r="R386" s="83" t="n"/>
      <c r="S386" s="83" t="n"/>
      <c r="T386" s="83" t="n"/>
      <c r="U386" s="84" t="n"/>
      <c r="V386" s="84" t="n"/>
      <c r="W386" s="63" t="n"/>
      <c r="X386" s="84" t="n"/>
      <c r="Y386" s="63" t="n"/>
      <c r="Z386" s="63" t="n"/>
      <c r="AA386" s="84" t="n"/>
    </row>
    <row r="387" ht="15.75" customHeight="1" s="56">
      <c r="A387" s="63" t="n"/>
      <c r="B387" s="79" t="n"/>
      <c r="C387" s="79" t="n"/>
      <c r="D387" s="79" t="n"/>
      <c r="E387" s="79" t="n"/>
      <c r="F387" s="79" t="n"/>
      <c r="G387" s="79" t="n"/>
      <c r="H387" s="79" t="n"/>
      <c r="I387" s="79" t="n"/>
      <c r="J387" s="83" t="n"/>
      <c r="K387" s="83" t="n"/>
      <c r="L387" s="83" t="n"/>
      <c r="M387" s="83" t="n"/>
      <c r="N387" s="83" t="n"/>
      <c r="O387" s="83" t="n"/>
      <c r="P387" s="83" t="n"/>
      <c r="Q387" s="83" t="n"/>
      <c r="R387" s="83" t="n"/>
      <c r="S387" s="83" t="n"/>
      <c r="T387" s="83" t="n"/>
      <c r="U387" s="84" t="n"/>
      <c r="V387" s="84" t="n"/>
      <c r="W387" s="63" t="n"/>
      <c r="X387" s="84" t="n"/>
      <c r="Y387" s="63" t="n"/>
      <c r="Z387" s="63" t="n"/>
      <c r="AA387" s="84" t="n"/>
    </row>
    <row r="388" ht="15.75" customHeight="1" s="56">
      <c r="A388" s="63" t="n"/>
      <c r="B388" s="79" t="n"/>
      <c r="C388" s="79" t="n"/>
      <c r="D388" s="79" t="n"/>
      <c r="E388" s="79" t="n"/>
      <c r="F388" s="79" t="n"/>
      <c r="G388" s="79" t="n"/>
      <c r="H388" s="79" t="n"/>
      <c r="I388" s="79" t="n"/>
      <c r="J388" s="83" t="n"/>
      <c r="K388" s="83" t="n"/>
      <c r="L388" s="83" t="n"/>
      <c r="M388" s="83" t="n"/>
      <c r="N388" s="83" t="n"/>
      <c r="O388" s="83" t="n"/>
      <c r="P388" s="83" t="n"/>
      <c r="Q388" s="83" t="n"/>
      <c r="R388" s="83" t="n"/>
      <c r="S388" s="83" t="n"/>
      <c r="T388" s="83" t="n"/>
      <c r="U388" s="84" t="n"/>
      <c r="V388" s="84" t="n"/>
      <c r="W388" s="63" t="n"/>
      <c r="X388" s="84" t="n"/>
      <c r="Y388" s="63" t="n"/>
      <c r="Z388" s="63" t="n"/>
      <c r="AA388" s="84" t="n"/>
    </row>
    <row r="389" ht="15.75" customHeight="1" s="56">
      <c r="A389" s="63" t="n"/>
      <c r="B389" s="79" t="n"/>
      <c r="C389" s="79" t="n"/>
      <c r="D389" s="79" t="n"/>
      <c r="E389" s="79" t="n"/>
      <c r="F389" s="79" t="n"/>
      <c r="G389" s="79" t="n"/>
      <c r="H389" s="79" t="n"/>
      <c r="I389" s="79" t="n"/>
      <c r="J389" s="83" t="n"/>
      <c r="K389" s="83" t="n"/>
      <c r="L389" s="83" t="n"/>
      <c r="M389" s="83" t="n"/>
      <c r="N389" s="83" t="n"/>
      <c r="O389" s="83" t="n"/>
      <c r="P389" s="83" t="n"/>
      <c r="Q389" s="83" t="n"/>
      <c r="R389" s="83" t="n"/>
      <c r="S389" s="83" t="n"/>
      <c r="T389" s="83" t="n"/>
      <c r="U389" s="84" t="n"/>
      <c r="V389" s="84" t="n"/>
      <c r="W389" s="63" t="n"/>
      <c r="X389" s="84" t="n"/>
      <c r="Y389" s="63" t="n"/>
      <c r="Z389" s="63" t="n"/>
      <c r="AA389" s="84" t="n"/>
    </row>
    <row r="390" ht="15.75" customHeight="1" s="56">
      <c r="A390" s="63" t="n"/>
      <c r="B390" s="79" t="n"/>
      <c r="C390" s="79" t="n"/>
      <c r="D390" s="79" t="n"/>
      <c r="E390" s="79" t="n"/>
      <c r="F390" s="79" t="n"/>
      <c r="G390" s="79" t="n"/>
      <c r="H390" s="79" t="n"/>
      <c r="I390" s="79" t="n"/>
      <c r="J390" s="83" t="n"/>
      <c r="K390" s="83" t="n"/>
      <c r="L390" s="83" t="n"/>
      <c r="M390" s="83" t="n"/>
      <c r="N390" s="83" t="n"/>
      <c r="O390" s="83" t="n"/>
      <c r="P390" s="83" t="n"/>
      <c r="Q390" s="83" t="n"/>
      <c r="R390" s="83" t="n"/>
      <c r="S390" s="83" t="n"/>
      <c r="T390" s="83" t="n"/>
      <c r="U390" s="84" t="n"/>
      <c r="V390" s="84" t="n"/>
      <c r="W390" s="63" t="n"/>
      <c r="X390" s="84" t="n"/>
      <c r="Y390" s="63" t="n"/>
      <c r="Z390" s="63" t="n"/>
      <c r="AA390" s="84" t="n"/>
    </row>
    <row r="391" ht="15.75" customHeight="1" s="56">
      <c r="A391" s="63" t="n"/>
      <c r="B391" s="79" t="n"/>
      <c r="C391" s="79" t="n"/>
      <c r="D391" s="79" t="n"/>
      <c r="E391" s="79" t="n"/>
      <c r="F391" s="79" t="n"/>
      <c r="G391" s="79" t="n"/>
      <c r="H391" s="79" t="n"/>
      <c r="I391" s="79" t="n"/>
      <c r="J391" s="83" t="n"/>
      <c r="K391" s="83" t="n"/>
      <c r="L391" s="83" t="n"/>
      <c r="M391" s="83" t="n"/>
      <c r="N391" s="83" t="n"/>
      <c r="O391" s="83" t="n"/>
      <c r="P391" s="83" t="n"/>
      <c r="Q391" s="83" t="n"/>
      <c r="R391" s="83" t="n"/>
      <c r="S391" s="83" t="n"/>
      <c r="T391" s="83" t="n"/>
      <c r="U391" s="84" t="n"/>
      <c r="V391" s="84" t="n"/>
      <c r="W391" s="63" t="n"/>
      <c r="X391" s="84" t="n"/>
      <c r="Y391" s="63" t="n"/>
      <c r="Z391" s="63" t="n"/>
      <c r="AA391" s="84" t="n"/>
    </row>
    <row r="392" ht="15.75" customHeight="1" s="56">
      <c r="A392" s="63" t="n"/>
      <c r="B392" s="79" t="n"/>
      <c r="C392" s="79" t="n"/>
      <c r="D392" s="79" t="n"/>
      <c r="E392" s="79" t="n"/>
      <c r="F392" s="79" t="n"/>
      <c r="G392" s="79" t="n"/>
      <c r="H392" s="79" t="n"/>
      <c r="I392" s="79" t="n"/>
      <c r="J392" s="83" t="n"/>
      <c r="K392" s="83" t="n"/>
      <c r="L392" s="83" t="n"/>
      <c r="M392" s="83" t="n"/>
      <c r="N392" s="83" t="n"/>
      <c r="O392" s="83" t="n"/>
      <c r="P392" s="83" t="n"/>
      <c r="Q392" s="83" t="n"/>
      <c r="R392" s="83" t="n"/>
      <c r="S392" s="83" t="n"/>
      <c r="T392" s="83" t="n"/>
      <c r="U392" s="84" t="n"/>
      <c r="V392" s="84" t="n"/>
      <c r="W392" s="63" t="n"/>
      <c r="X392" s="84" t="n"/>
      <c r="Y392" s="63" t="n"/>
      <c r="Z392" s="63" t="n"/>
      <c r="AA392" s="84" t="n"/>
    </row>
    <row r="393" ht="15.75" customHeight="1" s="56">
      <c r="A393" s="63" t="n"/>
      <c r="B393" s="79" t="n"/>
      <c r="C393" s="79" t="n"/>
      <c r="D393" s="79" t="n"/>
      <c r="E393" s="79" t="n"/>
      <c r="F393" s="79" t="n"/>
      <c r="G393" s="79" t="n"/>
      <c r="H393" s="79" t="n"/>
      <c r="I393" s="79" t="n"/>
      <c r="J393" s="83" t="n"/>
      <c r="K393" s="83" t="n"/>
      <c r="L393" s="83" t="n"/>
      <c r="M393" s="83" t="n"/>
      <c r="N393" s="83" t="n"/>
      <c r="O393" s="83" t="n"/>
      <c r="P393" s="83" t="n"/>
      <c r="Q393" s="83" t="n"/>
      <c r="R393" s="83" t="n"/>
      <c r="S393" s="83" t="n"/>
      <c r="T393" s="83" t="n"/>
      <c r="U393" s="84" t="n"/>
      <c r="V393" s="84" t="n"/>
      <c r="W393" s="63" t="n"/>
      <c r="X393" s="84" t="n"/>
      <c r="Y393" s="63" t="n"/>
      <c r="Z393" s="63" t="n"/>
      <c r="AA393" s="84" t="n"/>
    </row>
    <row r="394" ht="15.75" customHeight="1" s="56">
      <c r="A394" s="63" t="n"/>
      <c r="B394" s="79" t="n"/>
      <c r="C394" s="79" t="n"/>
      <c r="D394" s="79" t="n"/>
      <c r="E394" s="79" t="n"/>
      <c r="F394" s="79" t="n"/>
      <c r="G394" s="79" t="n"/>
      <c r="H394" s="79" t="n"/>
      <c r="I394" s="79" t="n"/>
      <c r="J394" s="83" t="n"/>
      <c r="K394" s="83" t="n"/>
      <c r="L394" s="83" t="n"/>
      <c r="M394" s="83" t="n"/>
      <c r="N394" s="83" t="n"/>
      <c r="O394" s="83" t="n"/>
      <c r="P394" s="83" t="n"/>
      <c r="Q394" s="83" t="n"/>
      <c r="R394" s="83" t="n"/>
      <c r="S394" s="83" t="n"/>
      <c r="T394" s="83" t="n"/>
      <c r="U394" s="84" t="n"/>
      <c r="V394" s="84" t="n"/>
      <c r="W394" s="63" t="n"/>
      <c r="X394" s="84" t="n"/>
      <c r="Y394" s="63" t="n"/>
      <c r="Z394" s="63" t="n"/>
      <c r="AA394" s="84" t="n"/>
    </row>
    <row r="395" ht="15.75" customHeight="1" s="56">
      <c r="A395" s="63" t="n"/>
      <c r="B395" s="79" t="n"/>
      <c r="C395" s="79" t="n"/>
      <c r="D395" s="79" t="n"/>
      <c r="E395" s="79" t="n"/>
      <c r="F395" s="79" t="n"/>
      <c r="G395" s="79" t="n"/>
      <c r="H395" s="79" t="n"/>
      <c r="I395" s="79" t="n"/>
      <c r="J395" s="83" t="n"/>
      <c r="K395" s="83" t="n"/>
      <c r="L395" s="83" t="n"/>
      <c r="M395" s="83" t="n"/>
      <c r="N395" s="83" t="n"/>
      <c r="O395" s="83" t="n"/>
      <c r="P395" s="83" t="n"/>
      <c r="Q395" s="83" t="n"/>
      <c r="R395" s="83" t="n"/>
      <c r="S395" s="83" t="n"/>
      <c r="T395" s="83" t="n"/>
      <c r="U395" s="84" t="n"/>
      <c r="V395" s="84" t="n"/>
      <c r="W395" s="63" t="n"/>
      <c r="X395" s="84" t="n"/>
      <c r="Y395" s="63" t="n"/>
      <c r="Z395" s="63" t="n"/>
      <c r="AA395" s="84" t="n"/>
    </row>
    <row r="396" ht="15.75" customHeight="1" s="56">
      <c r="A396" s="63" t="n"/>
      <c r="B396" s="79" t="n"/>
      <c r="C396" s="79" t="n"/>
      <c r="D396" s="79" t="n"/>
      <c r="E396" s="79" t="n"/>
      <c r="F396" s="79" t="n"/>
      <c r="G396" s="79" t="n"/>
      <c r="H396" s="79" t="n"/>
      <c r="I396" s="79" t="n"/>
      <c r="J396" s="83" t="n"/>
      <c r="K396" s="83" t="n"/>
      <c r="L396" s="83" t="n"/>
      <c r="M396" s="83" t="n"/>
      <c r="N396" s="83" t="n"/>
      <c r="O396" s="83" t="n"/>
      <c r="P396" s="83" t="n"/>
      <c r="Q396" s="83" t="n"/>
      <c r="R396" s="83" t="n"/>
      <c r="S396" s="83" t="n"/>
      <c r="T396" s="83" t="n"/>
      <c r="U396" s="84" t="n"/>
      <c r="V396" s="84" t="n"/>
      <c r="W396" s="63" t="n"/>
      <c r="X396" s="84" t="n"/>
      <c r="Y396" s="63" t="n"/>
      <c r="Z396" s="63" t="n"/>
      <c r="AA396" s="84" t="n"/>
    </row>
    <row r="397" ht="15.75" customHeight="1" s="56">
      <c r="A397" s="63" t="n"/>
      <c r="B397" s="79" t="n"/>
      <c r="C397" s="79" t="n"/>
      <c r="D397" s="79" t="n"/>
      <c r="E397" s="79" t="n"/>
      <c r="F397" s="79" t="n"/>
      <c r="G397" s="79" t="n"/>
      <c r="H397" s="79" t="n"/>
      <c r="I397" s="79" t="n"/>
      <c r="J397" s="83" t="n"/>
      <c r="K397" s="83" t="n"/>
      <c r="L397" s="83" t="n"/>
      <c r="M397" s="83" t="n"/>
      <c r="N397" s="83" t="n"/>
      <c r="O397" s="83" t="n"/>
      <c r="P397" s="83" t="n"/>
      <c r="Q397" s="83" t="n"/>
      <c r="R397" s="83" t="n"/>
      <c r="S397" s="83" t="n"/>
      <c r="T397" s="83" t="n"/>
      <c r="U397" s="84" t="n"/>
      <c r="V397" s="84" t="n"/>
      <c r="W397" s="63" t="n"/>
      <c r="X397" s="84" t="n"/>
      <c r="Y397" s="63" t="n"/>
      <c r="Z397" s="63" t="n"/>
      <c r="AA397" s="84" t="n"/>
    </row>
    <row r="398" ht="15.75" customHeight="1" s="56">
      <c r="A398" s="63" t="n"/>
      <c r="B398" s="79" t="n"/>
      <c r="C398" s="79" t="n"/>
      <c r="D398" s="79" t="n"/>
      <c r="E398" s="79" t="n"/>
      <c r="F398" s="79" t="n"/>
      <c r="G398" s="79" t="n"/>
      <c r="H398" s="79" t="n"/>
      <c r="I398" s="79" t="n"/>
      <c r="J398" s="83" t="n"/>
      <c r="K398" s="83" t="n"/>
      <c r="L398" s="83" t="n"/>
      <c r="M398" s="83" t="n"/>
      <c r="N398" s="83" t="n"/>
      <c r="O398" s="83" t="n"/>
      <c r="P398" s="83" t="n"/>
      <c r="Q398" s="83" t="n"/>
      <c r="R398" s="83" t="n"/>
      <c r="S398" s="83" t="n"/>
      <c r="T398" s="83" t="n"/>
      <c r="U398" s="84" t="n"/>
      <c r="V398" s="84" t="n"/>
      <c r="W398" s="63" t="n"/>
      <c r="X398" s="84" t="n"/>
      <c r="Y398" s="63" t="n"/>
      <c r="Z398" s="63" t="n"/>
      <c r="AA398" s="84" t="n"/>
    </row>
    <row r="399" ht="15.75" customHeight="1" s="56">
      <c r="A399" s="63" t="n"/>
      <c r="B399" s="79" t="n"/>
      <c r="C399" s="79" t="n"/>
      <c r="D399" s="79" t="n"/>
      <c r="E399" s="79" t="n"/>
      <c r="F399" s="79" t="n"/>
      <c r="G399" s="79" t="n"/>
      <c r="H399" s="79" t="n"/>
      <c r="I399" s="79" t="n"/>
      <c r="J399" s="83" t="n"/>
      <c r="K399" s="83" t="n"/>
      <c r="L399" s="83" t="n"/>
      <c r="M399" s="83" t="n"/>
      <c r="N399" s="83" t="n"/>
      <c r="O399" s="83" t="n"/>
      <c r="P399" s="83" t="n"/>
      <c r="Q399" s="83" t="n"/>
      <c r="R399" s="83" t="n"/>
      <c r="S399" s="83" t="n"/>
      <c r="T399" s="83" t="n"/>
      <c r="U399" s="84" t="n"/>
      <c r="V399" s="84" t="n"/>
      <c r="W399" s="63" t="n"/>
      <c r="X399" s="84" t="n"/>
      <c r="Y399" s="63" t="n"/>
      <c r="Z399" s="63" t="n"/>
      <c r="AA399" s="84" t="n"/>
    </row>
    <row r="400" ht="15.75" customHeight="1" s="56">
      <c r="A400" s="63" t="n"/>
      <c r="B400" s="79" t="n"/>
      <c r="C400" s="79" t="n"/>
      <c r="D400" s="79" t="n"/>
      <c r="E400" s="79" t="n"/>
      <c r="F400" s="79" t="n"/>
      <c r="G400" s="79" t="n"/>
      <c r="H400" s="79" t="n"/>
      <c r="I400" s="79" t="n"/>
      <c r="J400" s="83" t="n"/>
      <c r="K400" s="83" t="n"/>
      <c r="L400" s="83" t="n"/>
      <c r="M400" s="83" t="n"/>
      <c r="N400" s="83" t="n"/>
      <c r="O400" s="83" t="n"/>
      <c r="P400" s="83" t="n"/>
      <c r="Q400" s="83" t="n"/>
      <c r="R400" s="83" t="n"/>
      <c r="S400" s="83" t="n"/>
      <c r="T400" s="83" t="n"/>
      <c r="U400" s="84" t="n"/>
      <c r="V400" s="84" t="n"/>
      <c r="W400" s="63" t="n"/>
      <c r="X400" s="84" t="n"/>
      <c r="Y400" s="63" t="n"/>
      <c r="Z400" s="63" t="n"/>
      <c r="AA400" s="84" t="n"/>
    </row>
    <row r="401" ht="15.75" customHeight="1" s="56">
      <c r="A401" s="63" t="n"/>
      <c r="B401" s="79" t="n"/>
      <c r="C401" s="79" t="n"/>
      <c r="D401" s="79" t="n"/>
      <c r="E401" s="79" t="n"/>
      <c r="F401" s="79" t="n"/>
      <c r="G401" s="79" t="n"/>
      <c r="H401" s="79" t="n"/>
      <c r="I401" s="79" t="n"/>
      <c r="J401" s="83" t="n"/>
      <c r="K401" s="83" t="n"/>
      <c r="L401" s="83" t="n"/>
      <c r="M401" s="83" t="n"/>
      <c r="N401" s="83" t="n"/>
      <c r="O401" s="83" t="n"/>
      <c r="P401" s="83" t="n"/>
      <c r="Q401" s="83" t="n"/>
      <c r="R401" s="83" t="n"/>
      <c r="S401" s="83" t="n"/>
      <c r="T401" s="83" t="n"/>
      <c r="U401" s="84" t="n"/>
      <c r="V401" s="84" t="n"/>
      <c r="W401" s="63" t="n"/>
      <c r="X401" s="84" t="n"/>
      <c r="Y401" s="63" t="n"/>
      <c r="Z401" s="63" t="n"/>
      <c r="AA401" s="84" t="n"/>
    </row>
    <row r="402" ht="15.75" customHeight="1" s="56">
      <c r="A402" s="63" t="n"/>
      <c r="B402" s="79" t="n"/>
      <c r="C402" s="79" t="n"/>
      <c r="D402" s="79" t="n"/>
      <c r="E402" s="79" t="n"/>
      <c r="F402" s="79" t="n"/>
      <c r="G402" s="79" t="n"/>
      <c r="H402" s="79" t="n"/>
      <c r="I402" s="79" t="n"/>
      <c r="J402" s="83" t="n"/>
      <c r="K402" s="83" t="n"/>
      <c r="L402" s="83" t="n"/>
      <c r="M402" s="83" t="n"/>
      <c r="N402" s="83" t="n"/>
      <c r="O402" s="83" t="n"/>
      <c r="P402" s="83" t="n"/>
      <c r="Q402" s="83" t="n"/>
      <c r="R402" s="83" t="n"/>
      <c r="S402" s="83" t="n"/>
      <c r="T402" s="83" t="n"/>
      <c r="U402" s="84" t="n"/>
      <c r="V402" s="84" t="n"/>
      <c r="W402" s="63" t="n"/>
      <c r="X402" s="84" t="n"/>
      <c r="Y402" s="63" t="n"/>
      <c r="Z402" s="63" t="n"/>
      <c r="AA402" s="84" t="n"/>
    </row>
    <row r="403" ht="15.75" customHeight="1" s="56">
      <c r="A403" s="63" t="n"/>
      <c r="B403" s="79" t="n"/>
      <c r="C403" s="79" t="n"/>
      <c r="D403" s="79" t="n"/>
      <c r="E403" s="79" t="n"/>
      <c r="F403" s="79" t="n"/>
      <c r="G403" s="79" t="n"/>
      <c r="H403" s="79" t="n"/>
      <c r="I403" s="79" t="n"/>
      <c r="J403" s="83" t="n"/>
      <c r="K403" s="83" t="n"/>
      <c r="L403" s="83" t="n"/>
      <c r="M403" s="83" t="n"/>
      <c r="N403" s="83" t="n"/>
      <c r="O403" s="83" t="n"/>
      <c r="P403" s="83" t="n"/>
      <c r="Q403" s="83" t="n"/>
      <c r="R403" s="83" t="n"/>
      <c r="S403" s="83" t="n"/>
      <c r="T403" s="83" t="n"/>
      <c r="U403" s="84" t="n"/>
      <c r="V403" s="84" t="n"/>
      <c r="W403" s="63" t="n"/>
      <c r="X403" s="84" t="n"/>
      <c r="Y403" s="63" t="n"/>
      <c r="Z403" s="63" t="n"/>
      <c r="AA403" s="84" t="n"/>
    </row>
    <row r="404" ht="15.75" customHeight="1" s="56">
      <c r="A404" s="63" t="n"/>
      <c r="B404" s="79" t="n"/>
      <c r="C404" s="79" t="n"/>
      <c r="D404" s="79" t="n"/>
      <c r="E404" s="79" t="n"/>
      <c r="F404" s="79" t="n"/>
      <c r="G404" s="79" t="n"/>
      <c r="H404" s="79" t="n"/>
      <c r="I404" s="79" t="n"/>
      <c r="J404" s="83" t="n"/>
      <c r="K404" s="83" t="n"/>
      <c r="L404" s="83" t="n"/>
      <c r="M404" s="83" t="n"/>
      <c r="N404" s="83" t="n"/>
      <c r="O404" s="83" t="n"/>
      <c r="P404" s="83" t="n"/>
      <c r="Q404" s="83" t="n"/>
      <c r="R404" s="83" t="n"/>
      <c r="S404" s="83" t="n"/>
      <c r="T404" s="83" t="n"/>
      <c r="U404" s="84" t="n"/>
      <c r="V404" s="84" t="n"/>
      <c r="W404" s="63" t="n"/>
      <c r="X404" s="84" t="n"/>
      <c r="Y404" s="63" t="n"/>
      <c r="Z404" s="63" t="n"/>
      <c r="AA404" s="84" t="n"/>
    </row>
    <row r="405" ht="15.75" customHeight="1" s="56">
      <c r="A405" s="63" t="n"/>
      <c r="B405" s="79" t="n"/>
      <c r="C405" s="79" t="n"/>
      <c r="D405" s="79" t="n"/>
      <c r="E405" s="79" t="n"/>
      <c r="F405" s="79" t="n"/>
      <c r="G405" s="79" t="n"/>
      <c r="H405" s="79" t="n"/>
      <c r="I405" s="79" t="n"/>
      <c r="J405" s="83" t="n"/>
      <c r="K405" s="83" t="n"/>
      <c r="L405" s="83" t="n"/>
      <c r="M405" s="83" t="n"/>
      <c r="N405" s="83" t="n"/>
      <c r="O405" s="83" t="n"/>
      <c r="P405" s="83" t="n"/>
      <c r="Q405" s="83" t="n"/>
      <c r="R405" s="83" t="n"/>
      <c r="S405" s="83" t="n"/>
      <c r="T405" s="83" t="n"/>
      <c r="U405" s="84" t="n"/>
      <c r="V405" s="84" t="n"/>
      <c r="W405" s="63" t="n"/>
      <c r="X405" s="84" t="n"/>
      <c r="Y405" s="63" t="n"/>
      <c r="Z405" s="63" t="n"/>
      <c r="AA405" s="84" t="n"/>
    </row>
    <row r="406" ht="15.75" customHeight="1" s="56">
      <c r="A406" s="63" t="n"/>
      <c r="B406" s="79" t="n"/>
      <c r="C406" s="79" t="n"/>
      <c r="D406" s="79" t="n"/>
      <c r="E406" s="79" t="n"/>
      <c r="F406" s="79" t="n"/>
      <c r="G406" s="79" t="n"/>
      <c r="H406" s="79" t="n"/>
      <c r="I406" s="79" t="n"/>
      <c r="J406" s="83" t="n"/>
      <c r="K406" s="83" t="n"/>
      <c r="L406" s="83" t="n"/>
      <c r="M406" s="83" t="n"/>
      <c r="N406" s="83" t="n"/>
      <c r="O406" s="83" t="n"/>
      <c r="P406" s="83" t="n"/>
      <c r="Q406" s="83" t="n"/>
      <c r="R406" s="83" t="n"/>
      <c r="S406" s="83" t="n"/>
      <c r="T406" s="83" t="n"/>
      <c r="U406" s="84" t="n"/>
      <c r="V406" s="84" t="n"/>
      <c r="W406" s="63" t="n"/>
      <c r="X406" s="84" t="n"/>
      <c r="Y406" s="63" t="n"/>
      <c r="Z406" s="63" t="n"/>
      <c r="AA406" s="84" t="n"/>
    </row>
    <row r="407" ht="15.75" customHeight="1" s="56">
      <c r="A407" s="63" t="n"/>
      <c r="B407" s="79" t="n"/>
      <c r="C407" s="79" t="n"/>
      <c r="D407" s="79" t="n"/>
      <c r="E407" s="79" t="n"/>
      <c r="F407" s="79" t="n"/>
      <c r="G407" s="79" t="n"/>
      <c r="H407" s="79" t="n"/>
      <c r="I407" s="79" t="n"/>
      <c r="J407" s="83" t="n"/>
      <c r="K407" s="83" t="n"/>
      <c r="L407" s="83" t="n"/>
      <c r="M407" s="83" t="n"/>
      <c r="N407" s="83" t="n"/>
      <c r="O407" s="83" t="n"/>
      <c r="P407" s="83" t="n"/>
      <c r="Q407" s="83" t="n"/>
      <c r="R407" s="83" t="n"/>
      <c r="S407" s="83" t="n"/>
      <c r="T407" s="83" t="n"/>
      <c r="U407" s="84" t="n"/>
      <c r="V407" s="84" t="n"/>
      <c r="W407" s="63" t="n"/>
      <c r="X407" s="84" t="n"/>
      <c r="Y407" s="63" t="n"/>
      <c r="Z407" s="63" t="n"/>
      <c r="AA407" s="84" t="n"/>
    </row>
    <row r="408" ht="15.75" customHeight="1" s="56">
      <c r="A408" s="63" t="n"/>
      <c r="B408" s="79" t="n"/>
      <c r="C408" s="79" t="n"/>
      <c r="D408" s="79" t="n"/>
      <c r="E408" s="79" t="n"/>
      <c r="F408" s="79" t="n"/>
      <c r="G408" s="79" t="n"/>
      <c r="H408" s="79" t="n"/>
      <c r="I408" s="79" t="n"/>
      <c r="J408" s="83" t="n"/>
      <c r="K408" s="83" t="n"/>
      <c r="L408" s="83" t="n"/>
      <c r="M408" s="83" t="n"/>
      <c r="N408" s="83" t="n"/>
      <c r="O408" s="83" t="n"/>
      <c r="P408" s="83" t="n"/>
      <c r="Q408" s="83" t="n"/>
      <c r="R408" s="83" t="n"/>
      <c r="S408" s="83" t="n"/>
      <c r="T408" s="83" t="n"/>
      <c r="U408" s="84" t="n"/>
      <c r="V408" s="84" t="n"/>
      <c r="W408" s="63" t="n"/>
      <c r="X408" s="84" t="n"/>
      <c r="Y408" s="63" t="n"/>
      <c r="Z408" s="63" t="n"/>
      <c r="AA408" s="84" t="n"/>
    </row>
    <row r="409" ht="15.75" customHeight="1" s="56">
      <c r="A409" s="63" t="n"/>
      <c r="B409" s="79" t="n"/>
      <c r="C409" s="79" t="n"/>
      <c r="D409" s="79" t="n"/>
      <c r="E409" s="79" t="n"/>
      <c r="F409" s="79" t="n"/>
      <c r="G409" s="79" t="n"/>
      <c r="H409" s="79" t="n"/>
      <c r="I409" s="79" t="n"/>
      <c r="J409" s="83" t="n"/>
      <c r="K409" s="83" t="n"/>
      <c r="L409" s="83" t="n"/>
      <c r="M409" s="83" t="n"/>
      <c r="N409" s="83" t="n"/>
      <c r="O409" s="83" t="n"/>
      <c r="P409" s="83" t="n"/>
      <c r="Q409" s="83" t="n"/>
      <c r="R409" s="83" t="n"/>
      <c r="S409" s="83" t="n"/>
      <c r="T409" s="83" t="n"/>
      <c r="U409" s="84" t="n"/>
      <c r="V409" s="84" t="n"/>
      <c r="W409" s="63" t="n"/>
      <c r="X409" s="84" t="n"/>
      <c r="Y409" s="63" t="n"/>
      <c r="Z409" s="63" t="n"/>
      <c r="AA409" s="84" t="n"/>
    </row>
    <row r="410" ht="15.75" customHeight="1" s="56">
      <c r="A410" s="63" t="n"/>
      <c r="B410" s="79" t="n"/>
      <c r="C410" s="79" t="n"/>
      <c r="D410" s="79" t="n"/>
      <c r="E410" s="79" t="n"/>
      <c r="F410" s="79" t="n"/>
      <c r="G410" s="79" t="n"/>
      <c r="H410" s="79" t="n"/>
      <c r="I410" s="79" t="n"/>
      <c r="J410" s="83" t="n"/>
      <c r="K410" s="83" t="n"/>
      <c r="L410" s="83" t="n"/>
      <c r="M410" s="83" t="n"/>
      <c r="N410" s="83" t="n"/>
      <c r="O410" s="83" t="n"/>
      <c r="P410" s="83" t="n"/>
      <c r="Q410" s="83" t="n"/>
      <c r="R410" s="83" t="n"/>
      <c r="S410" s="83" t="n"/>
      <c r="T410" s="83" t="n"/>
      <c r="U410" s="84" t="n"/>
      <c r="V410" s="84" t="n"/>
      <c r="W410" s="63" t="n"/>
      <c r="X410" s="84" t="n"/>
      <c r="Y410" s="63" t="n"/>
      <c r="Z410" s="63" t="n"/>
      <c r="AA410" s="84" t="n"/>
    </row>
    <row r="411" ht="15.75" customHeight="1" s="56">
      <c r="A411" s="63" t="n"/>
      <c r="B411" s="79" t="n"/>
      <c r="C411" s="79" t="n"/>
      <c r="D411" s="79" t="n"/>
      <c r="E411" s="79" t="n"/>
      <c r="F411" s="79" t="n"/>
      <c r="G411" s="79" t="n"/>
      <c r="H411" s="79" t="n"/>
      <c r="I411" s="79" t="n"/>
      <c r="J411" s="83" t="n"/>
      <c r="K411" s="83" t="n"/>
      <c r="L411" s="83" t="n"/>
      <c r="M411" s="83" t="n"/>
      <c r="N411" s="83" t="n"/>
      <c r="O411" s="83" t="n"/>
      <c r="P411" s="83" t="n"/>
      <c r="Q411" s="83" t="n"/>
      <c r="R411" s="83" t="n"/>
      <c r="S411" s="83" t="n"/>
      <c r="T411" s="83" t="n"/>
      <c r="U411" s="84" t="n"/>
      <c r="V411" s="84" t="n"/>
      <c r="W411" s="63" t="n"/>
      <c r="X411" s="84" t="n"/>
      <c r="Y411" s="63" t="n"/>
      <c r="Z411" s="63" t="n"/>
      <c r="AA411" s="84" t="n"/>
    </row>
    <row r="412" ht="15.75" customHeight="1" s="56">
      <c r="A412" s="63" t="n"/>
      <c r="B412" s="79" t="n"/>
      <c r="C412" s="79" t="n"/>
      <c r="D412" s="79" t="n"/>
      <c r="E412" s="79" t="n"/>
      <c r="F412" s="79" t="n"/>
      <c r="G412" s="79" t="n"/>
      <c r="H412" s="79" t="n"/>
      <c r="I412" s="79" t="n"/>
      <c r="J412" s="83" t="n"/>
      <c r="K412" s="83" t="n"/>
      <c r="L412" s="83" t="n"/>
      <c r="M412" s="83" t="n"/>
      <c r="N412" s="83" t="n"/>
      <c r="O412" s="83" t="n"/>
      <c r="P412" s="83" t="n"/>
      <c r="Q412" s="83" t="n"/>
      <c r="R412" s="83" t="n"/>
      <c r="S412" s="83" t="n"/>
      <c r="T412" s="83" t="n"/>
      <c r="U412" s="84" t="n"/>
      <c r="V412" s="84" t="n"/>
      <c r="W412" s="63" t="n"/>
      <c r="X412" s="84" t="n"/>
      <c r="Y412" s="63" t="n"/>
      <c r="Z412" s="63" t="n"/>
      <c r="AA412" s="84" t="n"/>
    </row>
    <row r="413" ht="15.75" customHeight="1" s="56">
      <c r="A413" s="63" t="n"/>
      <c r="B413" s="79" t="n"/>
      <c r="C413" s="79" t="n"/>
      <c r="D413" s="79" t="n"/>
      <c r="E413" s="79" t="n"/>
      <c r="F413" s="79" t="n"/>
      <c r="G413" s="79" t="n"/>
      <c r="H413" s="79" t="n"/>
      <c r="I413" s="79" t="n"/>
      <c r="J413" s="83" t="n"/>
      <c r="K413" s="83" t="n"/>
      <c r="L413" s="83" t="n"/>
      <c r="M413" s="83" t="n"/>
      <c r="N413" s="83" t="n"/>
      <c r="O413" s="83" t="n"/>
      <c r="P413" s="83" t="n"/>
      <c r="Q413" s="83" t="n"/>
      <c r="R413" s="83" t="n"/>
      <c r="S413" s="83" t="n"/>
      <c r="T413" s="83" t="n"/>
      <c r="U413" s="84" t="n"/>
      <c r="V413" s="84" t="n"/>
      <c r="W413" s="63" t="n"/>
      <c r="X413" s="84" t="n"/>
      <c r="Y413" s="63" t="n"/>
      <c r="Z413" s="63" t="n"/>
      <c r="AA413" s="84" t="n"/>
    </row>
    <row r="414" ht="15.75" customHeight="1" s="56">
      <c r="A414" s="63" t="n"/>
      <c r="B414" s="79" t="n"/>
      <c r="C414" s="79" t="n"/>
      <c r="D414" s="79" t="n"/>
      <c r="E414" s="79" t="n"/>
      <c r="F414" s="79" t="n"/>
      <c r="G414" s="79" t="n"/>
      <c r="H414" s="79" t="n"/>
      <c r="I414" s="79" t="n"/>
      <c r="J414" s="83" t="n"/>
      <c r="K414" s="83" t="n"/>
      <c r="L414" s="83" t="n"/>
      <c r="M414" s="83" t="n"/>
      <c r="N414" s="83" t="n"/>
      <c r="O414" s="83" t="n"/>
      <c r="P414" s="83" t="n"/>
      <c r="Q414" s="83" t="n"/>
      <c r="R414" s="83" t="n"/>
      <c r="S414" s="83" t="n"/>
      <c r="T414" s="83" t="n"/>
      <c r="U414" s="84" t="n"/>
      <c r="V414" s="84" t="n"/>
      <c r="W414" s="63" t="n"/>
      <c r="X414" s="84" t="n"/>
      <c r="Y414" s="63" t="n"/>
      <c r="Z414" s="63" t="n"/>
      <c r="AA414" s="84" t="n"/>
    </row>
    <row r="415" ht="15.75" customHeight="1" s="56">
      <c r="A415" s="63" t="n"/>
      <c r="B415" s="79" t="n"/>
      <c r="C415" s="79" t="n"/>
      <c r="D415" s="79" t="n"/>
      <c r="E415" s="79" t="n"/>
      <c r="F415" s="79" t="n"/>
      <c r="G415" s="79" t="n"/>
      <c r="H415" s="79" t="n"/>
      <c r="I415" s="79" t="n"/>
      <c r="J415" s="83" t="n"/>
      <c r="K415" s="83" t="n"/>
      <c r="L415" s="83" t="n"/>
      <c r="M415" s="83" t="n"/>
      <c r="N415" s="83" t="n"/>
      <c r="O415" s="83" t="n"/>
      <c r="P415" s="83" t="n"/>
      <c r="Q415" s="83" t="n"/>
      <c r="R415" s="83" t="n"/>
      <c r="S415" s="83" t="n"/>
      <c r="T415" s="83" t="n"/>
      <c r="U415" s="84" t="n"/>
      <c r="V415" s="84" t="n"/>
      <c r="W415" s="63" t="n"/>
      <c r="X415" s="84" t="n"/>
      <c r="Y415" s="63" t="n"/>
      <c r="Z415" s="63" t="n"/>
      <c r="AA415" s="84" t="n"/>
    </row>
    <row r="416" ht="15.75" customHeight="1" s="56">
      <c r="A416" s="63" t="n"/>
      <c r="B416" s="79" t="n"/>
      <c r="C416" s="79" t="n"/>
      <c r="D416" s="79" t="n"/>
      <c r="E416" s="79" t="n"/>
      <c r="F416" s="79" t="n"/>
      <c r="G416" s="79" t="n"/>
      <c r="H416" s="79" t="n"/>
      <c r="I416" s="79" t="n"/>
      <c r="J416" s="83" t="n"/>
      <c r="K416" s="83" t="n"/>
      <c r="L416" s="83" t="n"/>
      <c r="M416" s="83" t="n"/>
      <c r="N416" s="83" t="n"/>
      <c r="O416" s="83" t="n"/>
      <c r="P416" s="83" t="n"/>
      <c r="Q416" s="83" t="n"/>
      <c r="R416" s="83" t="n"/>
      <c r="S416" s="83" t="n"/>
      <c r="T416" s="83" t="n"/>
      <c r="U416" s="84" t="n"/>
      <c r="V416" s="84" t="n"/>
      <c r="W416" s="63" t="n"/>
      <c r="X416" s="84" t="n"/>
      <c r="Y416" s="63" t="n"/>
      <c r="Z416" s="63" t="n"/>
      <c r="AA416" s="84" t="n"/>
    </row>
    <row r="417" ht="15.75" customHeight="1" s="56">
      <c r="A417" s="63" t="n"/>
      <c r="B417" s="79" t="n"/>
      <c r="C417" s="79" t="n"/>
      <c r="D417" s="79" t="n"/>
      <c r="E417" s="79" t="n"/>
      <c r="F417" s="79" t="n"/>
      <c r="G417" s="79" t="n"/>
      <c r="H417" s="79" t="n"/>
      <c r="I417" s="79" t="n"/>
      <c r="J417" s="83" t="n"/>
      <c r="K417" s="83" t="n"/>
      <c r="L417" s="83" t="n"/>
      <c r="M417" s="83" t="n"/>
      <c r="N417" s="83" t="n"/>
      <c r="O417" s="83" t="n"/>
      <c r="P417" s="83" t="n"/>
      <c r="Q417" s="83" t="n"/>
      <c r="R417" s="83" t="n"/>
      <c r="S417" s="83" t="n"/>
      <c r="T417" s="83" t="n"/>
      <c r="U417" s="84" t="n"/>
      <c r="V417" s="84" t="n"/>
      <c r="W417" s="63" t="n"/>
      <c r="X417" s="84" t="n"/>
      <c r="Y417" s="63" t="n"/>
      <c r="Z417" s="63" t="n"/>
      <c r="AA417" s="84" t="n"/>
    </row>
    <row r="418" ht="15.75" customHeight="1" s="56">
      <c r="A418" s="63" t="n"/>
      <c r="B418" s="79" t="n"/>
      <c r="C418" s="79" t="n"/>
      <c r="D418" s="79" t="n"/>
      <c r="E418" s="79" t="n"/>
      <c r="F418" s="79" t="n"/>
      <c r="G418" s="79" t="n"/>
      <c r="H418" s="79" t="n"/>
      <c r="I418" s="79" t="n"/>
      <c r="J418" s="83" t="n"/>
      <c r="K418" s="83" t="n"/>
      <c r="L418" s="83" t="n"/>
      <c r="M418" s="83" t="n"/>
      <c r="N418" s="83" t="n"/>
      <c r="O418" s="83" t="n"/>
      <c r="P418" s="83" t="n"/>
      <c r="Q418" s="83" t="n"/>
      <c r="R418" s="83" t="n"/>
      <c r="S418" s="83" t="n"/>
      <c r="T418" s="83" t="n"/>
      <c r="U418" s="84" t="n"/>
      <c r="V418" s="84" t="n"/>
      <c r="W418" s="63" t="n"/>
      <c r="X418" s="84" t="n"/>
      <c r="Y418" s="63" t="n"/>
      <c r="Z418" s="63" t="n"/>
      <c r="AA418" s="84" t="n"/>
    </row>
    <row r="419" ht="15.75" customHeight="1" s="56">
      <c r="A419" s="63" t="n"/>
      <c r="B419" s="79" t="n"/>
      <c r="C419" s="79" t="n"/>
      <c r="D419" s="79" t="n"/>
      <c r="E419" s="79" t="n"/>
      <c r="F419" s="79" t="n"/>
      <c r="G419" s="79" t="n"/>
      <c r="H419" s="79" t="n"/>
      <c r="I419" s="79" t="n"/>
      <c r="J419" s="83" t="n"/>
      <c r="K419" s="83" t="n"/>
      <c r="L419" s="83" t="n"/>
      <c r="M419" s="83" t="n"/>
      <c r="N419" s="83" t="n"/>
      <c r="O419" s="83" t="n"/>
      <c r="P419" s="83" t="n"/>
      <c r="Q419" s="83" t="n"/>
      <c r="R419" s="83" t="n"/>
      <c r="S419" s="83" t="n"/>
      <c r="T419" s="83" t="n"/>
      <c r="U419" s="84" t="n"/>
      <c r="V419" s="84" t="n"/>
      <c r="W419" s="63" t="n"/>
      <c r="X419" s="84" t="n"/>
      <c r="Y419" s="63" t="n"/>
      <c r="Z419" s="63" t="n"/>
      <c r="AA419" s="84" t="n"/>
    </row>
    <row r="420" ht="15.75" customHeight="1" s="56">
      <c r="A420" s="63" t="n"/>
      <c r="B420" s="79" t="n"/>
      <c r="C420" s="79" t="n"/>
      <c r="D420" s="79" t="n"/>
      <c r="E420" s="79" t="n"/>
      <c r="F420" s="79" t="n"/>
      <c r="G420" s="79" t="n"/>
      <c r="H420" s="79" t="n"/>
      <c r="I420" s="79" t="n"/>
      <c r="J420" s="83" t="n"/>
      <c r="K420" s="83" t="n"/>
      <c r="L420" s="83" t="n"/>
      <c r="M420" s="83" t="n"/>
      <c r="N420" s="83" t="n"/>
      <c r="O420" s="83" t="n"/>
      <c r="P420" s="83" t="n"/>
      <c r="Q420" s="83" t="n"/>
      <c r="R420" s="83" t="n"/>
      <c r="S420" s="83" t="n"/>
      <c r="T420" s="83" t="n"/>
      <c r="U420" s="84" t="n"/>
      <c r="V420" s="84" t="n"/>
      <c r="W420" s="63" t="n"/>
      <c r="X420" s="84" t="n"/>
      <c r="Y420" s="63" t="n"/>
      <c r="Z420" s="63" t="n"/>
      <c r="AA420" s="84" t="n"/>
    </row>
    <row r="421" ht="15.75" customHeight="1" s="56">
      <c r="A421" s="63" t="n"/>
      <c r="B421" s="79" t="n"/>
      <c r="C421" s="79" t="n"/>
      <c r="D421" s="79" t="n"/>
      <c r="E421" s="79" t="n"/>
      <c r="F421" s="79" t="n"/>
      <c r="G421" s="79" t="n"/>
      <c r="H421" s="79" t="n"/>
      <c r="I421" s="79" t="n"/>
      <c r="J421" s="83" t="n"/>
      <c r="K421" s="83" t="n"/>
      <c r="L421" s="83" t="n"/>
      <c r="M421" s="83" t="n"/>
      <c r="N421" s="83" t="n"/>
      <c r="O421" s="83" t="n"/>
      <c r="P421" s="83" t="n"/>
      <c r="Q421" s="83" t="n"/>
      <c r="R421" s="83" t="n"/>
      <c r="S421" s="83" t="n"/>
      <c r="T421" s="83" t="n"/>
      <c r="U421" s="84" t="n"/>
      <c r="V421" s="84" t="n"/>
      <c r="W421" s="63" t="n"/>
      <c r="X421" s="84" t="n"/>
      <c r="Y421" s="63" t="n"/>
      <c r="Z421" s="63" t="n"/>
      <c r="AA421" s="84" t="n"/>
    </row>
    <row r="422" ht="15.75" customHeight="1" s="56">
      <c r="A422" s="63" t="n"/>
      <c r="B422" s="79" t="n"/>
      <c r="C422" s="79" t="n"/>
      <c r="D422" s="79" t="n"/>
      <c r="E422" s="79" t="n"/>
      <c r="F422" s="79" t="n"/>
      <c r="G422" s="79" t="n"/>
      <c r="H422" s="79" t="n"/>
      <c r="I422" s="79" t="n"/>
      <c r="J422" s="83" t="n"/>
      <c r="K422" s="83" t="n"/>
      <c r="L422" s="83" t="n"/>
      <c r="M422" s="83" t="n"/>
      <c r="N422" s="83" t="n"/>
      <c r="O422" s="83" t="n"/>
      <c r="P422" s="83" t="n"/>
      <c r="Q422" s="83" t="n"/>
      <c r="R422" s="83" t="n"/>
      <c r="S422" s="83" t="n"/>
      <c r="T422" s="83" t="n"/>
      <c r="U422" s="84" t="n"/>
      <c r="V422" s="84" t="n"/>
      <c r="W422" s="63" t="n"/>
      <c r="X422" s="84" t="n"/>
      <c r="Y422" s="63" t="n"/>
      <c r="Z422" s="63" t="n"/>
      <c r="AA422" s="84" t="n"/>
    </row>
    <row r="423" ht="15.75" customHeight="1" s="56">
      <c r="A423" s="63" t="n"/>
      <c r="B423" s="79" t="n"/>
      <c r="C423" s="79" t="n"/>
      <c r="D423" s="79" t="n"/>
      <c r="E423" s="79" t="n"/>
      <c r="F423" s="79" t="n"/>
      <c r="G423" s="79" t="n"/>
      <c r="H423" s="79" t="n"/>
      <c r="I423" s="79" t="n"/>
      <c r="J423" s="83" t="n"/>
      <c r="K423" s="83" t="n"/>
      <c r="L423" s="83" t="n"/>
      <c r="M423" s="83" t="n"/>
      <c r="N423" s="83" t="n"/>
      <c r="O423" s="83" t="n"/>
      <c r="P423" s="83" t="n"/>
      <c r="Q423" s="83" t="n"/>
      <c r="R423" s="83" t="n"/>
      <c r="S423" s="83" t="n"/>
      <c r="T423" s="83" t="n"/>
      <c r="U423" s="84" t="n"/>
      <c r="V423" s="84" t="n"/>
      <c r="W423" s="63" t="n"/>
      <c r="X423" s="84" t="n"/>
      <c r="Y423" s="63" t="n"/>
      <c r="Z423" s="63" t="n"/>
      <c r="AA423" s="84" t="n"/>
    </row>
    <row r="424" ht="15.75" customHeight="1" s="56">
      <c r="A424" s="63" t="n"/>
      <c r="B424" s="79" t="n"/>
      <c r="C424" s="79" t="n"/>
      <c r="D424" s="79" t="n"/>
      <c r="E424" s="79" t="n"/>
      <c r="F424" s="79" t="n"/>
      <c r="G424" s="79" t="n"/>
      <c r="H424" s="79" t="n"/>
      <c r="I424" s="79" t="n"/>
      <c r="J424" s="83" t="n"/>
      <c r="K424" s="83" t="n"/>
      <c r="L424" s="83" t="n"/>
      <c r="M424" s="83" t="n"/>
      <c r="N424" s="83" t="n"/>
      <c r="O424" s="83" t="n"/>
      <c r="P424" s="83" t="n"/>
      <c r="Q424" s="83" t="n"/>
      <c r="R424" s="83" t="n"/>
      <c r="S424" s="83" t="n"/>
      <c r="T424" s="83" t="n"/>
      <c r="U424" s="84" t="n"/>
      <c r="V424" s="84" t="n"/>
      <c r="W424" s="63" t="n"/>
      <c r="X424" s="84" t="n"/>
      <c r="Y424" s="63" t="n"/>
      <c r="Z424" s="63" t="n"/>
      <c r="AA424" s="84" t="n"/>
    </row>
    <row r="425" ht="15.75" customHeight="1" s="56">
      <c r="A425" s="63" t="n"/>
      <c r="B425" s="79" t="n"/>
      <c r="C425" s="79" t="n"/>
      <c r="D425" s="79" t="n"/>
      <c r="E425" s="79" t="n"/>
      <c r="F425" s="79" t="n"/>
      <c r="G425" s="79" t="n"/>
      <c r="H425" s="79" t="n"/>
      <c r="I425" s="79" t="n"/>
      <c r="J425" s="83" t="n"/>
      <c r="K425" s="83" t="n"/>
      <c r="L425" s="83" t="n"/>
      <c r="M425" s="83" t="n"/>
      <c r="N425" s="83" t="n"/>
      <c r="O425" s="83" t="n"/>
      <c r="P425" s="83" t="n"/>
      <c r="Q425" s="83" t="n"/>
      <c r="R425" s="83" t="n"/>
      <c r="S425" s="83" t="n"/>
      <c r="T425" s="83" t="n"/>
      <c r="U425" s="84" t="n"/>
      <c r="V425" s="84" t="n"/>
      <c r="W425" s="63" t="n"/>
      <c r="X425" s="84" t="n"/>
      <c r="Y425" s="63" t="n"/>
      <c r="Z425" s="63" t="n"/>
      <c r="AA425" s="84" t="n"/>
    </row>
    <row r="426" ht="15.75" customHeight="1" s="56">
      <c r="A426" s="63" t="n"/>
      <c r="B426" s="79" t="n"/>
      <c r="C426" s="79" t="n"/>
      <c r="D426" s="79" t="n"/>
      <c r="E426" s="79" t="n"/>
      <c r="F426" s="79" t="n"/>
      <c r="G426" s="79" t="n"/>
      <c r="H426" s="79" t="n"/>
      <c r="I426" s="79" t="n"/>
      <c r="J426" s="83" t="n"/>
      <c r="K426" s="83" t="n"/>
      <c r="L426" s="83" t="n"/>
      <c r="M426" s="83" t="n"/>
      <c r="N426" s="83" t="n"/>
      <c r="O426" s="83" t="n"/>
      <c r="P426" s="83" t="n"/>
      <c r="Q426" s="83" t="n"/>
      <c r="R426" s="83" t="n"/>
      <c r="S426" s="83" t="n"/>
      <c r="T426" s="83" t="n"/>
      <c r="U426" s="84" t="n"/>
      <c r="V426" s="84" t="n"/>
      <c r="W426" s="63" t="n"/>
      <c r="X426" s="84" t="n"/>
      <c r="Y426" s="63" t="n"/>
      <c r="Z426" s="63" t="n"/>
      <c r="AA426" s="84" t="n"/>
    </row>
    <row r="427" ht="15.75" customHeight="1" s="56">
      <c r="A427" s="63" t="n"/>
      <c r="B427" s="79" t="n"/>
      <c r="C427" s="79" t="n"/>
      <c r="D427" s="79" t="n"/>
      <c r="E427" s="79" t="n"/>
      <c r="F427" s="79" t="n"/>
      <c r="G427" s="79" t="n"/>
      <c r="H427" s="79" t="n"/>
      <c r="I427" s="79" t="n"/>
      <c r="J427" s="83" t="n"/>
      <c r="K427" s="83" t="n"/>
      <c r="L427" s="83" t="n"/>
      <c r="M427" s="83" t="n"/>
      <c r="N427" s="83" t="n"/>
      <c r="O427" s="83" t="n"/>
      <c r="P427" s="83" t="n"/>
      <c r="Q427" s="83" t="n"/>
      <c r="R427" s="83" t="n"/>
      <c r="S427" s="83" t="n"/>
      <c r="T427" s="83" t="n"/>
      <c r="U427" s="84" t="n"/>
      <c r="V427" s="84" t="n"/>
      <c r="W427" s="63" t="n"/>
      <c r="X427" s="84" t="n"/>
      <c r="Y427" s="63" t="n"/>
      <c r="Z427" s="63" t="n"/>
      <c r="AA427" s="84" t="n"/>
    </row>
    <row r="428" ht="15.75" customHeight="1" s="56">
      <c r="A428" s="63" t="n"/>
      <c r="B428" s="79" t="n"/>
      <c r="C428" s="79" t="n"/>
      <c r="D428" s="79" t="n"/>
      <c r="E428" s="79" t="n"/>
      <c r="F428" s="79" t="n"/>
      <c r="G428" s="79" t="n"/>
      <c r="H428" s="79" t="n"/>
      <c r="I428" s="79" t="n"/>
      <c r="J428" s="83" t="n"/>
      <c r="K428" s="83" t="n"/>
      <c r="L428" s="83" t="n"/>
      <c r="M428" s="83" t="n"/>
      <c r="N428" s="83" t="n"/>
      <c r="O428" s="83" t="n"/>
      <c r="P428" s="83" t="n"/>
      <c r="Q428" s="83" t="n"/>
      <c r="R428" s="83" t="n"/>
      <c r="S428" s="83" t="n"/>
      <c r="T428" s="83" t="n"/>
      <c r="U428" s="84" t="n"/>
      <c r="V428" s="84" t="n"/>
      <c r="W428" s="63" t="n"/>
      <c r="X428" s="84" t="n"/>
      <c r="Y428" s="63" t="n"/>
      <c r="Z428" s="63" t="n"/>
      <c r="AA428" s="84" t="n"/>
    </row>
    <row r="429" ht="15.75" customHeight="1" s="56">
      <c r="A429" s="63" t="n"/>
      <c r="B429" s="79" t="n"/>
      <c r="C429" s="79" t="n"/>
      <c r="D429" s="79" t="n"/>
      <c r="E429" s="79" t="n"/>
      <c r="F429" s="79" t="n"/>
      <c r="G429" s="79" t="n"/>
      <c r="H429" s="79" t="n"/>
      <c r="I429" s="79" t="n"/>
      <c r="J429" s="83" t="n"/>
      <c r="K429" s="83" t="n"/>
      <c r="L429" s="83" t="n"/>
      <c r="M429" s="83" t="n"/>
      <c r="N429" s="83" t="n"/>
      <c r="O429" s="83" t="n"/>
      <c r="P429" s="83" t="n"/>
      <c r="Q429" s="83" t="n"/>
      <c r="R429" s="83" t="n"/>
      <c r="S429" s="83" t="n"/>
      <c r="T429" s="83" t="n"/>
      <c r="U429" s="84" t="n"/>
      <c r="V429" s="84" t="n"/>
      <c r="W429" s="63" t="n"/>
      <c r="X429" s="84" t="n"/>
      <c r="Y429" s="63" t="n"/>
      <c r="Z429" s="63" t="n"/>
      <c r="AA429" s="84" t="n"/>
    </row>
    <row r="430" ht="15.75" customHeight="1" s="56">
      <c r="A430" s="63" t="n"/>
      <c r="B430" s="79" t="n"/>
      <c r="C430" s="79" t="n"/>
      <c r="D430" s="79" t="n"/>
      <c r="E430" s="79" t="n"/>
      <c r="F430" s="79" t="n"/>
      <c r="G430" s="79" t="n"/>
      <c r="H430" s="79" t="n"/>
      <c r="I430" s="79" t="n"/>
      <c r="J430" s="83" t="n"/>
      <c r="K430" s="83" t="n"/>
      <c r="L430" s="83" t="n"/>
      <c r="M430" s="83" t="n"/>
      <c r="N430" s="83" t="n"/>
      <c r="O430" s="83" t="n"/>
      <c r="P430" s="83" t="n"/>
      <c r="Q430" s="83" t="n"/>
      <c r="R430" s="83" t="n"/>
      <c r="S430" s="83" t="n"/>
      <c r="T430" s="83" t="n"/>
      <c r="U430" s="84" t="n"/>
      <c r="V430" s="84" t="n"/>
      <c r="W430" s="63" t="n"/>
      <c r="X430" s="84" t="n"/>
      <c r="Y430" s="63" t="n"/>
      <c r="Z430" s="63" t="n"/>
      <c r="AA430" s="84" t="n"/>
    </row>
    <row r="431" ht="15.75" customHeight="1" s="56">
      <c r="A431" s="63" t="n"/>
      <c r="B431" s="79" t="n"/>
      <c r="C431" s="79" t="n"/>
      <c r="D431" s="79" t="n"/>
      <c r="E431" s="79" t="n"/>
      <c r="F431" s="79" t="n"/>
      <c r="G431" s="79" t="n"/>
      <c r="H431" s="79" t="n"/>
      <c r="I431" s="79" t="n"/>
      <c r="J431" s="83" t="n"/>
      <c r="K431" s="83" t="n"/>
      <c r="L431" s="83" t="n"/>
      <c r="M431" s="83" t="n"/>
      <c r="N431" s="83" t="n"/>
      <c r="O431" s="83" t="n"/>
      <c r="P431" s="83" t="n"/>
      <c r="Q431" s="83" t="n"/>
      <c r="R431" s="83" t="n"/>
      <c r="S431" s="83" t="n"/>
      <c r="T431" s="83" t="n"/>
      <c r="U431" s="84" t="n"/>
      <c r="V431" s="84" t="n"/>
      <c r="W431" s="63" t="n"/>
      <c r="X431" s="84" t="n"/>
      <c r="Y431" s="63" t="n"/>
      <c r="Z431" s="63" t="n"/>
      <c r="AA431" s="84" t="n"/>
    </row>
    <row r="432" ht="15.75" customHeight="1" s="56">
      <c r="A432" s="63" t="n"/>
      <c r="B432" s="79" t="n"/>
      <c r="C432" s="79" t="n"/>
      <c r="D432" s="79" t="n"/>
      <c r="E432" s="79" t="n"/>
      <c r="F432" s="79" t="n"/>
      <c r="G432" s="79" t="n"/>
      <c r="H432" s="79" t="n"/>
      <c r="I432" s="79" t="n"/>
      <c r="J432" s="83" t="n"/>
      <c r="K432" s="83" t="n"/>
      <c r="L432" s="83" t="n"/>
      <c r="M432" s="83" t="n"/>
      <c r="N432" s="83" t="n"/>
      <c r="O432" s="83" t="n"/>
      <c r="P432" s="83" t="n"/>
      <c r="Q432" s="83" t="n"/>
      <c r="R432" s="83" t="n"/>
      <c r="S432" s="83" t="n"/>
      <c r="T432" s="83" t="n"/>
      <c r="U432" s="84" t="n"/>
      <c r="V432" s="84" t="n"/>
      <c r="W432" s="63" t="n"/>
      <c r="X432" s="84" t="n"/>
      <c r="Y432" s="63" t="n"/>
      <c r="Z432" s="63" t="n"/>
      <c r="AA432" s="84" t="n"/>
    </row>
    <row r="433" ht="15.75" customHeight="1" s="56">
      <c r="A433" s="63" t="n"/>
      <c r="B433" s="79" t="n"/>
      <c r="C433" s="79" t="n"/>
      <c r="D433" s="79" t="n"/>
      <c r="E433" s="79" t="n"/>
      <c r="F433" s="79" t="n"/>
      <c r="G433" s="79" t="n"/>
      <c r="H433" s="79" t="n"/>
      <c r="I433" s="79" t="n"/>
      <c r="J433" s="83" t="n"/>
      <c r="K433" s="83" t="n"/>
      <c r="L433" s="83" t="n"/>
      <c r="M433" s="83" t="n"/>
      <c r="N433" s="83" t="n"/>
      <c r="O433" s="83" t="n"/>
      <c r="P433" s="83" t="n"/>
      <c r="Q433" s="83" t="n"/>
      <c r="R433" s="83" t="n"/>
      <c r="S433" s="83" t="n"/>
      <c r="T433" s="83" t="n"/>
      <c r="U433" s="84" t="n"/>
      <c r="V433" s="84" t="n"/>
      <c r="W433" s="63" t="n"/>
      <c r="X433" s="84" t="n"/>
      <c r="Y433" s="63" t="n"/>
      <c r="Z433" s="63" t="n"/>
      <c r="AA433" s="84" t="n"/>
    </row>
    <row r="434" ht="15.75" customHeight="1" s="56">
      <c r="A434" s="63" t="n"/>
      <c r="B434" s="79" t="n"/>
      <c r="C434" s="79" t="n"/>
      <c r="D434" s="79" t="n"/>
      <c r="E434" s="79" t="n"/>
      <c r="F434" s="79" t="n"/>
      <c r="G434" s="79" t="n"/>
      <c r="H434" s="79" t="n"/>
      <c r="I434" s="79" t="n"/>
      <c r="J434" s="83" t="n"/>
      <c r="K434" s="83" t="n"/>
      <c r="L434" s="83" t="n"/>
      <c r="M434" s="83" t="n"/>
      <c r="N434" s="83" t="n"/>
      <c r="O434" s="83" t="n"/>
      <c r="P434" s="83" t="n"/>
      <c r="Q434" s="83" t="n"/>
      <c r="R434" s="83" t="n"/>
      <c r="S434" s="83" t="n"/>
      <c r="T434" s="83" t="n"/>
      <c r="U434" s="84" t="n"/>
      <c r="V434" s="84" t="n"/>
      <c r="W434" s="63" t="n"/>
      <c r="X434" s="84" t="n"/>
      <c r="Y434" s="63" t="n"/>
      <c r="Z434" s="63" t="n"/>
      <c r="AA434" s="84" t="n"/>
    </row>
    <row r="435" ht="15.75" customHeight="1" s="56">
      <c r="A435" s="63" t="n"/>
      <c r="B435" s="79" t="n"/>
      <c r="C435" s="79" t="n"/>
      <c r="D435" s="79" t="n"/>
      <c r="E435" s="79" t="n"/>
      <c r="F435" s="79" t="n"/>
      <c r="G435" s="79" t="n"/>
      <c r="H435" s="79" t="n"/>
      <c r="I435" s="79" t="n"/>
      <c r="J435" s="83" t="n"/>
      <c r="K435" s="83" t="n"/>
      <c r="L435" s="83" t="n"/>
      <c r="M435" s="83" t="n"/>
      <c r="N435" s="83" t="n"/>
      <c r="O435" s="83" t="n"/>
      <c r="P435" s="83" t="n"/>
      <c r="Q435" s="83" t="n"/>
      <c r="R435" s="83" t="n"/>
      <c r="S435" s="83" t="n"/>
      <c r="T435" s="83" t="n"/>
      <c r="U435" s="84" t="n"/>
      <c r="V435" s="84" t="n"/>
      <c r="W435" s="63" t="n"/>
      <c r="X435" s="84" t="n"/>
      <c r="Y435" s="63" t="n"/>
      <c r="Z435" s="63" t="n"/>
      <c r="AA435" s="84" t="n"/>
    </row>
    <row r="436" ht="15.75" customHeight="1" s="56">
      <c r="A436" s="63" t="n"/>
      <c r="B436" s="79" t="n"/>
      <c r="C436" s="79" t="n"/>
      <c r="D436" s="79" t="n"/>
      <c r="E436" s="79" t="n"/>
      <c r="F436" s="79" t="n"/>
      <c r="G436" s="79" t="n"/>
      <c r="H436" s="79" t="n"/>
      <c r="I436" s="79" t="n"/>
      <c r="J436" s="83" t="n"/>
      <c r="K436" s="83" t="n"/>
      <c r="L436" s="83" t="n"/>
      <c r="M436" s="83" t="n"/>
      <c r="N436" s="83" t="n"/>
      <c r="O436" s="83" t="n"/>
      <c r="P436" s="83" t="n"/>
      <c r="Q436" s="83" t="n"/>
      <c r="R436" s="83" t="n"/>
      <c r="S436" s="83" t="n"/>
      <c r="T436" s="83" t="n"/>
      <c r="U436" s="84" t="n"/>
      <c r="V436" s="84" t="n"/>
      <c r="W436" s="63" t="n"/>
      <c r="X436" s="84" t="n"/>
      <c r="Y436" s="63" t="n"/>
      <c r="Z436" s="63" t="n"/>
      <c r="AA436" s="84" t="n"/>
    </row>
    <row r="437" ht="15.75" customHeight="1" s="56">
      <c r="A437" s="63" t="n"/>
      <c r="B437" s="79" t="n"/>
      <c r="C437" s="79" t="n"/>
      <c r="D437" s="79" t="n"/>
      <c r="E437" s="79" t="n"/>
      <c r="F437" s="79" t="n"/>
      <c r="G437" s="79" t="n"/>
      <c r="H437" s="79" t="n"/>
      <c r="I437" s="79" t="n"/>
      <c r="J437" s="83" t="n"/>
      <c r="K437" s="83" t="n"/>
      <c r="L437" s="83" t="n"/>
      <c r="M437" s="83" t="n"/>
      <c r="N437" s="83" t="n"/>
      <c r="O437" s="83" t="n"/>
      <c r="P437" s="83" t="n"/>
      <c r="Q437" s="83" t="n"/>
      <c r="R437" s="83" t="n"/>
      <c r="S437" s="83" t="n"/>
      <c r="T437" s="83" t="n"/>
      <c r="U437" s="84" t="n"/>
      <c r="V437" s="84" t="n"/>
      <c r="W437" s="63" t="n"/>
      <c r="X437" s="84" t="n"/>
      <c r="Y437" s="63" t="n"/>
      <c r="Z437" s="63" t="n"/>
      <c r="AA437" s="84" t="n"/>
    </row>
    <row r="438" ht="15.75" customHeight="1" s="56">
      <c r="A438" s="63" t="n"/>
      <c r="B438" s="79" t="n"/>
      <c r="C438" s="79" t="n"/>
      <c r="D438" s="79" t="n"/>
      <c r="E438" s="79" t="n"/>
      <c r="F438" s="79" t="n"/>
      <c r="G438" s="79" t="n"/>
      <c r="H438" s="79" t="n"/>
      <c r="I438" s="79" t="n"/>
      <c r="J438" s="83" t="n"/>
      <c r="K438" s="83" t="n"/>
      <c r="L438" s="83" t="n"/>
      <c r="M438" s="83" t="n"/>
      <c r="N438" s="83" t="n"/>
      <c r="O438" s="83" t="n"/>
      <c r="P438" s="83" t="n"/>
      <c r="Q438" s="83" t="n"/>
      <c r="R438" s="83" t="n"/>
      <c r="S438" s="83" t="n"/>
      <c r="T438" s="83" t="n"/>
      <c r="U438" s="84" t="n"/>
      <c r="V438" s="84" t="n"/>
      <c r="W438" s="63" t="n"/>
      <c r="X438" s="84" t="n"/>
      <c r="Y438" s="63" t="n"/>
      <c r="Z438" s="63" t="n"/>
      <c r="AA438" s="84" t="n"/>
    </row>
    <row r="439" ht="15.75" customHeight="1" s="56">
      <c r="A439" s="63" t="n"/>
      <c r="B439" s="79" t="n"/>
      <c r="C439" s="79" t="n"/>
      <c r="D439" s="79" t="n"/>
      <c r="E439" s="79" t="n"/>
      <c r="F439" s="79" t="n"/>
      <c r="G439" s="79" t="n"/>
      <c r="H439" s="79" t="n"/>
      <c r="I439" s="79" t="n"/>
      <c r="J439" s="83" t="n"/>
      <c r="K439" s="83" t="n"/>
      <c r="L439" s="83" t="n"/>
      <c r="M439" s="83" t="n"/>
      <c r="N439" s="83" t="n"/>
      <c r="O439" s="83" t="n"/>
      <c r="P439" s="83" t="n"/>
      <c r="Q439" s="83" t="n"/>
      <c r="R439" s="83" t="n"/>
      <c r="S439" s="83" t="n"/>
      <c r="T439" s="83" t="n"/>
      <c r="U439" s="84" t="n"/>
      <c r="V439" s="84" t="n"/>
      <c r="W439" s="63" t="n"/>
      <c r="X439" s="84" t="n"/>
      <c r="Y439" s="63" t="n"/>
      <c r="Z439" s="63" t="n"/>
      <c r="AA439" s="84" t="n"/>
    </row>
    <row r="440" ht="15.75" customHeight="1" s="56">
      <c r="A440" s="63" t="n"/>
      <c r="B440" s="79" t="n"/>
      <c r="C440" s="79" t="n"/>
      <c r="D440" s="79" t="n"/>
      <c r="E440" s="79" t="n"/>
      <c r="F440" s="79" t="n"/>
      <c r="G440" s="79" t="n"/>
      <c r="H440" s="79" t="n"/>
      <c r="I440" s="79" t="n"/>
      <c r="J440" s="83" t="n"/>
      <c r="K440" s="83" t="n"/>
      <c r="L440" s="83" t="n"/>
      <c r="M440" s="83" t="n"/>
      <c r="N440" s="83" t="n"/>
      <c r="O440" s="83" t="n"/>
      <c r="P440" s="83" t="n"/>
      <c r="Q440" s="83" t="n"/>
      <c r="R440" s="83" t="n"/>
      <c r="S440" s="83" t="n"/>
      <c r="T440" s="83" t="n"/>
      <c r="U440" s="84" t="n"/>
      <c r="V440" s="84" t="n"/>
      <c r="W440" s="63" t="n"/>
      <c r="X440" s="84" t="n"/>
      <c r="Y440" s="63" t="n"/>
      <c r="Z440" s="63" t="n"/>
      <c r="AA440" s="84" t="n"/>
    </row>
    <row r="441" ht="15.75" customHeight="1" s="56">
      <c r="A441" s="63" t="n"/>
      <c r="B441" s="79" t="n"/>
      <c r="C441" s="79" t="n"/>
      <c r="D441" s="79" t="n"/>
      <c r="E441" s="79" t="n"/>
      <c r="F441" s="79" t="n"/>
      <c r="G441" s="79" t="n"/>
      <c r="H441" s="79" t="n"/>
      <c r="I441" s="79" t="n"/>
      <c r="J441" s="83" t="n"/>
      <c r="K441" s="83" t="n"/>
      <c r="L441" s="83" t="n"/>
      <c r="M441" s="83" t="n"/>
      <c r="N441" s="83" t="n"/>
      <c r="O441" s="83" t="n"/>
      <c r="P441" s="83" t="n"/>
      <c r="Q441" s="83" t="n"/>
      <c r="R441" s="83" t="n"/>
      <c r="S441" s="83" t="n"/>
      <c r="T441" s="83" t="n"/>
      <c r="U441" s="84" t="n"/>
      <c r="V441" s="84" t="n"/>
      <c r="W441" s="63" t="n"/>
      <c r="X441" s="84" t="n"/>
      <c r="Y441" s="63" t="n"/>
      <c r="Z441" s="63" t="n"/>
      <c r="AA441" s="84" t="n"/>
    </row>
    <row r="442" ht="15.75" customHeight="1" s="56">
      <c r="A442" s="63" t="n"/>
      <c r="B442" s="79" t="n"/>
      <c r="C442" s="79" t="n"/>
      <c r="D442" s="79" t="n"/>
      <c r="E442" s="79" t="n"/>
      <c r="F442" s="79" t="n"/>
      <c r="G442" s="79" t="n"/>
      <c r="H442" s="79" t="n"/>
      <c r="I442" s="79" t="n"/>
      <c r="J442" s="83" t="n"/>
      <c r="K442" s="83" t="n"/>
      <c r="L442" s="83" t="n"/>
      <c r="M442" s="83" t="n"/>
      <c r="N442" s="83" t="n"/>
      <c r="O442" s="83" t="n"/>
      <c r="P442" s="83" t="n"/>
      <c r="Q442" s="83" t="n"/>
      <c r="R442" s="83" t="n"/>
      <c r="S442" s="83" t="n"/>
      <c r="T442" s="83" t="n"/>
      <c r="U442" s="84" t="n"/>
      <c r="V442" s="84" t="n"/>
      <c r="W442" s="63" t="n"/>
      <c r="X442" s="84" t="n"/>
      <c r="Y442" s="63" t="n"/>
      <c r="Z442" s="63" t="n"/>
      <c r="AA442" s="84" t="n"/>
    </row>
    <row r="443" ht="15.75" customHeight="1" s="56">
      <c r="A443" s="63" t="n"/>
      <c r="B443" s="79" t="n"/>
      <c r="C443" s="79" t="n"/>
      <c r="D443" s="79" t="n"/>
      <c r="E443" s="79" t="n"/>
      <c r="F443" s="79" t="n"/>
      <c r="G443" s="79" t="n"/>
      <c r="H443" s="79" t="n"/>
      <c r="I443" s="79" t="n"/>
      <c r="J443" s="83" t="n"/>
      <c r="K443" s="83" t="n"/>
      <c r="L443" s="83" t="n"/>
      <c r="M443" s="83" t="n"/>
      <c r="N443" s="83" t="n"/>
      <c r="O443" s="83" t="n"/>
      <c r="P443" s="83" t="n"/>
      <c r="Q443" s="83" t="n"/>
      <c r="R443" s="83" t="n"/>
      <c r="S443" s="83" t="n"/>
      <c r="T443" s="83" t="n"/>
      <c r="U443" s="84" t="n"/>
      <c r="V443" s="84" t="n"/>
      <c r="W443" s="63" t="n"/>
      <c r="X443" s="84" t="n"/>
      <c r="Y443" s="63" t="n"/>
      <c r="Z443" s="63" t="n"/>
      <c r="AA443" s="84" t="n"/>
    </row>
    <row r="444" ht="15.75" customHeight="1" s="56">
      <c r="A444" s="63" t="n"/>
      <c r="B444" s="79" t="n"/>
      <c r="C444" s="79" t="n"/>
      <c r="D444" s="79" t="n"/>
      <c r="E444" s="79" t="n"/>
      <c r="F444" s="79" t="n"/>
      <c r="G444" s="79" t="n"/>
      <c r="H444" s="79" t="n"/>
      <c r="I444" s="79" t="n"/>
      <c r="J444" s="83" t="n"/>
      <c r="K444" s="83" t="n"/>
      <c r="L444" s="83" t="n"/>
      <c r="M444" s="83" t="n"/>
      <c r="N444" s="83" t="n"/>
      <c r="O444" s="83" t="n"/>
      <c r="P444" s="83" t="n"/>
      <c r="Q444" s="83" t="n"/>
      <c r="R444" s="83" t="n"/>
      <c r="S444" s="83" t="n"/>
      <c r="T444" s="83" t="n"/>
      <c r="U444" s="84" t="n"/>
      <c r="V444" s="84" t="n"/>
      <c r="W444" s="63" t="n"/>
      <c r="X444" s="84" t="n"/>
      <c r="Y444" s="63" t="n"/>
      <c r="Z444" s="63" t="n"/>
      <c r="AA444" s="84" t="n"/>
    </row>
    <row r="445" ht="15.75" customHeight="1" s="56">
      <c r="A445" s="63" t="n"/>
      <c r="B445" s="79" t="n"/>
      <c r="C445" s="79" t="n"/>
      <c r="D445" s="79" t="n"/>
      <c r="E445" s="79" t="n"/>
      <c r="F445" s="79" t="n"/>
      <c r="G445" s="79" t="n"/>
      <c r="H445" s="79" t="n"/>
      <c r="I445" s="79" t="n"/>
      <c r="J445" s="83" t="n"/>
      <c r="K445" s="83" t="n"/>
      <c r="L445" s="83" t="n"/>
      <c r="M445" s="83" t="n"/>
      <c r="N445" s="83" t="n"/>
      <c r="O445" s="83" t="n"/>
      <c r="P445" s="83" t="n"/>
      <c r="Q445" s="83" t="n"/>
      <c r="R445" s="83" t="n"/>
      <c r="S445" s="83" t="n"/>
      <c r="T445" s="83" t="n"/>
      <c r="U445" s="84" t="n"/>
      <c r="V445" s="84" t="n"/>
      <c r="W445" s="63" t="n"/>
      <c r="X445" s="84" t="n"/>
      <c r="Y445" s="63" t="n"/>
      <c r="Z445" s="63" t="n"/>
      <c r="AA445" s="84" t="n"/>
    </row>
    <row r="446" ht="15.75" customHeight="1" s="56">
      <c r="A446" s="63" t="n"/>
      <c r="B446" s="79" t="n"/>
      <c r="C446" s="79" t="n"/>
      <c r="D446" s="79" t="n"/>
      <c r="E446" s="79" t="n"/>
      <c r="F446" s="79" t="n"/>
      <c r="G446" s="79" t="n"/>
      <c r="H446" s="79" t="n"/>
      <c r="I446" s="79" t="n"/>
      <c r="J446" s="83" t="n"/>
      <c r="K446" s="83" t="n"/>
      <c r="L446" s="83" t="n"/>
      <c r="M446" s="83" t="n"/>
      <c r="N446" s="83" t="n"/>
      <c r="O446" s="83" t="n"/>
      <c r="P446" s="83" t="n"/>
      <c r="Q446" s="83" t="n"/>
      <c r="R446" s="83" t="n"/>
      <c r="S446" s="83" t="n"/>
      <c r="T446" s="83" t="n"/>
      <c r="U446" s="84" t="n"/>
      <c r="V446" s="84" t="n"/>
      <c r="W446" s="63" t="n"/>
      <c r="X446" s="84" t="n"/>
      <c r="Y446" s="63" t="n"/>
      <c r="Z446" s="63" t="n"/>
      <c r="AA446" s="84" t="n"/>
    </row>
    <row r="447" ht="15.75" customHeight="1" s="56">
      <c r="A447" s="63" t="n"/>
      <c r="B447" s="79" t="n"/>
      <c r="C447" s="79" t="n"/>
      <c r="D447" s="79" t="n"/>
      <c r="E447" s="79" t="n"/>
      <c r="F447" s="79" t="n"/>
      <c r="G447" s="79" t="n"/>
      <c r="H447" s="79" t="n"/>
      <c r="I447" s="79" t="n"/>
      <c r="J447" s="83" t="n"/>
      <c r="K447" s="83" t="n"/>
      <c r="L447" s="83" t="n"/>
      <c r="M447" s="83" t="n"/>
      <c r="N447" s="83" t="n"/>
      <c r="O447" s="83" t="n"/>
      <c r="P447" s="83" t="n"/>
      <c r="Q447" s="83" t="n"/>
      <c r="R447" s="83" t="n"/>
      <c r="S447" s="83" t="n"/>
      <c r="T447" s="83" t="n"/>
      <c r="U447" s="84" t="n"/>
      <c r="V447" s="84" t="n"/>
      <c r="W447" s="63" t="n"/>
      <c r="X447" s="84" t="n"/>
      <c r="Y447" s="63" t="n"/>
      <c r="Z447" s="63" t="n"/>
      <c r="AA447" s="84" t="n"/>
    </row>
    <row r="448" ht="15.75" customHeight="1" s="56">
      <c r="A448" s="63" t="n"/>
      <c r="B448" s="79" t="n"/>
      <c r="C448" s="79" t="n"/>
      <c r="D448" s="79" t="n"/>
      <c r="E448" s="79" t="n"/>
      <c r="F448" s="79" t="n"/>
      <c r="G448" s="79" t="n"/>
      <c r="H448" s="79" t="n"/>
      <c r="I448" s="79" t="n"/>
      <c r="J448" s="83" t="n"/>
      <c r="K448" s="83" t="n"/>
      <c r="L448" s="83" t="n"/>
      <c r="M448" s="83" t="n"/>
      <c r="N448" s="83" t="n"/>
      <c r="O448" s="83" t="n"/>
      <c r="P448" s="83" t="n"/>
      <c r="Q448" s="83" t="n"/>
      <c r="R448" s="83" t="n"/>
      <c r="S448" s="83" t="n"/>
      <c r="T448" s="83" t="n"/>
      <c r="U448" s="84" t="n"/>
      <c r="V448" s="84" t="n"/>
      <c r="W448" s="63" t="n"/>
      <c r="X448" s="84" t="n"/>
      <c r="Y448" s="63" t="n"/>
      <c r="Z448" s="63" t="n"/>
      <c r="AA448" s="84" t="n"/>
    </row>
    <row r="449" ht="15.75" customHeight="1" s="56">
      <c r="A449" s="63" t="n"/>
      <c r="B449" s="79" t="n"/>
      <c r="C449" s="79" t="n"/>
      <c r="D449" s="79" t="n"/>
      <c r="E449" s="79" t="n"/>
      <c r="F449" s="79" t="n"/>
      <c r="G449" s="79" t="n"/>
      <c r="H449" s="79" t="n"/>
      <c r="I449" s="79" t="n"/>
      <c r="J449" s="83" t="n"/>
      <c r="K449" s="83" t="n"/>
      <c r="L449" s="83" t="n"/>
      <c r="M449" s="83" t="n"/>
      <c r="N449" s="83" t="n"/>
      <c r="O449" s="83" t="n"/>
      <c r="P449" s="83" t="n"/>
      <c r="Q449" s="83" t="n"/>
      <c r="R449" s="83" t="n"/>
      <c r="S449" s="83" t="n"/>
      <c r="T449" s="83" t="n"/>
      <c r="U449" s="84" t="n"/>
      <c r="V449" s="84" t="n"/>
      <c r="W449" s="63" t="n"/>
      <c r="X449" s="84" t="n"/>
      <c r="Y449" s="63" t="n"/>
      <c r="Z449" s="63" t="n"/>
      <c r="AA449" s="84" t="n"/>
    </row>
    <row r="450" ht="15.75" customHeight="1" s="56">
      <c r="A450" s="63" t="n"/>
      <c r="B450" s="79" t="n"/>
      <c r="C450" s="79" t="n"/>
      <c r="D450" s="79" t="n"/>
      <c r="E450" s="79" t="n"/>
      <c r="F450" s="79" t="n"/>
      <c r="G450" s="79" t="n"/>
      <c r="H450" s="79" t="n"/>
      <c r="I450" s="79" t="n"/>
      <c r="J450" s="83" t="n"/>
      <c r="K450" s="83" t="n"/>
      <c r="L450" s="83" t="n"/>
      <c r="M450" s="83" t="n"/>
      <c r="N450" s="83" t="n"/>
      <c r="O450" s="83" t="n"/>
      <c r="P450" s="83" t="n"/>
      <c r="Q450" s="83" t="n"/>
      <c r="R450" s="83" t="n"/>
      <c r="S450" s="83" t="n"/>
      <c r="T450" s="83" t="n"/>
      <c r="U450" s="84" t="n"/>
      <c r="V450" s="84" t="n"/>
      <c r="W450" s="63" t="n"/>
      <c r="X450" s="84" t="n"/>
      <c r="Y450" s="63" t="n"/>
      <c r="Z450" s="63" t="n"/>
      <c r="AA450" s="84" t="n"/>
    </row>
    <row r="451" ht="15.75" customHeight="1" s="56">
      <c r="A451" s="63" t="n"/>
      <c r="B451" s="79" t="n"/>
      <c r="C451" s="79" t="n"/>
      <c r="D451" s="79" t="n"/>
      <c r="E451" s="79" t="n"/>
      <c r="F451" s="79" t="n"/>
      <c r="G451" s="79" t="n"/>
      <c r="H451" s="79" t="n"/>
      <c r="I451" s="79" t="n"/>
      <c r="J451" s="83" t="n"/>
      <c r="K451" s="83" t="n"/>
      <c r="L451" s="83" t="n"/>
      <c r="M451" s="83" t="n"/>
      <c r="N451" s="83" t="n"/>
      <c r="O451" s="83" t="n"/>
      <c r="P451" s="83" t="n"/>
      <c r="Q451" s="83" t="n"/>
      <c r="R451" s="83" t="n"/>
      <c r="S451" s="83" t="n"/>
      <c r="T451" s="83" t="n"/>
      <c r="U451" s="84" t="n"/>
      <c r="V451" s="84" t="n"/>
      <c r="W451" s="63" t="n"/>
      <c r="X451" s="84" t="n"/>
      <c r="Y451" s="63" t="n"/>
      <c r="Z451" s="63" t="n"/>
      <c r="AA451" s="84" t="n"/>
    </row>
    <row r="452" ht="15.75" customHeight="1" s="56">
      <c r="A452" s="63" t="n"/>
      <c r="B452" s="79" t="n"/>
      <c r="C452" s="79" t="n"/>
      <c r="D452" s="79" t="n"/>
      <c r="E452" s="79" t="n"/>
      <c r="F452" s="79" t="n"/>
      <c r="G452" s="79" t="n"/>
      <c r="H452" s="79" t="n"/>
      <c r="I452" s="79" t="n"/>
      <c r="J452" s="83" t="n"/>
      <c r="K452" s="83" t="n"/>
      <c r="L452" s="83" t="n"/>
      <c r="M452" s="83" t="n"/>
      <c r="N452" s="83" t="n"/>
      <c r="O452" s="83" t="n"/>
      <c r="P452" s="83" t="n"/>
      <c r="Q452" s="83" t="n"/>
      <c r="R452" s="83" t="n"/>
      <c r="S452" s="83" t="n"/>
      <c r="T452" s="83" t="n"/>
      <c r="U452" s="84" t="n"/>
      <c r="V452" s="84" t="n"/>
      <c r="W452" s="63" t="n"/>
      <c r="X452" s="84" t="n"/>
      <c r="Y452" s="63" t="n"/>
      <c r="Z452" s="63" t="n"/>
      <c r="AA452" s="84" t="n"/>
    </row>
    <row r="453" ht="15.75" customHeight="1" s="56">
      <c r="A453" s="63" t="n"/>
      <c r="B453" s="79" t="n"/>
      <c r="C453" s="79" t="n"/>
      <c r="D453" s="79" t="n"/>
      <c r="E453" s="79" t="n"/>
      <c r="F453" s="79" t="n"/>
      <c r="G453" s="79" t="n"/>
      <c r="H453" s="79" t="n"/>
      <c r="I453" s="79" t="n"/>
      <c r="J453" s="83" t="n"/>
      <c r="K453" s="83" t="n"/>
      <c r="L453" s="83" t="n"/>
      <c r="M453" s="83" t="n"/>
      <c r="N453" s="83" t="n"/>
      <c r="O453" s="83" t="n"/>
      <c r="P453" s="83" t="n"/>
      <c r="Q453" s="83" t="n"/>
      <c r="R453" s="83" t="n"/>
      <c r="S453" s="83" t="n"/>
      <c r="T453" s="83" t="n"/>
      <c r="U453" s="84" t="n"/>
      <c r="V453" s="84" t="n"/>
      <c r="W453" s="63" t="n"/>
      <c r="X453" s="84" t="n"/>
      <c r="Y453" s="63" t="n"/>
      <c r="Z453" s="63" t="n"/>
      <c r="AA453" s="84" t="n"/>
    </row>
    <row r="454" ht="15.75" customHeight="1" s="56">
      <c r="A454" s="63" t="n"/>
      <c r="B454" s="79" t="n"/>
      <c r="C454" s="79" t="n"/>
      <c r="D454" s="79" t="n"/>
      <c r="E454" s="79" t="n"/>
      <c r="F454" s="79" t="n"/>
      <c r="G454" s="79" t="n"/>
      <c r="H454" s="79" t="n"/>
      <c r="I454" s="79" t="n"/>
      <c r="J454" s="83" t="n"/>
      <c r="K454" s="83" t="n"/>
      <c r="L454" s="83" t="n"/>
      <c r="M454" s="83" t="n"/>
      <c r="N454" s="83" t="n"/>
      <c r="O454" s="83" t="n"/>
      <c r="P454" s="83" t="n"/>
      <c r="Q454" s="83" t="n"/>
      <c r="R454" s="83" t="n"/>
      <c r="S454" s="83" t="n"/>
      <c r="T454" s="83" t="n"/>
      <c r="U454" s="84" t="n"/>
      <c r="V454" s="84" t="n"/>
      <c r="W454" s="63" t="n"/>
      <c r="X454" s="84" t="n"/>
      <c r="Y454" s="63" t="n"/>
      <c r="Z454" s="63" t="n"/>
      <c r="AA454" s="84" t="n"/>
    </row>
    <row r="455" ht="15.75" customHeight="1" s="56">
      <c r="A455" s="63" t="n"/>
      <c r="B455" s="79" t="n"/>
      <c r="C455" s="79" t="n"/>
      <c r="D455" s="79" t="n"/>
      <c r="E455" s="79" t="n"/>
      <c r="F455" s="79" t="n"/>
      <c r="G455" s="79" t="n"/>
      <c r="H455" s="79" t="n"/>
      <c r="I455" s="79" t="n"/>
      <c r="J455" s="83" t="n"/>
      <c r="K455" s="83" t="n"/>
      <c r="L455" s="83" t="n"/>
      <c r="M455" s="83" t="n"/>
      <c r="N455" s="83" t="n"/>
      <c r="O455" s="83" t="n"/>
      <c r="P455" s="83" t="n"/>
      <c r="Q455" s="83" t="n"/>
      <c r="R455" s="83" t="n"/>
      <c r="S455" s="83" t="n"/>
      <c r="T455" s="83" t="n"/>
      <c r="U455" s="84" t="n"/>
      <c r="V455" s="84" t="n"/>
      <c r="W455" s="63" t="n"/>
      <c r="X455" s="84" t="n"/>
      <c r="Y455" s="63" t="n"/>
      <c r="Z455" s="63" t="n"/>
      <c r="AA455" s="84" t="n"/>
    </row>
    <row r="456" ht="15.75" customHeight="1" s="56">
      <c r="A456" s="63" t="n"/>
      <c r="B456" s="79" t="n"/>
      <c r="C456" s="79" t="n"/>
      <c r="D456" s="79" t="n"/>
      <c r="E456" s="79" t="n"/>
      <c r="F456" s="79" t="n"/>
      <c r="G456" s="79" t="n"/>
      <c r="H456" s="79" t="n"/>
      <c r="I456" s="79" t="n"/>
      <c r="J456" s="83" t="n"/>
      <c r="K456" s="83" t="n"/>
      <c r="L456" s="83" t="n"/>
      <c r="M456" s="83" t="n"/>
      <c r="N456" s="83" t="n"/>
      <c r="O456" s="83" t="n"/>
      <c r="P456" s="83" t="n"/>
      <c r="Q456" s="83" t="n"/>
      <c r="R456" s="83" t="n"/>
      <c r="S456" s="83" t="n"/>
      <c r="T456" s="83" t="n"/>
      <c r="U456" s="84" t="n"/>
      <c r="V456" s="84" t="n"/>
      <c r="W456" s="63" t="n"/>
      <c r="X456" s="84" t="n"/>
      <c r="Y456" s="63" t="n"/>
      <c r="Z456" s="63" t="n"/>
      <c r="AA456" s="84" t="n"/>
    </row>
    <row r="457" ht="15.75" customHeight="1" s="56">
      <c r="A457" s="63" t="n"/>
      <c r="B457" s="79" t="n"/>
      <c r="C457" s="79" t="n"/>
      <c r="D457" s="79" t="n"/>
      <c r="E457" s="79" t="n"/>
      <c r="F457" s="79" t="n"/>
      <c r="G457" s="79" t="n"/>
      <c r="H457" s="79" t="n"/>
      <c r="I457" s="79" t="n"/>
      <c r="J457" s="83" t="n"/>
      <c r="K457" s="83" t="n"/>
      <c r="L457" s="83" t="n"/>
      <c r="M457" s="83" t="n"/>
      <c r="N457" s="83" t="n"/>
      <c r="O457" s="83" t="n"/>
      <c r="P457" s="83" t="n"/>
      <c r="Q457" s="83" t="n"/>
      <c r="R457" s="83" t="n"/>
      <c r="S457" s="83" t="n"/>
      <c r="T457" s="83" t="n"/>
      <c r="U457" s="84" t="n"/>
      <c r="V457" s="84" t="n"/>
      <c r="W457" s="63" t="n"/>
      <c r="X457" s="84" t="n"/>
      <c r="Y457" s="63" t="n"/>
      <c r="Z457" s="63" t="n"/>
      <c r="AA457" s="84" t="n"/>
    </row>
    <row r="458" ht="15.75" customHeight="1" s="56">
      <c r="A458" s="63" t="n"/>
      <c r="B458" s="79" t="n"/>
      <c r="C458" s="79" t="n"/>
      <c r="D458" s="79" t="n"/>
      <c r="E458" s="79" t="n"/>
      <c r="F458" s="79" t="n"/>
      <c r="G458" s="79" t="n"/>
      <c r="H458" s="79" t="n"/>
      <c r="I458" s="79" t="n"/>
      <c r="J458" s="83" t="n"/>
      <c r="K458" s="83" t="n"/>
      <c r="L458" s="83" t="n"/>
      <c r="M458" s="83" t="n"/>
      <c r="N458" s="83" t="n"/>
      <c r="O458" s="83" t="n"/>
      <c r="P458" s="83" t="n"/>
      <c r="Q458" s="83" t="n"/>
      <c r="R458" s="83" t="n"/>
      <c r="S458" s="83" t="n"/>
      <c r="T458" s="83" t="n"/>
      <c r="U458" s="84" t="n"/>
      <c r="V458" s="84" t="n"/>
      <c r="W458" s="63" t="n"/>
      <c r="X458" s="84" t="n"/>
      <c r="Y458" s="63" t="n"/>
      <c r="Z458" s="63" t="n"/>
      <c r="AA458" s="84" t="n"/>
    </row>
    <row r="459" ht="15.75" customHeight="1" s="56">
      <c r="A459" s="63" t="n"/>
      <c r="B459" s="79" t="n"/>
      <c r="C459" s="79" t="n"/>
      <c r="D459" s="79" t="n"/>
      <c r="E459" s="79" t="n"/>
      <c r="F459" s="79" t="n"/>
      <c r="G459" s="79" t="n"/>
      <c r="H459" s="79" t="n"/>
      <c r="I459" s="79" t="n"/>
      <c r="J459" s="83" t="n"/>
      <c r="K459" s="83" t="n"/>
      <c r="L459" s="83" t="n"/>
      <c r="M459" s="83" t="n"/>
      <c r="N459" s="83" t="n"/>
      <c r="O459" s="83" t="n"/>
      <c r="P459" s="83" t="n"/>
      <c r="Q459" s="83" t="n"/>
      <c r="R459" s="83" t="n"/>
      <c r="S459" s="83" t="n"/>
      <c r="T459" s="83" t="n"/>
      <c r="U459" s="84" t="n"/>
      <c r="V459" s="84" t="n"/>
      <c r="W459" s="63" t="n"/>
      <c r="X459" s="84" t="n"/>
      <c r="Y459" s="63" t="n"/>
      <c r="Z459" s="63" t="n"/>
      <c r="AA459" s="84" t="n"/>
    </row>
    <row r="460" ht="15.75" customHeight="1" s="56">
      <c r="A460" s="63" t="n"/>
      <c r="B460" s="79" t="n"/>
      <c r="C460" s="79" t="n"/>
      <c r="D460" s="79" t="n"/>
      <c r="E460" s="79" t="n"/>
      <c r="F460" s="79" t="n"/>
      <c r="G460" s="79" t="n"/>
      <c r="H460" s="79" t="n"/>
      <c r="I460" s="79" t="n"/>
      <c r="J460" s="83" t="n"/>
      <c r="K460" s="83" t="n"/>
      <c r="L460" s="83" t="n"/>
      <c r="M460" s="83" t="n"/>
      <c r="N460" s="83" t="n"/>
      <c r="O460" s="83" t="n"/>
      <c r="P460" s="83" t="n"/>
      <c r="Q460" s="83" t="n"/>
      <c r="R460" s="83" t="n"/>
      <c r="S460" s="83" t="n"/>
      <c r="T460" s="83" t="n"/>
      <c r="U460" s="84" t="n"/>
      <c r="V460" s="84" t="n"/>
      <c r="W460" s="63" t="n"/>
      <c r="X460" s="84" t="n"/>
      <c r="Y460" s="63" t="n"/>
      <c r="Z460" s="63" t="n"/>
      <c r="AA460" s="84" t="n"/>
    </row>
    <row r="461" ht="15.75" customHeight="1" s="56">
      <c r="A461" s="63" t="n"/>
      <c r="B461" s="79" t="n"/>
      <c r="C461" s="79" t="n"/>
      <c r="D461" s="79" t="n"/>
      <c r="E461" s="79" t="n"/>
      <c r="F461" s="79" t="n"/>
      <c r="G461" s="79" t="n"/>
      <c r="H461" s="79" t="n"/>
      <c r="I461" s="79" t="n"/>
      <c r="J461" s="83" t="n"/>
      <c r="K461" s="83" t="n"/>
      <c r="L461" s="83" t="n"/>
      <c r="M461" s="83" t="n"/>
      <c r="N461" s="83" t="n"/>
      <c r="O461" s="83" t="n"/>
      <c r="P461" s="83" t="n"/>
      <c r="Q461" s="83" t="n"/>
      <c r="R461" s="83" t="n"/>
      <c r="S461" s="83" t="n"/>
      <c r="T461" s="83" t="n"/>
      <c r="U461" s="84" t="n"/>
      <c r="V461" s="84" t="n"/>
      <c r="W461" s="63" t="n"/>
      <c r="X461" s="84" t="n"/>
      <c r="Y461" s="63" t="n"/>
      <c r="Z461" s="63" t="n"/>
      <c r="AA461" s="84" t="n"/>
    </row>
    <row r="462" ht="15.75" customHeight="1" s="56">
      <c r="A462" s="63" t="n"/>
      <c r="B462" s="79" t="n"/>
      <c r="C462" s="79" t="n"/>
      <c r="D462" s="79" t="n"/>
      <c r="E462" s="79" t="n"/>
      <c r="F462" s="79" t="n"/>
      <c r="G462" s="79" t="n"/>
      <c r="H462" s="79" t="n"/>
      <c r="I462" s="79" t="n"/>
      <c r="J462" s="83" t="n"/>
      <c r="K462" s="83" t="n"/>
      <c r="L462" s="83" t="n"/>
      <c r="M462" s="83" t="n"/>
      <c r="N462" s="83" t="n"/>
      <c r="O462" s="83" t="n"/>
      <c r="P462" s="83" t="n"/>
      <c r="Q462" s="83" t="n"/>
      <c r="R462" s="83" t="n"/>
      <c r="S462" s="83" t="n"/>
      <c r="T462" s="83" t="n"/>
      <c r="U462" s="84" t="n"/>
      <c r="V462" s="84" t="n"/>
      <c r="W462" s="63" t="n"/>
      <c r="X462" s="84" t="n"/>
      <c r="Y462" s="63" t="n"/>
      <c r="Z462" s="63" t="n"/>
      <c r="AA462" s="84" t="n"/>
    </row>
    <row r="463" ht="15.75" customHeight="1" s="56">
      <c r="A463" s="63" t="n"/>
      <c r="B463" s="79" t="n"/>
      <c r="C463" s="79" t="n"/>
      <c r="D463" s="79" t="n"/>
      <c r="E463" s="79" t="n"/>
      <c r="F463" s="79" t="n"/>
      <c r="G463" s="79" t="n"/>
      <c r="H463" s="79" t="n"/>
      <c r="I463" s="79" t="n"/>
      <c r="J463" s="83" t="n"/>
      <c r="K463" s="83" t="n"/>
      <c r="L463" s="83" t="n"/>
      <c r="M463" s="83" t="n"/>
      <c r="N463" s="83" t="n"/>
      <c r="O463" s="83" t="n"/>
      <c r="P463" s="83" t="n"/>
      <c r="Q463" s="83" t="n"/>
      <c r="R463" s="83" t="n"/>
      <c r="S463" s="83" t="n"/>
      <c r="T463" s="83" t="n"/>
      <c r="U463" s="84" t="n"/>
      <c r="V463" s="84" t="n"/>
      <c r="W463" s="63" t="n"/>
      <c r="X463" s="84" t="n"/>
      <c r="Y463" s="63" t="n"/>
      <c r="Z463" s="63" t="n"/>
      <c r="AA463" s="84" t="n"/>
    </row>
    <row r="464" ht="15.75" customHeight="1" s="56">
      <c r="A464" s="63" t="n"/>
      <c r="B464" s="79" t="n"/>
      <c r="C464" s="79" t="n"/>
      <c r="D464" s="79" t="n"/>
      <c r="E464" s="79" t="n"/>
      <c r="F464" s="79" t="n"/>
      <c r="G464" s="79" t="n"/>
      <c r="H464" s="79" t="n"/>
      <c r="I464" s="79" t="n"/>
      <c r="J464" s="83" t="n"/>
      <c r="K464" s="83" t="n"/>
      <c r="L464" s="83" t="n"/>
      <c r="M464" s="83" t="n"/>
      <c r="N464" s="83" t="n"/>
      <c r="O464" s="83" t="n"/>
      <c r="P464" s="83" t="n"/>
      <c r="Q464" s="83" t="n"/>
      <c r="R464" s="83" t="n"/>
      <c r="S464" s="83" t="n"/>
      <c r="T464" s="83" t="n"/>
      <c r="U464" s="84" t="n"/>
      <c r="V464" s="84" t="n"/>
      <c r="W464" s="63" t="n"/>
      <c r="X464" s="84" t="n"/>
      <c r="Y464" s="63" t="n"/>
      <c r="Z464" s="63" t="n"/>
      <c r="AA464" s="84" t="n"/>
    </row>
    <row r="465" ht="15.75" customHeight="1" s="56">
      <c r="A465" s="63" t="n"/>
      <c r="B465" s="79" t="n"/>
      <c r="C465" s="79" t="n"/>
      <c r="D465" s="79" t="n"/>
      <c r="E465" s="79" t="n"/>
      <c r="F465" s="79" t="n"/>
      <c r="G465" s="79" t="n"/>
      <c r="H465" s="79" t="n"/>
      <c r="I465" s="79" t="n"/>
      <c r="J465" s="83" t="n"/>
      <c r="K465" s="83" t="n"/>
      <c r="L465" s="83" t="n"/>
      <c r="M465" s="83" t="n"/>
      <c r="N465" s="83" t="n"/>
      <c r="O465" s="83" t="n"/>
      <c r="P465" s="83" t="n"/>
      <c r="Q465" s="83" t="n"/>
      <c r="R465" s="83" t="n"/>
      <c r="S465" s="83" t="n"/>
      <c r="T465" s="83" t="n"/>
      <c r="U465" s="84" t="n"/>
      <c r="V465" s="84" t="n"/>
      <c r="W465" s="63" t="n"/>
      <c r="X465" s="84" t="n"/>
      <c r="Y465" s="63" t="n"/>
      <c r="Z465" s="63" t="n"/>
      <c r="AA465" s="84" t="n"/>
    </row>
    <row r="466" ht="15.75" customHeight="1" s="56">
      <c r="A466" s="63" t="n"/>
      <c r="B466" s="79" t="n"/>
      <c r="C466" s="79" t="n"/>
      <c r="D466" s="79" t="n"/>
      <c r="E466" s="79" t="n"/>
      <c r="F466" s="79" t="n"/>
      <c r="G466" s="79" t="n"/>
      <c r="H466" s="79" t="n"/>
      <c r="I466" s="79" t="n"/>
      <c r="J466" s="83" t="n"/>
      <c r="K466" s="83" t="n"/>
      <c r="L466" s="83" t="n"/>
      <c r="M466" s="83" t="n"/>
      <c r="N466" s="83" t="n"/>
      <c r="O466" s="83" t="n"/>
      <c r="P466" s="83" t="n"/>
      <c r="Q466" s="83" t="n"/>
      <c r="R466" s="83" t="n"/>
      <c r="S466" s="83" t="n"/>
      <c r="T466" s="83" t="n"/>
      <c r="U466" s="84" t="n"/>
      <c r="V466" s="84" t="n"/>
      <c r="W466" s="63" t="n"/>
      <c r="X466" s="84" t="n"/>
      <c r="Y466" s="63" t="n"/>
      <c r="Z466" s="63" t="n"/>
      <c r="AA466" s="84" t="n"/>
    </row>
    <row r="467" ht="15.75" customHeight="1" s="56">
      <c r="A467" s="63" t="n"/>
      <c r="B467" s="79" t="n"/>
      <c r="C467" s="79" t="n"/>
      <c r="D467" s="79" t="n"/>
      <c r="E467" s="79" t="n"/>
      <c r="F467" s="79" t="n"/>
      <c r="G467" s="79" t="n"/>
      <c r="H467" s="79" t="n"/>
      <c r="I467" s="79" t="n"/>
      <c r="J467" s="83" t="n"/>
      <c r="K467" s="83" t="n"/>
      <c r="L467" s="83" t="n"/>
      <c r="M467" s="83" t="n"/>
      <c r="N467" s="83" t="n"/>
      <c r="O467" s="83" t="n"/>
      <c r="P467" s="83" t="n"/>
      <c r="Q467" s="83" t="n"/>
      <c r="R467" s="83" t="n"/>
      <c r="S467" s="83" t="n"/>
      <c r="T467" s="83" t="n"/>
      <c r="U467" s="84" t="n"/>
      <c r="V467" s="84" t="n"/>
      <c r="W467" s="63" t="n"/>
      <c r="X467" s="84" t="n"/>
      <c r="Y467" s="63" t="n"/>
      <c r="Z467" s="63" t="n"/>
      <c r="AA467" s="84" t="n"/>
    </row>
    <row r="468" ht="15.75" customHeight="1" s="56">
      <c r="A468" s="63" t="n"/>
      <c r="B468" s="79" t="n"/>
      <c r="C468" s="79" t="n"/>
      <c r="D468" s="79" t="n"/>
      <c r="E468" s="79" t="n"/>
      <c r="F468" s="79" t="n"/>
      <c r="G468" s="79" t="n"/>
      <c r="H468" s="79" t="n"/>
      <c r="I468" s="79" t="n"/>
      <c r="J468" s="83" t="n"/>
      <c r="K468" s="83" t="n"/>
      <c r="L468" s="83" t="n"/>
      <c r="M468" s="83" t="n"/>
      <c r="N468" s="83" t="n"/>
      <c r="O468" s="83" t="n"/>
      <c r="P468" s="83" t="n"/>
      <c r="Q468" s="83" t="n"/>
      <c r="R468" s="83" t="n"/>
      <c r="S468" s="83" t="n"/>
      <c r="T468" s="83" t="n"/>
      <c r="U468" s="84" t="n"/>
      <c r="V468" s="84" t="n"/>
      <c r="W468" s="63" t="n"/>
      <c r="X468" s="84" t="n"/>
      <c r="Y468" s="63" t="n"/>
      <c r="Z468" s="63" t="n"/>
      <c r="AA468" s="84" t="n"/>
    </row>
    <row r="469" ht="15.75" customHeight="1" s="56">
      <c r="A469" s="63" t="n"/>
      <c r="B469" s="79" t="n"/>
      <c r="C469" s="79" t="n"/>
      <c r="D469" s="79" t="n"/>
      <c r="E469" s="79" t="n"/>
      <c r="F469" s="79" t="n"/>
      <c r="G469" s="79" t="n"/>
      <c r="H469" s="79" t="n"/>
      <c r="I469" s="79" t="n"/>
      <c r="J469" s="83" t="n"/>
      <c r="K469" s="83" t="n"/>
      <c r="L469" s="83" t="n"/>
      <c r="M469" s="83" t="n"/>
      <c r="N469" s="83" t="n"/>
      <c r="O469" s="83" t="n"/>
      <c r="P469" s="83" t="n"/>
      <c r="Q469" s="83" t="n"/>
      <c r="R469" s="83" t="n"/>
      <c r="S469" s="83" t="n"/>
      <c r="T469" s="83" t="n"/>
      <c r="U469" s="84" t="n"/>
      <c r="V469" s="84" t="n"/>
      <c r="W469" s="63" t="n"/>
      <c r="X469" s="84" t="n"/>
      <c r="Y469" s="63" t="n"/>
      <c r="Z469" s="63" t="n"/>
      <c r="AA469" s="84" t="n"/>
    </row>
    <row r="470" ht="15.75" customHeight="1" s="56">
      <c r="A470" s="63" t="n"/>
      <c r="B470" s="79" t="n"/>
      <c r="C470" s="79" t="n"/>
      <c r="D470" s="79" t="n"/>
      <c r="E470" s="79" t="n"/>
      <c r="F470" s="79" t="n"/>
      <c r="G470" s="79" t="n"/>
      <c r="H470" s="79" t="n"/>
      <c r="I470" s="79" t="n"/>
      <c r="J470" s="83" t="n"/>
      <c r="K470" s="83" t="n"/>
      <c r="L470" s="83" t="n"/>
      <c r="M470" s="83" t="n"/>
      <c r="N470" s="83" t="n"/>
      <c r="O470" s="83" t="n"/>
      <c r="P470" s="83" t="n"/>
      <c r="Q470" s="83" t="n"/>
      <c r="R470" s="83" t="n"/>
      <c r="S470" s="83" t="n"/>
      <c r="T470" s="83" t="n"/>
      <c r="U470" s="84" t="n"/>
      <c r="V470" s="84" t="n"/>
      <c r="W470" s="63" t="n"/>
      <c r="X470" s="84" t="n"/>
      <c r="Y470" s="63" t="n"/>
      <c r="Z470" s="63" t="n"/>
      <c r="AA470" s="84" t="n"/>
    </row>
    <row r="471" ht="15.75" customHeight="1" s="56">
      <c r="A471" s="63" t="n"/>
      <c r="B471" s="79" t="n"/>
      <c r="C471" s="79" t="n"/>
      <c r="D471" s="79" t="n"/>
      <c r="E471" s="79" t="n"/>
      <c r="F471" s="79" t="n"/>
      <c r="G471" s="79" t="n"/>
      <c r="H471" s="79" t="n"/>
      <c r="I471" s="79" t="n"/>
      <c r="J471" s="83" t="n"/>
      <c r="K471" s="83" t="n"/>
      <c r="L471" s="83" t="n"/>
      <c r="M471" s="83" t="n"/>
      <c r="N471" s="83" t="n"/>
      <c r="O471" s="83" t="n"/>
      <c r="P471" s="83" t="n"/>
      <c r="Q471" s="83" t="n"/>
      <c r="R471" s="83" t="n"/>
      <c r="S471" s="83" t="n"/>
      <c r="T471" s="83" t="n"/>
      <c r="U471" s="84" t="n"/>
      <c r="V471" s="84" t="n"/>
      <c r="W471" s="63" t="n"/>
      <c r="X471" s="84" t="n"/>
      <c r="Y471" s="63" t="n"/>
      <c r="Z471" s="63" t="n"/>
      <c r="AA471" s="84" t="n"/>
    </row>
    <row r="472" ht="15.75" customHeight="1" s="56">
      <c r="A472" s="63" t="n"/>
      <c r="B472" s="79" t="n"/>
      <c r="C472" s="79" t="n"/>
      <c r="D472" s="79" t="n"/>
      <c r="E472" s="79" t="n"/>
      <c r="F472" s="79" t="n"/>
      <c r="G472" s="79" t="n"/>
      <c r="H472" s="79" t="n"/>
      <c r="I472" s="79" t="n"/>
      <c r="J472" s="83" t="n"/>
      <c r="K472" s="83" t="n"/>
      <c r="L472" s="83" t="n"/>
      <c r="M472" s="83" t="n"/>
      <c r="N472" s="83" t="n"/>
      <c r="O472" s="83" t="n"/>
      <c r="P472" s="83" t="n"/>
      <c r="Q472" s="83" t="n"/>
      <c r="R472" s="83" t="n"/>
      <c r="S472" s="83" t="n"/>
      <c r="T472" s="83" t="n"/>
      <c r="U472" s="84" t="n"/>
      <c r="V472" s="84" t="n"/>
      <c r="W472" s="63" t="n"/>
      <c r="X472" s="84" t="n"/>
      <c r="Y472" s="63" t="n"/>
      <c r="Z472" s="63" t="n"/>
      <c r="AA472" s="84" t="n"/>
    </row>
    <row r="473" ht="15.75" customHeight="1" s="56">
      <c r="A473" s="63" t="n"/>
      <c r="B473" s="79" t="n"/>
      <c r="C473" s="79" t="n"/>
      <c r="D473" s="79" t="n"/>
      <c r="E473" s="79" t="n"/>
      <c r="F473" s="79" t="n"/>
      <c r="G473" s="79" t="n"/>
      <c r="H473" s="79" t="n"/>
      <c r="I473" s="79" t="n"/>
      <c r="J473" s="83" t="n"/>
      <c r="K473" s="83" t="n"/>
      <c r="L473" s="83" t="n"/>
      <c r="M473" s="83" t="n"/>
      <c r="N473" s="83" t="n"/>
      <c r="O473" s="83" t="n"/>
      <c r="P473" s="83" t="n"/>
      <c r="Q473" s="83" t="n"/>
      <c r="R473" s="83" t="n"/>
      <c r="S473" s="83" t="n"/>
      <c r="T473" s="83" t="n"/>
      <c r="U473" s="84" t="n"/>
      <c r="V473" s="84" t="n"/>
      <c r="W473" s="63" t="n"/>
      <c r="X473" s="84" t="n"/>
      <c r="Y473" s="63" t="n"/>
      <c r="Z473" s="63" t="n"/>
      <c r="AA473" s="84" t="n"/>
    </row>
    <row r="474" ht="15.75" customHeight="1" s="56">
      <c r="A474" s="63" t="n"/>
      <c r="B474" s="79" t="n"/>
      <c r="C474" s="79" t="n"/>
      <c r="D474" s="79" t="n"/>
      <c r="E474" s="79" t="n"/>
      <c r="F474" s="79" t="n"/>
      <c r="G474" s="79" t="n"/>
      <c r="H474" s="79" t="n"/>
      <c r="I474" s="79" t="n"/>
      <c r="J474" s="83" t="n"/>
      <c r="K474" s="83" t="n"/>
      <c r="L474" s="83" t="n"/>
      <c r="M474" s="83" t="n"/>
      <c r="N474" s="83" t="n"/>
      <c r="O474" s="83" t="n"/>
      <c r="P474" s="83" t="n"/>
      <c r="Q474" s="83" t="n"/>
      <c r="R474" s="83" t="n"/>
      <c r="S474" s="83" t="n"/>
      <c r="T474" s="83" t="n"/>
      <c r="U474" s="84" t="n"/>
      <c r="V474" s="84" t="n"/>
      <c r="W474" s="63" t="n"/>
      <c r="X474" s="84" t="n"/>
      <c r="Y474" s="63" t="n"/>
      <c r="Z474" s="63" t="n"/>
      <c r="AA474" s="84" t="n"/>
    </row>
    <row r="475" ht="15.75" customHeight="1" s="56">
      <c r="A475" s="63" t="n"/>
      <c r="B475" s="79" t="n"/>
      <c r="C475" s="79" t="n"/>
      <c r="D475" s="79" t="n"/>
      <c r="E475" s="79" t="n"/>
      <c r="F475" s="79" t="n"/>
      <c r="G475" s="79" t="n"/>
      <c r="H475" s="79" t="n"/>
      <c r="I475" s="79" t="n"/>
      <c r="J475" s="83" t="n"/>
      <c r="K475" s="83" t="n"/>
      <c r="L475" s="83" t="n"/>
      <c r="M475" s="83" t="n"/>
      <c r="N475" s="83" t="n"/>
      <c r="O475" s="83" t="n"/>
      <c r="P475" s="83" t="n"/>
      <c r="Q475" s="83" t="n"/>
      <c r="R475" s="83" t="n"/>
      <c r="S475" s="83" t="n"/>
      <c r="T475" s="83" t="n"/>
      <c r="U475" s="84" t="n"/>
      <c r="V475" s="84" t="n"/>
      <c r="W475" s="63" t="n"/>
      <c r="X475" s="84" t="n"/>
      <c r="Y475" s="63" t="n"/>
      <c r="Z475" s="63" t="n"/>
      <c r="AA475" s="84" t="n"/>
    </row>
    <row r="476" ht="15.75" customHeight="1" s="56">
      <c r="A476" s="63" t="n"/>
      <c r="B476" s="79" t="n"/>
      <c r="C476" s="79" t="n"/>
      <c r="D476" s="79" t="n"/>
      <c r="E476" s="79" t="n"/>
      <c r="F476" s="79" t="n"/>
      <c r="G476" s="79" t="n"/>
      <c r="H476" s="79" t="n"/>
      <c r="I476" s="79" t="n"/>
      <c r="J476" s="83" t="n"/>
      <c r="K476" s="83" t="n"/>
      <c r="L476" s="83" t="n"/>
      <c r="M476" s="83" t="n"/>
      <c r="N476" s="83" t="n"/>
      <c r="O476" s="83" t="n"/>
      <c r="P476" s="83" t="n"/>
      <c r="Q476" s="83" t="n"/>
      <c r="R476" s="83" t="n"/>
      <c r="S476" s="83" t="n"/>
      <c r="T476" s="83" t="n"/>
      <c r="U476" s="84" t="n"/>
      <c r="V476" s="84" t="n"/>
      <c r="W476" s="63" t="n"/>
      <c r="X476" s="84" t="n"/>
      <c r="Y476" s="63" t="n"/>
      <c r="Z476" s="63" t="n"/>
      <c r="AA476" s="84" t="n"/>
    </row>
    <row r="477" ht="15.75" customHeight="1" s="56">
      <c r="A477" s="63" t="n"/>
      <c r="B477" s="79" t="n"/>
      <c r="C477" s="79" t="n"/>
      <c r="D477" s="79" t="n"/>
      <c r="E477" s="79" t="n"/>
      <c r="F477" s="79" t="n"/>
      <c r="G477" s="79" t="n"/>
      <c r="H477" s="79" t="n"/>
      <c r="I477" s="79" t="n"/>
      <c r="J477" s="83" t="n"/>
      <c r="K477" s="83" t="n"/>
      <c r="L477" s="83" t="n"/>
      <c r="M477" s="83" t="n"/>
      <c r="N477" s="83" t="n"/>
      <c r="O477" s="83" t="n"/>
      <c r="P477" s="83" t="n"/>
      <c r="Q477" s="83" t="n"/>
      <c r="R477" s="83" t="n"/>
      <c r="S477" s="83" t="n"/>
      <c r="T477" s="83" t="n"/>
      <c r="U477" s="84" t="n"/>
      <c r="V477" s="84" t="n"/>
      <c r="W477" s="63" t="n"/>
      <c r="X477" s="84" t="n"/>
      <c r="Y477" s="63" t="n"/>
      <c r="Z477" s="63" t="n"/>
      <c r="AA477" s="84" t="n"/>
    </row>
    <row r="478" ht="15.75" customHeight="1" s="56">
      <c r="A478" s="63" t="n"/>
      <c r="B478" s="79" t="n"/>
      <c r="C478" s="79" t="n"/>
      <c r="D478" s="79" t="n"/>
      <c r="E478" s="79" t="n"/>
      <c r="F478" s="79" t="n"/>
      <c r="G478" s="79" t="n"/>
      <c r="H478" s="79" t="n"/>
      <c r="I478" s="79" t="n"/>
      <c r="J478" s="83" t="n"/>
      <c r="K478" s="83" t="n"/>
      <c r="L478" s="83" t="n"/>
      <c r="M478" s="83" t="n"/>
      <c r="N478" s="83" t="n"/>
      <c r="O478" s="83" t="n"/>
      <c r="P478" s="83" t="n"/>
      <c r="Q478" s="83" t="n"/>
      <c r="R478" s="83" t="n"/>
      <c r="S478" s="83" t="n"/>
      <c r="T478" s="83" t="n"/>
      <c r="U478" s="84" t="n"/>
      <c r="V478" s="84" t="n"/>
      <c r="W478" s="63" t="n"/>
      <c r="X478" s="84" t="n"/>
      <c r="Y478" s="63" t="n"/>
      <c r="Z478" s="63" t="n"/>
      <c r="AA478" s="84" t="n"/>
    </row>
    <row r="479" ht="15.75" customHeight="1" s="56">
      <c r="A479" s="63" t="n"/>
      <c r="B479" s="79" t="n"/>
      <c r="C479" s="79" t="n"/>
      <c r="D479" s="79" t="n"/>
      <c r="E479" s="79" t="n"/>
      <c r="F479" s="79" t="n"/>
      <c r="G479" s="79" t="n"/>
      <c r="H479" s="79" t="n"/>
      <c r="I479" s="79" t="n"/>
      <c r="J479" s="83" t="n"/>
      <c r="K479" s="83" t="n"/>
      <c r="L479" s="83" t="n"/>
      <c r="M479" s="83" t="n"/>
      <c r="N479" s="83" t="n"/>
      <c r="O479" s="83" t="n"/>
      <c r="P479" s="83" t="n"/>
      <c r="Q479" s="83" t="n"/>
      <c r="R479" s="83" t="n"/>
      <c r="S479" s="83" t="n"/>
      <c r="T479" s="83" t="n"/>
      <c r="U479" s="84" t="n"/>
      <c r="V479" s="84" t="n"/>
      <c r="W479" s="63" t="n"/>
      <c r="X479" s="84" t="n"/>
      <c r="Y479" s="63" t="n"/>
      <c r="Z479" s="63" t="n"/>
      <c r="AA479" s="84" t="n"/>
    </row>
    <row r="480" ht="15.75" customHeight="1" s="56">
      <c r="A480" s="63" t="n"/>
      <c r="B480" s="79" t="n"/>
      <c r="C480" s="79" t="n"/>
      <c r="D480" s="79" t="n"/>
      <c r="E480" s="79" t="n"/>
      <c r="F480" s="79" t="n"/>
      <c r="G480" s="79" t="n"/>
      <c r="H480" s="79" t="n"/>
      <c r="I480" s="79" t="n"/>
      <c r="J480" s="83" t="n"/>
      <c r="K480" s="83" t="n"/>
      <c r="L480" s="83" t="n"/>
      <c r="M480" s="83" t="n"/>
      <c r="N480" s="83" t="n"/>
      <c r="O480" s="83" t="n"/>
      <c r="P480" s="83" t="n"/>
      <c r="Q480" s="83" t="n"/>
      <c r="R480" s="83" t="n"/>
      <c r="S480" s="83" t="n"/>
      <c r="T480" s="83" t="n"/>
      <c r="U480" s="84" t="n"/>
      <c r="V480" s="84" t="n"/>
      <c r="W480" s="63" t="n"/>
      <c r="X480" s="84" t="n"/>
      <c r="Y480" s="63" t="n"/>
      <c r="Z480" s="63" t="n"/>
      <c r="AA480" s="84" t="n"/>
    </row>
    <row r="481" ht="15.75" customHeight="1" s="56">
      <c r="A481" s="63" t="n"/>
      <c r="B481" s="79" t="n"/>
      <c r="C481" s="79" t="n"/>
      <c r="D481" s="79" t="n"/>
      <c r="E481" s="79" t="n"/>
      <c r="F481" s="79" t="n"/>
      <c r="G481" s="79" t="n"/>
      <c r="H481" s="79" t="n"/>
      <c r="I481" s="79" t="n"/>
      <c r="J481" s="83" t="n"/>
      <c r="K481" s="83" t="n"/>
      <c r="L481" s="83" t="n"/>
      <c r="M481" s="83" t="n"/>
      <c r="N481" s="83" t="n"/>
      <c r="O481" s="83" t="n"/>
      <c r="P481" s="83" t="n"/>
      <c r="Q481" s="83" t="n"/>
      <c r="R481" s="83" t="n"/>
      <c r="S481" s="83" t="n"/>
      <c r="T481" s="83" t="n"/>
      <c r="U481" s="84" t="n"/>
      <c r="V481" s="84" t="n"/>
      <c r="W481" s="63" t="n"/>
      <c r="X481" s="84" t="n"/>
      <c r="Y481" s="63" t="n"/>
      <c r="Z481" s="63" t="n"/>
      <c r="AA481" s="84" t="n"/>
    </row>
    <row r="482" ht="15.75" customHeight="1" s="56">
      <c r="A482" s="63" t="n"/>
      <c r="B482" s="79" t="n"/>
      <c r="C482" s="79" t="n"/>
      <c r="D482" s="79" t="n"/>
      <c r="E482" s="79" t="n"/>
      <c r="F482" s="79" t="n"/>
      <c r="G482" s="79" t="n"/>
      <c r="H482" s="79" t="n"/>
      <c r="I482" s="79" t="n"/>
      <c r="J482" s="83" t="n"/>
      <c r="K482" s="83" t="n"/>
      <c r="L482" s="83" t="n"/>
      <c r="M482" s="83" t="n"/>
      <c r="N482" s="83" t="n"/>
      <c r="O482" s="83" t="n"/>
      <c r="P482" s="83" t="n"/>
      <c r="Q482" s="83" t="n"/>
      <c r="R482" s="83" t="n"/>
      <c r="S482" s="83" t="n"/>
      <c r="T482" s="83" t="n"/>
      <c r="U482" s="84" t="n"/>
      <c r="V482" s="84" t="n"/>
      <c r="W482" s="63" t="n"/>
      <c r="X482" s="84" t="n"/>
      <c r="Y482" s="63" t="n"/>
      <c r="Z482" s="63" t="n"/>
      <c r="AA482" s="84" t="n"/>
    </row>
    <row r="483" ht="15.75" customHeight="1" s="56">
      <c r="A483" s="63" t="n"/>
      <c r="B483" s="79" t="n"/>
      <c r="C483" s="79" t="n"/>
      <c r="D483" s="79" t="n"/>
      <c r="E483" s="79" t="n"/>
      <c r="F483" s="79" t="n"/>
      <c r="G483" s="79" t="n"/>
      <c r="H483" s="79" t="n"/>
      <c r="I483" s="79" t="n"/>
      <c r="J483" s="83" t="n"/>
      <c r="K483" s="83" t="n"/>
      <c r="L483" s="83" t="n"/>
      <c r="M483" s="83" t="n"/>
      <c r="N483" s="83" t="n"/>
      <c r="O483" s="83" t="n"/>
      <c r="P483" s="83" t="n"/>
      <c r="Q483" s="83" t="n"/>
      <c r="R483" s="83" t="n"/>
      <c r="S483" s="83" t="n"/>
      <c r="T483" s="83" t="n"/>
      <c r="U483" s="84" t="n"/>
      <c r="V483" s="84" t="n"/>
      <c r="W483" s="63" t="n"/>
      <c r="X483" s="84" t="n"/>
      <c r="Y483" s="63" t="n"/>
      <c r="Z483" s="63" t="n"/>
      <c r="AA483" s="84" t="n"/>
    </row>
    <row r="484" ht="15.75" customHeight="1" s="56">
      <c r="A484" s="63" t="n"/>
      <c r="B484" s="79" t="n"/>
      <c r="C484" s="79" t="n"/>
      <c r="D484" s="79" t="n"/>
      <c r="E484" s="79" t="n"/>
      <c r="F484" s="79" t="n"/>
      <c r="G484" s="79" t="n"/>
      <c r="H484" s="79" t="n"/>
      <c r="I484" s="79" t="n"/>
      <c r="J484" s="83" t="n"/>
      <c r="K484" s="83" t="n"/>
      <c r="L484" s="83" t="n"/>
      <c r="M484" s="83" t="n"/>
      <c r="N484" s="83" t="n"/>
      <c r="O484" s="83" t="n"/>
      <c r="P484" s="83" t="n"/>
      <c r="Q484" s="83" t="n"/>
      <c r="R484" s="83" t="n"/>
      <c r="S484" s="83" t="n"/>
      <c r="T484" s="83" t="n"/>
      <c r="U484" s="84" t="n"/>
      <c r="V484" s="84" t="n"/>
      <c r="W484" s="63" t="n"/>
      <c r="X484" s="84" t="n"/>
      <c r="Y484" s="63" t="n"/>
      <c r="Z484" s="63" t="n"/>
      <c r="AA484" s="84" t="n"/>
    </row>
    <row r="485" ht="15.75" customHeight="1" s="56">
      <c r="A485" s="63" t="n"/>
      <c r="B485" s="79" t="n"/>
      <c r="C485" s="79" t="n"/>
      <c r="D485" s="79" t="n"/>
      <c r="E485" s="79" t="n"/>
      <c r="F485" s="79" t="n"/>
      <c r="G485" s="79" t="n"/>
      <c r="H485" s="79" t="n"/>
      <c r="I485" s="79" t="n"/>
      <c r="J485" s="83" t="n"/>
      <c r="K485" s="83" t="n"/>
      <c r="L485" s="83" t="n"/>
      <c r="M485" s="83" t="n"/>
      <c r="N485" s="83" t="n"/>
      <c r="O485" s="83" t="n"/>
      <c r="P485" s="83" t="n"/>
      <c r="Q485" s="83" t="n"/>
      <c r="R485" s="83" t="n"/>
      <c r="S485" s="83" t="n"/>
      <c r="T485" s="83" t="n"/>
      <c r="U485" s="84" t="n"/>
      <c r="V485" s="84" t="n"/>
      <c r="W485" s="63" t="n"/>
      <c r="X485" s="84" t="n"/>
      <c r="Y485" s="63" t="n"/>
      <c r="Z485" s="63" t="n"/>
      <c r="AA485" s="84" t="n"/>
    </row>
    <row r="486" ht="15.75" customHeight="1" s="56">
      <c r="A486" s="63" t="n"/>
      <c r="B486" s="79" t="n"/>
      <c r="C486" s="79" t="n"/>
      <c r="D486" s="79" t="n"/>
      <c r="E486" s="79" t="n"/>
      <c r="F486" s="79" t="n"/>
      <c r="G486" s="79" t="n"/>
      <c r="H486" s="79" t="n"/>
      <c r="I486" s="79" t="n"/>
      <c r="J486" s="83" t="n"/>
      <c r="K486" s="83" t="n"/>
      <c r="L486" s="83" t="n"/>
      <c r="M486" s="83" t="n"/>
      <c r="N486" s="83" t="n"/>
      <c r="O486" s="83" t="n"/>
      <c r="P486" s="83" t="n"/>
      <c r="Q486" s="83" t="n"/>
      <c r="R486" s="83" t="n"/>
      <c r="S486" s="83" t="n"/>
      <c r="T486" s="83" t="n"/>
      <c r="U486" s="84" t="n"/>
      <c r="V486" s="84" t="n"/>
      <c r="W486" s="63" t="n"/>
      <c r="X486" s="84" t="n"/>
      <c r="Y486" s="63" t="n"/>
      <c r="Z486" s="63" t="n"/>
      <c r="AA486" s="84" t="n"/>
    </row>
    <row r="487" ht="15.75" customHeight="1" s="56">
      <c r="A487" s="63" t="n"/>
      <c r="B487" s="79" t="n"/>
      <c r="C487" s="79" t="n"/>
      <c r="D487" s="79" t="n"/>
      <c r="E487" s="79" t="n"/>
      <c r="F487" s="79" t="n"/>
      <c r="G487" s="79" t="n"/>
      <c r="H487" s="79" t="n"/>
      <c r="I487" s="79" t="n"/>
      <c r="J487" s="83" t="n"/>
      <c r="K487" s="83" t="n"/>
      <c r="L487" s="83" t="n"/>
      <c r="M487" s="83" t="n"/>
      <c r="N487" s="83" t="n"/>
      <c r="O487" s="83" t="n"/>
      <c r="P487" s="83" t="n"/>
      <c r="Q487" s="83" t="n"/>
      <c r="R487" s="83" t="n"/>
      <c r="S487" s="83" t="n"/>
      <c r="T487" s="83" t="n"/>
      <c r="U487" s="84" t="n"/>
      <c r="V487" s="84" t="n"/>
      <c r="W487" s="63" t="n"/>
      <c r="X487" s="84" t="n"/>
      <c r="Y487" s="63" t="n"/>
      <c r="Z487" s="63" t="n"/>
      <c r="AA487" s="84" t="n"/>
    </row>
    <row r="488" ht="15.75" customHeight="1" s="56">
      <c r="A488" s="63" t="n"/>
      <c r="B488" s="79" t="n"/>
      <c r="C488" s="79" t="n"/>
      <c r="D488" s="79" t="n"/>
      <c r="E488" s="79" t="n"/>
      <c r="F488" s="79" t="n"/>
      <c r="G488" s="79" t="n"/>
      <c r="H488" s="79" t="n"/>
      <c r="I488" s="79" t="n"/>
      <c r="J488" s="83" t="n"/>
      <c r="K488" s="83" t="n"/>
      <c r="L488" s="83" t="n"/>
      <c r="M488" s="83" t="n"/>
      <c r="N488" s="83" t="n"/>
      <c r="O488" s="83" t="n"/>
      <c r="P488" s="83" t="n"/>
      <c r="Q488" s="83" t="n"/>
      <c r="R488" s="83" t="n"/>
      <c r="S488" s="83" t="n"/>
      <c r="T488" s="83" t="n"/>
      <c r="U488" s="84" t="n"/>
      <c r="V488" s="84" t="n"/>
      <c r="W488" s="63" t="n"/>
      <c r="X488" s="84" t="n"/>
      <c r="Y488" s="63" t="n"/>
      <c r="Z488" s="63" t="n"/>
      <c r="AA488" s="84" t="n"/>
    </row>
    <row r="489" ht="15.75" customHeight="1" s="56">
      <c r="A489" s="63" t="n"/>
      <c r="B489" s="79" t="n"/>
      <c r="C489" s="79" t="n"/>
      <c r="D489" s="79" t="n"/>
      <c r="E489" s="79" t="n"/>
      <c r="F489" s="79" t="n"/>
      <c r="G489" s="79" t="n"/>
      <c r="H489" s="79" t="n"/>
      <c r="I489" s="79" t="n"/>
      <c r="J489" s="83" t="n"/>
      <c r="K489" s="83" t="n"/>
      <c r="L489" s="83" t="n"/>
      <c r="M489" s="83" t="n"/>
      <c r="N489" s="83" t="n"/>
      <c r="O489" s="83" t="n"/>
      <c r="P489" s="83" t="n"/>
      <c r="Q489" s="83" t="n"/>
      <c r="R489" s="83" t="n"/>
      <c r="S489" s="83" t="n"/>
      <c r="T489" s="83" t="n"/>
      <c r="U489" s="84" t="n"/>
      <c r="V489" s="84" t="n"/>
      <c r="W489" s="63" t="n"/>
      <c r="X489" s="84" t="n"/>
      <c r="Y489" s="63" t="n"/>
      <c r="Z489" s="63" t="n"/>
      <c r="AA489" s="84" t="n"/>
    </row>
    <row r="490" ht="15.75" customHeight="1" s="56">
      <c r="A490" s="63" t="n"/>
      <c r="B490" s="79" t="n"/>
      <c r="C490" s="79" t="n"/>
      <c r="D490" s="79" t="n"/>
      <c r="E490" s="79" t="n"/>
      <c r="F490" s="79" t="n"/>
      <c r="G490" s="79" t="n"/>
      <c r="H490" s="79" t="n"/>
      <c r="I490" s="79" t="n"/>
      <c r="J490" s="83" t="n"/>
      <c r="K490" s="83" t="n"/>
      <c r="L490" s="83" t="n"/>
      <c r="M490" s="83" t="n"/>
      <c r="N490" s="83" t="n"/>
      <c r="O490" s="83" t="n"/>
      <c r="P490" s="83" t="n"/>
      <c r="Q490" s="83" t="n"/>
      <c r="R490" s="83" t="n"/>
      <c r="S490" s="83" t="n"/>
      <c r="T490" s="83" t="n"/>
      <c r="U490" s="84" t="n"/>
      <c r="V490" s="84" t="n"/>
      <c r="W490" s="63" t="n"/>
      <c r="X490" s="84" t="n"/>
      <c r="Y490" s="63" t="n"/>
      <c r="Z490" s="63" t="n"/>
      <c r="AA490" s="84" t="n"/>
    </row>
    <row r="491" ht="15.75" customHeight="1" s="56">
      <c r="A491" s="63" t="n"/>
      <c r="B491" s="79" t="n"/>
      <c r="C491" s="79" t="n"/>
      <c r="D491" s="79" t="n"/>
      <c r="E491" s="79" t="n"/>
      <c r="F491" s="79" t="n"/>
      <c r="G491" s="79" t="n"/>
      <c r="H491" s="79" t="n"/>
      <c r="I491" s="79" t="n"/>
      <c r="J491" s="83" t="n"/>
      <c r="K491" s="83" t="n"/>
      <c r="L491" s="83" t="n"/>
      <c r="M491" s="83" t="n"/>
      <c r="N491" s="83" t="n"/>
      <c r="O491" s="83" t="n"/>
      <c r="P491" s="83" t="n"/>
      <c r="Q491" s="83" t="n"/>
      <c r="R491" s="83" t="n"/>
      <c r="S491" s="83" t="n"/>
      <c r="T491" s="83" t="n"/>
      <c r="U491" s="84" t="n"/>
      <c r="V491" s="84" t="n"/>
      <c r="W491" s="63" t="n"/>
      <c r="X491" s="84" t="n"/>
      <c r="Y491" s="63" t="n"/>
      <c r="Z491" s="63" t="n"/>
      <c r="AA491" s="84" t="n"/>
    </row>
    <row r="492" ht="15.75" customHeight="1" s="56">
      <c r="A492" s="63" t="n"/>
      <c r="B492" s="79" t="n"/>
      <c r="C492" s="79" t="n"/>
      <c r="D492" s="79" t="n"/>
      <c r="E492" s="79" t="n"/>
      <c r="F492" s="79" t="n"/>
      <c r="G492" s="79" t="n"/>
      <c r="H492" s="79" t="n"/>
      <c r="I492" s="79" t="n"/>
      <c r="J492" s="83" t="n"/>
      <c r="K492" s="83" t="n"/>
      <c r="L492" s="83" t="n"/>
      <c r="M492" s="83" t="n"/>
      <c r="N492" s="83" t="n"/>
      <c r="O492" s="83" t="n"/>
      <c r="P492" s="83" t="n"/>
      <c r="Q492" s="83" t="n"/>
      <c r="R492" s="83" t="n"/>
      <c r="S492" s="83" t="n"/>
      <c r="T492" s="83" t="n"/>
      <c r="U492" s="84" t="n"/>
      <c r="V492" s="84" t="n"/>
      <c r="W492" s="63" t="n"/>
      <c r="X492" s="84" t="n"/>
      <c r="Y492" s="63" t="n"/>
      <c r="Z492" s="63" t="n"/>
      <c r="AA492" s="84" t="n"/>
    </row>
    <row r="493" ht="15.75" customHeight="1" s="56">
      <c r="A493" s="63" t="n"/>
      <c r="B493" s="79" t="n"/>
      <c r="C493" s="79" t="n"/>
      <c r="D493" s="79" t="n"/>
      <c r="E493" s="79" t="n"/>
      <c r="F493" s="79" t="n"/>
      <c r="G493" s="79" t="n"/>
      <c r="H493" s="79" t="n"/>
      <c r="I493" s="79" t="n"/>
      <c r="J493" s="83" t="n"/>
      <c r="K493" s="83" t="n"/>
      <c r="L493" s="83" t="n"/>
      <c r="M493" s="83" t="n"/>
      <c r="N493" s="83" t="n"/>
      <c r="O493" s="83" t="n"/>
      <c r="P493" s="83" t="n"/>
      <c r="Q493" s="83" t="n"/>
      <c r="R493" s="83" t="n"/>
      <c r="S493" s="83" t="n"/>
      <c r="T493" s="83" t="n"/>
      <c r="U493" s="84" t="n"/>
      <c r="V493" s="84" t="n"/>
      <c r="W493" s="63" t="n"/>
      <c r="X493" s="84" t="n"/>
      <c r="Y493" s="63" t="n"/>
      <c r="Z493" s="63" t="n"/>
      <c r="AA493" s="84" t="n"/>
    </row>
    <row r="494" ht="15.75" customHeight="1" s="56">
      <c r="A494" s="63" t="n"/>
      <c r="B494" s="79" t="n"/>
      <c r="C494" s="79" t="n"/>
      <c r="D494" s="79" t="n"/>
      <c r="E494" s="79" t="n"/>
      <c r="F494" s="79" t="n"/>
      <c r="G494" s="79" t="n"/>
      <c r="H494" s="79" t="n"/>
      <c r="I494" s="79" t="n"/>
      <c r="J494" s="83" t="n"/>
      <c r="K494" s="83" t="n"/>
      <c r="L494" s="83" t="n"/>
      <c r="M494" s="83" t="n"/>
      <c r="N494" s="83" t="n"/>
      <c r="O494" s="83" t="n"/>
      <c r="P494" s="83" t="n"/>
      <c r="Q494" s="83" t="n"/>
      <c r="R494" s="83" t="n"/>
      <c r="S494" s="83" t="n"/>
      <c r="T494" s="83" t="n"/>
      <c r="U494" s="84" t="n"/>
      <c r="V494" s="84" t="n"/>
      <c r="W494" s="63" t="n"/>
      <c r="X494" s="84" t="n"/>
      <c r="Y494" s="63" t="n"/>
      <c r="Z494" s="63" t="n"/>
      <c r="AA494" s="84" t="n"/>
    </row>
    <row r="495" ht="15.75" customHeight="1" s="56">
      <c r="A495" s="63" t="n"/>
      <c r="B495" s="79" t="n"/>
      <c r="C495" s="79" t="n"/>
      <c r="D495" s="79" t="n"/>
      <c r="E495" s="79" t="n"/>
      <c r="F495" s="79" t="n"/>
      <c r="G495" s="79" t="n"/>
      <c r="H495" s="79" t="n"/>
      <c r="I495" s="79" t="n"/>
      <c r="J495" s="83" t="n"/>
      <c r="K495" s="83" t="n"/>
      <c r="L495" s="83" t="n"/>
      <c r="M495" s="83" t="n"/>
      <c r="N495" s="83" t="n"/>
      <c r="O495" s="83" t="n"/>
      <c r="P495" s="83" t="n"/>
      <c r="Q495" s="83" t="n"/>
      <c r="R495" s="83" t="n"/>
      <c r="S495" s="83" t="n"/>
      <c r="T495" s="83" t="n"/>
      <c r="U495" s="84" t="n"/>
      <c r="V495" s="84" t="n"/>
      <c r="W495" s="63" t="n"/>
      <c r="X495" s="84" t="n"/>
      <c r="Y495" s="63" t="n"/>
      <c r="Z495" s="63" t="n"/>
      <c r="AA495" s="84" t="n"/>
    </row>
    <row r="496" ht="15.75" customHeight="1" s="56">
      <c r="A496" s="63" t="n"/>
      <c r="B496" s="79" t="n"/>
      <c r="C496" s="79" t="n"/>
      <c r="D496" s="79" t="n"/>
      <c r="E496" s="79" t="n"/>
      <c r="F496" s="79" t="n"/>
      <c r="G496" s="79" t="n"/>
      <c r="H496" s="79" t="n"/>
      <c r="I496" s="79" t="n"/>
      <c r="J496" s="83" t="n"/>
      <c r="K496" s="83" t="n"/>
      <c r="L496" s="83" t="n"/>
      <c r="M496" s="83" t="n"/>
      <c r="N496" s="83" t="n"/>
      <c r="O496" s="83" t="n"/>
      <c r="P496" s="83" t="n"/>
      <c r="Q496" s="83" t="n"/>
      <c r="R496" s="83" t="n"/>
      <c r="S496" s="83" t="n"/>
      <c r="T496" s="83" t="n"/>
      <c r="U496" s="84" t="n"/>
      <c r="V496" s="84" t="n"/>
      <c r="W496" s="63" t="n"/>
      <c r="X496" s="84" t="n"/>
      <c r="Y496" s="63" t="n"/>
      <c r="Z496" s="63" t="n"/>
      <c r="AA496" s="84" t="n"/>
    </row>
    <row r="497" ht="15.75" customHeight="1" s="56">
      <c r="A497" s="63" t="n"/>
      <c r="B497" s="79" t="n"/>
      <c r="C497" s="79" t="n"/>
      <c r="D497" s="79" t="n"/>
      <c r="E497" s="79" t="n"/>
      <c r="F497" s="79" t="n"/>
      <c r="G497" s="79" t="n"/>
      <c r="H497" s="79" t="n"/>
      <c r="I497" s="79" t="n"/>
      <c r="J497" s="83" t="n"/>
      <c r="K497" s="83" t="n"/>
      <c r="L497" s="83" t="n"/>
      <c r="M497" s="83" t="n"/>
      <c r="N497" s="83" t="n"/>
      <c r="O497" s="83" t="n"/>
      <c r="P497" s="83" t="n"/>
      <c r="Q497" s="83" t="n"/>
      <c r="R497" s="83" t="n"/>
      <c r="S497" s="83" t="n"/>
      <c r="T497" s="83" t="n"/>
      <c r="U497" s="84" t="n"/>
      <c r="V497" s="84" t="n"/>
      <c r="W497" s="63" t="n"/>
      <c r="X497" s="84" t="n"/>
      <c r="Y497" s="63" t="n"/>
      <c r="Z497" s="63" t="n"/>
      <c r="AA497" s="84" t="n"/>
    </row>
    <row r="498" ht="15.75" customHeight="1" s="56">
      <c r="A498" s="63" t="n"/>
      <c r="B498" s="79" t="n"/>
      <c r="C498" s="79" t="n"/>
      <c r="D498" s="79" t="n"/>
      <c r="E498" s="79" t="n"/>
      <c r="F498" s="79" t="n"/>
      <c r="G498" s="79" t="n"/>
      <c r="H498" s="79" t="n"/>
      <c r="I498" s="79" t="n"/>
      <c r="J498" s="83" t="n"/>
      <c r="K498" s="83" t="n"/>
      <c r="L498" s="83" t="n"/>
      <c r="M498" s="83" t="n"/>
      <c r="N498" s="83" t="n"/>
      <c r="O498" s="83" t="n"/>
      <c r="P498" s="83" t="n"/>
      <c r="Q498" s="83" t="n"/>
      <c r="R498" s="83" t="n"/>
      <c r="S498" s="83" t="n"/>
      <c r="T498" s="83" t="n"/>
      <c r="U498" s="84" t="n"/>
      <c r="V498" s="84" t="n"/>
      <c r="W498" s="63" t="n"/>
      <c r="X498" s="84" t="n"/>
      <c r="Y498" s="63" t="n"/>
      <c r="Z498" s="63" t="n"/>
      <c r="AA498" s="84" t="n"/>
    </row>
    <row r="499" ht="15.75" customHeight="1" s="56">
      <c r="A499" s="63" t="n"/>
      <c r="B499" s="79" t="n"/>
      <c r="C499" s="79" t="n"/>
      <c r="D499" s="79" t="n"/>
      <c r="E499" s="79" t="n"/>
      <c r="F499" s="79" t="n"/>
      <c r="G499" s="79" t="n"/>
      <c r="H499" s="79" t="n"/>
      <c r="I499" s="79" t="n"/>
      <c r="J499" s="83" t="n"/>
      <c r="K499" s="83" t="n"/>
      <c r="L499" s="83" t="n"/>
      <c r="M499" s="83" t="n"/>
      <c r="N499" s="83" t="n"/>
      <c r="O499" s="83" t="n"/>
      <c r="P499" s="83" t="n"/>
      <c r="Q499" s="83" t="n"/>
      <c r="R499" s="83" t="n"/>
      <c r="S499" s="83" t="n"/>
      <c r="T499" s="83" t="n"/>
      <c r="U499" s="84" t="n"/>
      <c r="V499" s="84" t="n"/>
      <c r="W499" s="63" t="n"/>
      <c r="X499" s="84" t="n"/>
      <c r="Y499" s="63" t="n"/>
      <c r="Z499" s="63" t="n"/>
      <c r="AA499" s="84" t="n"/>
    </row>
    <row r="500" ht="15.75" customHeight="1" s="56">
      <c r="A500" s="63" t="n"/>
      <c r="B500" s="79" t="n"/>
      <c r="C500" s="79" t="n"/>
      <c r="D500" s="79" t="n"/>
      <c r="E500" s="79" t="n"/>
      <c r="F500" s="79" t="n"/>
      <c r="G500" s="79" t="n"/>
      <c r="H500" s="79" t="n"/>
      <c r="I500" s="79" t="n"/>
      <c r="J500" s="83" t="n"/>
      <c r="K500" s="83" t="n"/>
      <c r="L500" s="83" t="n"/>
      <c r="M500" s="83" t="n"/>
      <c r="N500" s="83" t="n"/>
      <c r="O500" s="83" t="n"/>
      <c r="P500" s="83" t="n"/>
      <c r="Q500" s="83" t="n"/>
      <c r="R500" s="83" t="n"/>
      <c r="S500" s="83" t="n"/>
      <c r="T500" s="83" t="n"/>
      <c r="U500" s="84" t="n"/>
      <c r="V500" s="84" t="n"/>
      <c r="W500" s="63" t="n"/>
      <c r="X500" s="84" t="n"/>
      <c r="Y500" s="63" t="n"/>
      <c r="Z500" s="63" t="n"/>
      <c r="AA500" s="84" t="n"/>
    </row>
    <row r="501" ht="15.75" customHeight="1" s="56">
      <c r="A501" s="63" t="n"/>
      <c r="B501" s="79" t="n"/>
      <c r="C501" s="79" t="n"/>
      <c r="D501" s="79" t="n"/>
      <c r="E501" s="79" t="n"/>
      <c r="F501" s="79" t="n"/>
      <c r="G501" s="79" t="n"/>
      <c r="H501" s="79" t="n"/>
      <c r="I501" s="79" t="n"/>
      <c r="J501" s="83" t="n"/>
      <c r="K501" s="83" t="n"/>
      <c r="L501" s="83" t="n"/>
      <c r="M501" s="83" t="n"/>
      <c r="N501" s="83" t="n"/>
      <c r="O501" s="83" t="n"/>
      <c r="P501" s="83" t="n"/>
      <c r="Q501" s="83" t="n"/>
      <c r="R501" s="83" t="n"/>
      <c r="S501" s="83" t="n"/>
      <c r="T501" s="83" t="n"/>
      <c r="U501" s="84" t="n"/>
      <c r="V501" s="84" t="n"/>
      <c r="W501" s="63" t="n"/>
      <c r="X501" s="84" t="n"/>
      <c r="Y501" s="63" t="n"/>
      <c r="Z501" s="63" t="n"/>
      <c r="AA501" s="84" t="n"/>
    </row>
    <row r="502" ht="15.75" customHeight="1" s="56">
      <c r="A502" s="63" t="n"/>
      <c r="B502" s="79" t="n"/>
      <c r="C502" s="79" t="n"/>
      <c r="D502" s="79" t="n"/>
      <c r="E502" s="79" t="n"/>
      <c r="F502" s="79" t="n"/>
      <c r="G502" s="79" t="n"/>
      <c r="H502" s="79" t="n"/>
      <c r="I502" s="79" t="n"/>
      <c r="J502" s="83" t="n"/>
      <c r="K502" s="83" t="n"/>
      <c r="L502" s="83" t="n"/>
      <c r="M502" s="83" t="n"/>
      <c r="N502" s="83" t="n"/>
      <c r="O502" s="83" t="n"/>
      <c r="P502" s="83" t="n"/>
      <c r="Q502" s="83" t="n"/>
      <c r="R502" s="83" t="n"/>
      <c r="S502" s="83" t="n"/>
      <c r="T502" s="83" t="n"/>
      <c r="U502" s="84" t="n"/>
      <c r="V502" s="84" t="n"/>
      <c r="W502" s="63" t="n"/>
      <c r="X502" s="84" t="n"/>
      <c r="Y502" s="63" t="n"/>
      <c r="Z502" s="63" t="n"/>
      <c r="AA502" s="84" t="n"/>
    </row>
    <row r="503" ht="15.75" customHeight="1" s="56">
      <c r="A503" s="63" t="n"/>
      <c r="B503" s="79" t="n"/>
      <c r="C503" s="79" t="n"/>
      <c r="D503" s="79" t="n"/>
      <c r="E503" s="79" t="n"/>
      <c r="F503" s="79" t="n"/>
      <c r="G503" s="79" t="n"/>
      <c r="H503" s="79" t="n"/>
      <c r="I503" s="79" t="n"/>
      <c r="J503" s="83" t="n"/>
      <c r="K503" s="83" t="n"/>
      <c r="L503" s="83" t="n"/>
      <c r="M503" s="83" t="n"/>
      <c r="N503" s="83" t="n"/>
      <c r="O503" s="83" t="n"/>
      <c r="P503" s="83" t="n"/>
      <c r="Q503" s="83" t="n"/>
      <c r="R503" s="83" t="n"/>
      <c r="S503" s="83" t="n"/>
      <c r="T503" s="83" t="n"/>
      <c r="U503" s="84" t="n"/>
      <c r="V503" s="84" t="n"/>
      <c r="W503" s="63" t="n"/>
      <c r="X503" s="84" t="n"/>
      <c r="Y503" s="63" t="n"/>
      <c r="Z503" s="63" t="n"/>
      <c r="AA503" s="84" t="n"/>
    </row>
    <row r="504" ht="15.75" customHeight="1" s="56">
      <c r="A504" s="63" t="n"/>
      <c r="B504" s="79" t="n"/>
      <c r="C504" s="79" t="n"/>
      <c r="D504" s="79" t="n"/>
      <c r="E504" s="79" t="n"/>
      <c r="F504" s="79" t="n"/>
      <c r="G504" s="79" t="n"/>
      <c r="H504" s="79" t="n"/>
      <c r="I504" s="79" t="n"/>
      <c r="J504" s="83" t="n"/>
      <c r="K504" s="83" t="n"/>
      <c r="L504" s="83" t="n"/>
      <c r="M504" s="83" t="n"/>
      <c r="N504" s="83" t="n"/>
      <c r="O504" s="83" t="n"/>
      <c r="P504" s="83" t="n"/>
      <c r="Q504" s="83" t="n"/>
      <c r="R504" s="83" t="n"/>
      <c r="S504" s="83" t="n"/>
      <c r="T504" s="83" t="n"/>
      <c r="U504" s="84" t="n"/>
      <c r="V504" s="84" t="n"/>
      <c r="W504" s="63" t="n"/>
      <c r="X504" s="84" t="n"/>
      <c r="Y504" s="63" t="n"/>
      <c r="Z504" s="63" t="n"/>
      <c r="AA504" s="84" t="n"/>
    </row>
    <row r="505" ht="15.75" customHeight="1" s="56">
      <c r="A505" s="63" t="n"/>
      <c r="B505" s="79" t="n"/>
      <c r="C505" s="79" t="n"/>
      <c r="D505" s="79" t="n"/>
      <c r="E505" s="79" t="n"/>
      <c r="F505" s="79" t="n"/>
      <c r="G505" s="79" t="n"/>
      <c r="H505" s="79" t="n"/>
      <c r="I505" s="79" t="n"/>
      <c r="J505" s="83" t="n"/>
      <c r="K505" s="83" t="n"/>
      <c r="L505" s="83" t="n"/>
      <c r="M505" s="83" t="n"/>
      <c r="N505" s="83" t="n"/>
      <c r="O505" s="83" t="n"/>
      <c r="P505" s="83" t="n"/>
      <c r="Q505" s="83" t="n"/>
      <c r="R505" s="83" t="n"/>
      <c r="S505" s="83" t="n"/>
      <c r="T505" s="83" t="n"/>
      <c r="U505" s="84" t="n"/>
      <c r="V505" s="84" t="n"/>
      <c r="W505" s="63" t="n"/>
      <c r="X505" s="84" t="n"/>
      <c r="Y505" s="63" t="n"/>
      <c r="Z505" s="63" t="n"/>
      <c r="AA505" s="84" t="n"/>
    </row>
    <row r="506" ht="15.75" customHeight="1" s="56">
      <c r="A506" s="63" t="n"/>
      <c r="B506" s="79" t="n"/>
      <c r="C506" s="79" t="n"/>
      <c r="D506" s="79" t="n"/>
      <c r="E506" s="79" t="n"/>
      <c r="F506" s="79" t="n"/>
      <c r="G506" s="79" t="n"/>
      <c r="H506" s="79" t="n"/>
      <c r="I506" s="79" t="n"/>
      <c r="J506" s="83" t="n"/>
      <c r="K506" s="83" t="n"/>
      <c r="L506" s="83" t="n"/>
      <c r="M506" s="83" t="n"/>
      <c r="N506" s="83" t="n"/>
      <c r="O506" s="83" t="n"/>
      <c r="P506" s="83" t="n"/>
      <c r="Q506" s="83" t="n"/>
      <c r="R506" s="83" t="n"/>
      <c r="S506" s="83" t="n"/>
      <c r="T506" s="83" t="n"/>
      <c r="U506" s="84" t="n"/>
      <c r="V506" s="84" t="n"/>
      <c r="W506" s="63" t="n"/>
      <c r="X506" s="84" t="n"/>
      <c r="Y506" s="63" t="n"/>
      <c r="Z506" s="63" t="n"/>
      <c r="AA506" s="84" t="n"/>
    </row>
    <row r="507" ht="15.75" customHeight="1" s="56">
      <c r="A507" s="63" t="n"/>
      <c r="B507" s="79" t="n"/>
      <c r="C507" s="79" t="n"/>
      <c r="D507" s="79" t="n"/>
      <c r="E507" s="79" t="n"/>
      <c r="F507" s="79" t="n"/>
      <c r="G507" s="79" t="n"/>
      <c r="H507" s="79" t="n"/>
      <c r="I507" s="79" t="n"/>
      <c r="J507" s="83" t="n"/>
      <c r="K507" s="83" t="n"/>
      <c r="L507" s="83" t="n"/>
      <c r="M507" s="83" t="n"/>
      <c r="N507" s="83" t="n"/>
      <c r="O507" s="83" t="n"/>
      <c r="P507" s="83" t="n"/>
      <c r="Q507" s="83" t="n"/>
      <c r="R507" s="83" t="n"/>
      <c r="S507" s="83" t="n"/>
      <c r="T507" s="83" t="n"/>
      <c r="U507" s="84" t="n"/>
      <c r="V507" s="84" t="n"/>
      <c r="W507" s="63" t="n"/>
      <c r="X507" s="84" t="n"/>
      <c r="Y507" s="63" t="n"/>
      <c r="Z507" s="63" t="n"/>
      <c r="AA507" s="84" t="n"/>
    </row>
    <row r="508" ht="15.75" customHeight="1" s="56">
      <c r="A508" s="63" t="n"/>
      <c r="B508" s="79" t="n"/>
      <c r="C508" s="79" t="n"/>
      <c r="D508" s="79" t="n"/>
      <c r="E508" s="79" t="n"/>
      <c r="F508" s="79" t="n"/>
      <c r="G508" s="79" t="n"/>
      <c r="H508" s="79" t="n"/>
      <c r="I508" s="79" t="n"/>
      <c r="J508" s="83" t="n"/>
      <c r="K508" s="83" t="n"/>
      <c r="L508" s="83" t="n"/>
      <c r="M508" s="83" t="n"/>
      <c r="N508" s="83" t="n"/>
      <c r="O508" s="83" t="n"/>
      <c r="P508" s="83" t="n"/>
      <c r="Q508" s="83" t="n"/>
      <c r="R508" s="83" t="n"/>
      <c r="S508" s="83" t="n"/>
      <c r="T508" s="83" t="n"/>
      <c r="U508" s="84" t="n"/>
      <c r="V508" s="84" t="n"/>
      <c r="W508" s="63" t="n"/>
      <c r="X508" s="84" t="n"/>
      <c r="Y508" s="63" t="n"/>
      <c r="Z508" s="63" t="n"/>
      <c r="AA508" s="84" t="n"/>
    </row>
    <row r="509" ht="15.75" customHeight="1" s="56">
      <c r="A509" s="63" t="n"/>
      <c r="B509" s="79" t="n"/>
      <c r="C509" s="79" t="n"/>
      <c r="D509" s="79" t="n"/>
      <c r="E509" s="79" t="n"/>
      <c r="F509" s="79" t="n"/>
      <c r="G509" s="79" t="n"/>
      <c r="H509" s="79" t="n"/>
      <c r="I509" s="79" t="n"/>
      <c r="J509" s="83" t="n"/>
      <c r="K509" s="83" t="n"/>
      <c r="L509" s="83" t="n"/>
      <c r="M509" s="83" t="n"/>
      <c r="N509" s="83" t="n"/>
      <c r="O509" s="83" t="n"/>
      <c r="P509" s="83" t="n"/>
      <c r="Q509" s="83" t="n"/>
      <c r="R509" s="83" t="n"/>
      <c r="S509" s="83" t="n"/>
      <c r="T509" s="83" t="n"/>
      <c r="U509" s="84" t="n"/>
      <c r="V509" s="84" t="n"/>
      <c r="W509" s="63" t="n"/>
      <c r="X509" s="84" t="n"/>
      <c r="Y509" s="63" t="n"/>
      <c r="Z509" s="63" t="n"/>
      <c r="AA509" s="84" t="n"/>
    </row>
    <row r="510" ht="15.75" customHeight="1" s="56">
      <c r="A510" s="63" t="n"/>
      <c r="B510" s="79" t="n"/>
      <c r="C510" s="79" t="n"/>
      <c r="D510" s="79" t="n"/>
      <c r="E510" s="79" t="n"/>
      <c r="F510" s="79" t="n"/>
      <c r="G510" s="79" t="n"/>
      <c r="H510" s="79" t="n"/>
      <c r="I510" s="79" t="n"/>
      <c r="J510" s="83" t="n"/>
      <c r="K510" s="83" t="n"/>
      <c r="L510" s="83" t="n"/>
      <c r="M510" s="83" t="n"/>
      <c r="N510" s="83" t="n"/>
      <c r="O510" s="83" t="n"/>
      <c r="P510" s="83" t="n"/>
      <c r="Q510" s="83" t="n"/>
      <c r="R510" s="83" t="n"/>
      <c r="S510" s="83" t="n"/>
      <c r="T510" s="83" t="n"/>
      <c r="U510" s="84" t="n"/>
      <c r="V510" s="84" t="n"/>
      <c r="W510" s="63" t="n"/>
      <c r="X510" s="84" t="n"/>
      <c r="Y510" s="63" t="n"/>
      <c r="Z510" s="63" t="n"/>
      <c r="AA510" s="84" t="n"/>
    </row>
    <row r="511" ht="15.75" customHeight="1" s="56">
      <c r="A511" s="63" t="n"/>
      <c r="B511" s="79" t="n"/>
      <c r="C511" s="79" t="n"/>
      <c r="D511" s="79" t="n"/>
      <c r="E511" s="79" t="n"/>
      <c r="F511" s="79" t="n"/>
      <c r="G511" s="79" t="n"/>
      <c r="H511" s="79" t="n"/>
      <c r="I511" s="79" t="n"/>
      <c r="J511" s="83" t="n"/>
      <c r="K511" s="83" t="n"/>
      <c r="L511" s="83" t="n"/>
      <c r="M511" s="83" t="n"/>
      <c r="N511" s="83" t="n"/>
      <c r="O511" s="83" t="n"/>
      <c r="P511" s="83" t="n"/>
      <c r="Q511" s="83" t="n"/>
      <c r="R511" s="83" t="n"/>
      <c r="S511" s="83" t="n"/>
      <c r="T511" s="83" t="n"/>
      <c r="U511" s="84" t="n"/>
      <c r="V511" s="84" t="n"/>
      <c r="W511" s="63" t="n"/>
      <c r="X511" s="84" t="n"/>
      <c r="Y511" s="63" t="n"/>
      <c r="Z511" s="63" t="n"/>
      <c r="AA511" s="84" t="n"/>
    </row>
    <row r="512" ht="15.75" customHeight="1" s="56">
      <c r="A512" s="63" t="n"/>
      <c r="B512" s="79" t="n"/>
      <c r="C512" s="79" t="n"/>
      <c r="D512" s="79" t="n"/>
      <c r="E512" s="79" t="n"/>
      <c r="F512" s="79" t="n"/>
      <c r="G512" s="79" t="n"/>
      <c r="H512" s="79" t="n"/>
      <c r="I512" s="79" t="n"/>
      <c r="J512" s="83" t="n"/>
      <c r="K512" s="83" t="n"/>
      <c r="L512" s="83" t="n"/>
      <c r="M512" s="83" t="n"/>
      <c r="N512" s="83" t="n"/>
      <c r="O512" s="83" t="n"/>
      <c r="P512" s="83" t="n"/>
      <c r="Q512" s="83" t="n"/>
      <c r="R512" s="83" t="n"/>
      <c r="S512" s="83" t="n"/>
      <c r="T512" s="83" t="n"/>
      <c r="U512" s="84" t="n"/>
      <c r="V512" s="84" t="n"/>
      <c r="W512" s="63" t="n"/>
      <c r="X512" s="84" t="n"/>
      <c r="Y512" s="63" t="n"/>
      <c r="Z512" s="63" t="n"/>
      <c r="AA512" s="84" t="n"/>
    </row>
    <row r="513" ht="15.75" customHeight="1" s="56">
      <c r="A513" s="63" t="n"/>
      <c r="B513" s="79" t="n"/>
      <c r="C513" s="79" t="n"/>
      <c r="D513" s="79" t="n"/>
      <c r="E513" s="79" t="n"/>
      <c r="F513" s="79" t="n"/>
      <c r="G513" s="79" t="n"/>
      <c r="H513" s="79" t="n"/>
      <c r="I513" s="79" t="n"/>
      <c r="J513" s="83" t="n"/>
      <c r="K513" s="83" t="n"/>
      <c r="L513" s="83" t="n"/>
      <c r="M513" s="83" t="n"/>
      <c r="N513" s="83" t="n"/>
      <c r="O513" s="83" t="n"/>
      <c r="P513" s="83" t="n"/>
      <c r="Q513" s="83" t="n"/>
      <c r="R513" s="83" t="n"/>
      <c r="S513" s="83" t="n"/>
      <c r="T513" s="83" t="n"/>
      <c r="U513" s="84" t="n"/>
      <c r="V513" s="84" t="n"/>
      <c r="W513" s="63" t="n"/>
      <c r="X513" s="84" t="n"/>
      <c r="Y513" s="63" t="n"/>
      <c r="Z513" s="63" t="n"/>
      <c r="AA513" s="84" t="n"/>
    </row>
    <row r="514" ht="15.75" customHeight="1" s="56">
      <c r="A514" s="63" t="n"/>
      <c r="B514" s="79" t="n"/>
      <c r="C514" s="79" t="n"/>
      <c r="D514" s="79" t="n"/>
      <c r="E514" s="79" t="n"/>
      <c r="F514" s="79" t="n"/>
      <c r="G514" s="79" t="n"/>
      <c r="H514" s="79" t="n"/>
      <c r="I514" s="79" t="n"/>
      <c r="J514" s="83" t="n"/>
      <c r="K514" s="83" t="n"/>
      <c r="L514" s="83" t="n"/>
      <c r="M514" s="83" t="n"/>
      <c r="N514" s="83" t="n"/>
      <c r="O514" s="83" t="n"/>
      <c r="P514" s="83" t="n"/>
      <c r="Q514" s="83" t="n"/>
      <c r="R514" s="83" t="n"/>
      <c r="S514" s="83" t="n"/>
      <c r="T514" s="83" t="n"/>
      <c r="U514" s="84" t="n"/>
      <c r="V514" s="84" t="n"/>
      <c r="W514" s="63" t="n"/>
      <c r="X514" s="84" t="n"/>
      <c r="Y514" s="63" t="n"/>
      <c r="Z514" s="63" t="n"/>
      <c r="AA514" s="84" t="n"/>
    </row>
    <row r="515" ht="15.75" customHeight="1" s="56">
      <c r="A515" s="63" t="n"/>
      <c r="B515" s="79" t="n"/>
      <c r="C515" s="79" t="n"/>
      <c r="D515" s="79" t="n"/>
      <c r="E515" s="79" t="n"/>
      <c r="F515" s="79" t="n"/>
      <c r="G515" s="79" t="n"/>
      <c r="H515" s="79" t="n"/>
      <c r="I515" s="79" t="n"/>
      <c r="J515" s="83" t="n"/>
      <c r="K515" s="83" t="n"/>
      <c r="L515" s="83" t="n"/>
      <c r="M515" s="83" t="n"/>
      <c r="N515" s="83" t="n"/>
      <c r="O515" s="83" t="n"/>
      <c r="P515" s="83" t="n"/>
      <c r="Q515" s="83" t="n"/>
      <c r="R515" s="83" t="n"/>
      <c r="S515" s="83" t="n"/>
      <c r="T515" s="83" t="n"/>
      <c r="U515" s="84" t="n"/>
      <c r="V515" s="84" t="n"/>
      <c r="W515" s="63" t="n"/>
      <c r="X515" s="84" t="n"/>
      <c r="Y515" s="63" t="n"/>
      <c r="Z515" s="63" t="n"/>
      <c r="AA515" s="84" t="n"/>
    </row>
    <row r="516" ht="15.75" customHeight="1" s="56">
      <c r="A516" s="63" t="n"/>
      <c r="B516" s="79" t="n"/>
      <c r="C516" s="79" t="n"/>
      <c r="D516" s="79" t="n"/>
      <c r="E516" s="79" t="n"/>
      <c r="F516" s="79" t="n"/>
      <c r="G516" s="79" t="n"/>
      <c r="H516" s="79" t="n"/>
      <c r="I516" s="79" t="n"/>
      <c r="J516" s="83" t="n"/>
      <c r="K516" s="83" t="n"/>
      <c r="L516" s="83" t="n"/>
      <c r="M516" s="83" t="n"/>
      <c r="N516" s="83" t="n"/>
      <c r="O516" s="83" t="n"/>
      <c r="P516" s="83" t="n"/>
      <c r="Q516" s="83" t="n"/>
      <c r="R516" s="83" t="n"/>
      <c r="S516" s="83" t="n"/>
      <c r="T516" s="83" t="n"/>
      <c r="U516" s="84" t="n"/>
      <c r="V516" s="84" t="n"/>
      <c r="W516" s="63" t="n"/>
      <c r="X516" s="84" t="n"/>
      <c r="Y516" s="63" t="n"/>
      <c r="Z516" s="63" t="n"/>
      <c r="AA516" s="84" t="n"/>
    </row>
    <row r="517" ht="15.75" customHeight="1" s="56">
      <c r="A517" s="63" t="n"/>
      <c r="B517" s="79" t="n"/>
      <c r="C517" s="79" t="n"/>
      <c r="D517" s="79" t="n"/>
      <c r="E517" s="79" t="n"/>
      <c r="F517" s="79" t="n"/>
      <c r="G517" s="79" t="n"/>
      <c r="H517" s="79" t="n"/>
      <c r="I517" s="79" t="n"/>
      <c r="J517" s="83" t="n"/>
      <c r="K517" s="83" t="n"/>
      <c r="L517" s="83" t="n"/>
      <c r="M517" s="83" t="n"/>
      <c r="N517" s="83" t="n"/>
      <c r="O517" s="83" t="n"/>
      <c r="P517" s="83" t="n"/>
      <c r="Q517" s="83" t="n"/>
      <c r="R517" s="83" t="n"/>
      <c r="S517" s="83" t="n"/>
      <c r="T517" s="83" t="n"/>
      <c r="U517" s="84" t="n"/>
      <c r="V517" s="84" t="n"/>
      <c r="W517" s="63" t="n"/>
      <c r="X517" s="84" t="n"/>
      <c r="Y517" s="63" t="n"/>
      <c r="Z517" s="63" t="n"/>
      <c r="AA517" s="84" t="n"/>
    </row>
    <row r="518" ht="15.75" customHeight="1" s="56">
      <c r="A518" s="63" t="n"/>
      <c r="B518" s="79" t="n"/>
      <c r="C518" s="79" t="n"/>
      <c r="D518" s="79" t="n"/>
      <c r="E518" s="79" t="n"/>
      <c r="F518" s="79" t="n"/>
      <c r="G518" s="79" t="n"/>
      <c r="H518" s="79" t="n"/>
      <c r="I518" s="79" t="n"/>
      <c r="J518" s="83" t="n"/>
      <c r="K518" s="83" t="n"/>
      <c r="L518" s="83" t="n"/>
      <c r="M518" s="83" t="n"/>
      <c r="N518" s="83" t="n"/>
      <c r="O518" s="83" t="n"/>
      <c r="P518" s="83" t="n"/>
      <c r="Q518" s="83" t="n"/>
      <c r="R518" s="83" t="n"/>
      <c r="S518" s="83" t="n"/>
      <c r="T518" s="83" t="n"/>
      <c r="U518" s="84" t="n"/>
      <c r="V518" s="84" t="n"/>
      <c r="W518" s="63" t="n"/>
      <c r="X518" s="84" t="n"/>
      <c r="Y518" s="63" t="n"/>
      <c r="Z518" s="63" t="n"/>
      <c r="AA518" s="84" t="n"/>
    </row>
    <row r="519" ht="15.75" customHeight="1" s="56">
      <c r="A519" s="63" t="n"/>
      <c r="B519" s="79" t="n"/>
      <c r="C519" s="79" t="n"/>
      <c r="D519" s="79" t="n"/>
      <c r="E519" s="79" t="n"/>
      <c r="F519" s="79" t="n"/>
      <c r="G519" s="79" t="n"/>
      <c r="H519" s="79" t="n"/>
      <c r="I519" s="79" t="n"/>
      <c r="J519" s="83" t="n"/>
      <c r="K519" s="83" t="n"/>
      <c r="L519" s="83" t="n"/>
      <c r="M519" s="83" t="n"/>
      <c r="N519" s="83" t="n"/>
      <c r="O519" s="83" t="n"/>
      <c r="P519" s="83" t="n"/>
      <c r="Q519" s="83" t="n"/>
      <c r="R519" s="83" t="n"/>
      <c r="S519" s="83" t="n"/>
      <c r="T519" s="83" t="n"/>
      <c r="U519" s="84" t="n"/>
      <c r="V519" s="84" t="n"/>
      <c r="W519" s="63" t="n"/>
      <c r="X519" s="84" t="n"/>
      <c r="Y519" s="63" t="n"/>
      <c r="Z519" s="63" t="n"/>
      <c r="AA519" s="84" t="n"/>
    </row>
    <row r="520" ht="15.75" customHeight="1" s="56">
      <c r="A520" s="63" t="n"/>
      <c r="B520" s="79" t="n"/>
      <c r="C520" s="79" t="n"/>
      <c r="D520" s="79" t="n"/>
      <c r="E520" s="79" t="n"/>
      <c r="F520" s="79" t="n"/>
      <c r="G520" s="79" t="n"/>
      <c r="H520" s="79" t="n"/>
      <c r="I520" s="79" t="n"/>
      <c r="J520" s="83" t="n"/>
      <c r="K520" s="83" t="n"/>
      <c r="L520" s="83" t="n"/>
      <c r="M520" s="83" t="n"/>
      <c r="N520" s="83" t="n"/>
      <c r="O520" s="83" t="n"/>
      <c r="P520" s="83" t="n"/>
      <c r="Q520" s="83" t="n"/>
      <c r="R520" s="83" t="n"/>
      <c r="S520" s="83" t="n"/>
      <c r="T520" s="83" t="n"/>
      <c r="U520" s="84" t="n"/>
      <c r="V520" s="84" t="n"/>
      <c r="W520" s="63" t="n"/>
      <c r="X520" s="84" t="n"/>
      <c r="Y520" s="63" t="n"/>
      <c r="Z520" s="63" t="n"/>
      <c r="AA520" s="84" t="n"/>
    </row>
    <row r="521" ht="15.75" customHeight="1" s="56">
      <c r="A521" s="63" t="n"/>
      <c r="B521" s="79" t="n"/>
      <c r="C521" s="79" t="n"/>
      <c r="D521" s="79" t="n"/>
      <c r="E521" s="79" t="n"/>
      <c r="F521" s="79" t="n"/>
      <c r="G521" s="79" t="n"/>
      <c r="H521" s="79" t="n"/>
      <c r="I521" s="79" t="n"/>
      <c r="J521" s="83" t="n"/>
      <c r="K521" s="83" t="n"/>
      <c r="L521" s="83" t="n"/>
      <c r="M521" s="83" t="n"/>
      <c r="N521" s="83" t="n"/>
      <c r="O521" s="83" t="n"/>
      <c r="P521" s="83" t="n"/>
      <c r="Q521" s="83" t="n"/>
      <c r="R521" s="83" t="n"/>
      <c r="S521" s="83" t="n"/>
      <c r="T521" s="83" t="n"/>
      <c r="U521" s="84" t="n"/>
      <c r="V521" s="84" t="n"/>
      <c r="W521" s="63" t="n"/>
      <c r="X521" s="84" t="n"/>
      <c r="Y521" s="63" t="n"/>
      <c r="Z521" s="63" t="n"/>
      <c r="AA521" s="84" t="n"/>
    </row>
    <row r="522" ht="15.75" customHeight="1" s="56">
      <c r="A522" s="63" t="n"/>
      <c r="B522" s="79" t="n"/>
      <c r="C522" s="79" t="n"/>
      <c r="D522" s="79" t="n"/>
      <c r="E522" s="79" t="n"/>
      <c r="F522" s="79" t="n"/>
      <c r="G522" s="79" t="n"/>
      <c r="H522" s="79" t="n"/>
      <c r="I522" s="79" t="n"/>
      <c r="J522" s="83" t="n"/>
      <c r="K522" s="83" t="n"/>
      <c r="L522" s="83" t="n"/>
      <c r="M522" s="83" t="n"/>
      <c r="N522" s="83" t="n"/>
      <c r="O522" s="83" t="n"/>
      <c r="P522" s="83" t="n"/>
      <c r="Q522" s="83" t="n"/>
      <c r="R522" s="83" t="n"/>
      <c r="S522" s="83" t="n"/>
      <c r="T522" s="83" t="n"/>
      <c r="U522" s="84" t="n"/>
      <c r="V522" s="84" t="n"/>
      <c r="W522" s="63" t="n"/>
      <c r="X522" s="84" t="n"/>
      <c r="Y522" s="63" t="n"/>
      <c r="Z522" s="63" t="n"/>
      <c r="AA522" s="84" t="n"/>
    </row>
    <row r="523" ht="15.75" customHeight="1" s="56">
      <c r="A523" s="63" t="n"/>
      <c r="B523" s="79" t="n"/>
      <c r="C523" s="79" t="n"/>
      <c r="D523" s="79" t="n"/>
      <c r="E523" s="79" t="n"/>
      <c r="F523" s="79" t="n"/>
      <c r="G523" s="79" t="n"/>
      <c r="H523" s="79" t="n"/>
      <c r="I523" s="79" t="n"/>
      <c r="J523" s="83" t="n"/>
      <c r="K523" s="83" t="n"/>
      <c r="L523" s="83" t="n"/>
      <c r="M523" s="83" t="n"/>
      <c r="N523" s="83" t="n"/>
      <c r="O523" s="83" t="n"/>
      <c r="P523" s="83" t="n"/>
      <c r="Q523" s="83" t="n"/>
      <c r="R523" s="83" t="n"/>
      <c r="S523" s="83" t="n"/>
      <c r="T523" s="83" t="n"/>
      <c r="U523" s="84" t="n"/>
      <c r="V523" s="84" t="n"/>
      <c r="W523" s="63" t="n"/>
      <c r="X523" s="84" t="n"/>
      <c r="Y523" s="63" t="n"/>
      <c r="Z523" s="63" t="n"/>
      <c r="AA523" s="84" t="n"/>
    </row>
    <row r="524" ht="15.75" customHeight="1" s="56">
      <c r="A524" s="63" t="n"/>
      <c r="B524" s="79" t="n"/>
      <c r="C524" s="79" t="n"/>
      <c r="D524" s="79" t="n"/>
      <c r="E524" s="79" t="n"/>
      <c r="F524" s="79" t="n"/>
      <c r="G524" s="79" t="n"/>
      <c r="H524" s="79" t="n"/>
      <c r="I524" s="79" t="n"/>
      <c r="J524" s="83" t="n"/>
      <c r="K524" s="83" t="n"/>
      <c r="L524" s="83" t="n"/>
      <c r="M524" s="83" t="n"/>
      <c r="N524" s="83" t="n"/>
      <c r="O524" s="83" t="n"/>
      <c r="P524" s="83" t="n"/>
      <c r="Q524" s="83" t="n"/>
      <c r="R524" s="83" t="n"/>
      <c r="S524" s="83" t="n"/>
      <c r="T524" s="83" t="n"/>
      <c r="U524" s="84" t="n"/>
      <c r="V524" s="84" t="n"/>
      <c r="W524" s="63" t="n"/>
      <c r="X524" s="84" t="n"/>
      <c r="Y524" s="63" t="n"/>
      <c r="Z524" s="63" t="n"/>
      <c r="AA524" s="84" t="n"/>
    </row>
    <row r="525" ht="15.75" customHeight="1" s="56">
      <c r="A525" s="63" t="n"/>
      <c r="B525" s="79" t="n"/>
      <c r="C525" s="79" t="n"/>
      <c r="D525" s="79" t="n"/>
      <c r="E525" s="79" t="n"/>
      <c r="F525" s="79" t="n"/>
      <c r="G525" s="79" t="n"/>
      <c r="H525" s="79" t="n"/>
      <c r="I525" s="79" t="n"/>
      <c r="J525" s="83" t="n"/>
      <c r="K525" s="83" t="n"/>
      <c r="L525" s="83" t="n"/>
      <c r="M525" s="83" t="n"/>
      <c r="N525" s="83" t="n"/>
      <c r="O525" s="83" t="n"/>
      <c r="P525" s="83" t="n"/>
      <c r="Q525" s="83" t="n"/>
      <c r="R525" s="83" t="n"/>
      <c r="S525" s="83" t="n"/>
      <c r="T525" s="83" t="n"/>
      <c r="U525" s="84" t="n"/>
      <c r="V525" s="84" t="n"/>
      <c r="W525" s="63" t="n"/>
      <c r="X525" s="84" t="n"/>
      <c r="Y525" s="63" t="n"/>
      <c r="Z525" s="63" t="n"/>
      <c r="AA525" s="84" t="n"/>
    </row>
    <row r="526" ht="15.75" customHeight="1" s="56">
      <c r="A526" s="63" t="n"/>
      <c r="B526" s="79" t="n"/>
      <c r="C526" s="79" t="n"/>
      <c r="D526" s="79" t="n"/>
      <c r="E526" s="79" t="n"/>
      <c r="F526" s="79" t="n"/>
      <c r="G526" s="79" t="n"/>
      <c r="H526" s="79" t="n"/>
      <c r="I526" s="79" t="n"/>
      <c r="J526" s="83" t="n"/>
      <c r="K526" s="83" t="n"/>
      <c r="L526" s="83" t="n"/>
      <c r="M526" s="83" t="n"/>
      <c r="N526" s="83" t="n"/>
      <c r="O526" s="83" t="n"/>
      <c r="P526" s="83" t="n"/>
      <c r="Q526" s="83" t="n"/>
      <c r="R526" s="83" t="n"/>
      <c r="S526" s="83" t="n"/>
      <c r="T526" s="83" t="n"/>
      <c r="U526" s="84" t="n"/>
      <c r="V526" s="84" t="n"/>
      <c r="W526" s="63" t="n"/>
      <c r="X526" s="84" t="n"/>
      <c r="Y526" s="63" t="n"/>
      <c r="Z526" s="63" t="n"/>
      <c r="AA526" s="84" t="n"/>
    </row>
    <row r="527" ht="15.75" customHeight="1" s="56">
      <c r="A527" s="63" t="n"/>
      <c r="B527" s="79" t="n"/>
      <c r="C527" s="79" t="n"/>
      <c r="D527" s="79" t="n"/>
      <c r="E527" s="79" t="n"/>
      <c r="F527" s="79" t="n"/>
      <c r="G527" s="79" t="n"/>
      <c r="H527" s="79" t="n"/>
      <c r="I527" s="79" t="n"/>
      <c r="J527" s="83" t="n"/>
      <c r="K527" s="83" t="n"/>
      <c r="L527" s="83" t="n"/>
      <c r="M527" s="83" t="n"/>
      <c r="N527" s="83" t="n"/>
      <c r="O527" s="83" t="n"/>
      <c r="P527" s="83" t="n"/>
      <c r="Q527" s="83" t="n"/>
      <c r="R527" s="83" t="n"/>
      <c r="S527" s="83" t="n"/>
      <c r="T527" s="83" t="n"/>
      <c r="U527" s="84" t="n"/>
      <c r="V527" s="84" t="n"/>
      <c r="W527" s="63" t="n"/>
      <c r="X527" s="84" t="n"/>
      <c r="Y527" s="63" t="n"/>
      <c r="Z527" s="63" t="n"/>
      <c r="AA527" s="84" t="n"/>
    </row>
    <row r="528" ht="15.75" customHeight="1" s="56">
      <c r="A528" s="63" t="n"/>
      <c r="B528" s="79" t="n"/>
      <c r="C528" s="79" t="n"/>
      <c r="D528" s="79" t="n"/>
      <c r="E528" s="79" t="n"/>
      <c r="F528" s="79" t="n"/>
      <c r="G528" s="79" t="n"/>
      <c r="H528" s="79" t="n"/>
      <c r="I528" s="79" t="n"/>
      <c r="J528" s="83" t="n"/>
      <c r="K528" s="83" t="n"/>
      <c r="L528" s="83" t="n"/>
      <c r="M528" s="83" t="n"/>
      <c r="N528" s="83" t="n"/>
      <c r="O528" s="83" t="n"/>
      <c r="P528" s="83" t="n"/>
      <c r="Q528" s="83" t="n"/>
      <c r="R528" s="83" t="n"/>
      <c r="S528" s="83" t="n"/>
      <c r="T528" s="83" t="n"/>
      <c r="U528" s="84" t="n"/>
      <c r="V528" s="84" t="n"/>
      <c r="W528" s="63" t="n"/>
      <c r="X528" s="84" t="n"/>
      <c r="Y528" s="63" t="n"/>
      <c r="Z528" s="63" t="n"/>
      <c r="AA528" s="84" t="n"/>
    </row>
    <row r="529" ht="15.75" customHeight="1" s="56">
      <c r="A529" s="63" t="n"/>
      <c r="B529" s="79" t="n"/>
      <c r="C529" s="79" t="n"/>
      <c r="D529" s="79" t="n"/>
      <c r="E529" s="79" t="n"/>
      <c r="F529" s="79" t="n"/>
      <c r="G529" s="79" t="n"/>
      <c r="H529" s="79" t="n"/>
      <c r="I529" s="79" t="n"/>
      <c r="J529" s="83" t="n"/>
      <c r="K529" s="83" t="n"/>
      <c r="L529" s="83" t="n"/>
      <c r="M529" s="83" t="n"/>
      <c r="N529" s="83" t="n"/>
      <c r="O529" s="83" t="n"/>
      <c r="P529" s="83" t="n"/>
      <c r="Q529" s="83" t="n"/>
      <c r="R529" s="83" t="n"/>
      <c r="S529" s="83" t="n"/>
      <c r="T529" s="83" t="n"/>
      <c r="U529" s="84" t="n"/>
      <c r="V529" s="84" t="n"/>
      <c r="W529" s="63" t="n"/>
      <c r="X529" s="84" t="n"/>
      <c r="Y529" s="63" t="n"/>
      <c r="Z529" s="63" t="n"/>
      <c r="AA529" s="84" t="n"/>
    </row>
    <row r="530" ht="15.75" customHeight="1" s="56">
      <c r="A530" s="63" t="n"/>
      <c r="B530" s="79" t="n"/>
      <c r="C530" s="79" t="n"/>
      <c r="D530" s="79" t="n"/>
      <c r="E530" s="79" t="n"/>
      <c r="F530" s="79" t="n"/>
      <c r="G530" s="79" t="n"/>
      <c r="H530" s="79" t="n"/>
      <c r="I530" s="79" t="n"/>
      <c r="J530" s="83" t="n"/>
      <c r="K530" s="83" t="n"/>
      <c r="L530" s="83" t="n"/>
      <c r="M530" s="83" t="n"/>
      <c r="N530" s="83" t="n"/>
      <c r="O530" s="83" t="n"/>
      <c r="P530" s="83" t="n"/>
      <c r="Q530" s="83" t="n"/>
      <c r="R530" s="83" t="n"/>
      <c r="S530" s="83" t="n"/>
      <c r="T530" s="83" t="n"/>
      <c r="U530" s="84" t="n"/>
      <c r="V530" s="84" t="n"/>
      <c r="W530" s="63" t="n"/>
      <c r="X530" s="84" t="n"/>
      <c r="Y530" s="63" t="n"/>
      <c r="Z530" s="63" t="n"/>
      <c r="AA530" s="84" t="n"/>
    </row>
    <row r="531" ht="15.75" customHeight="1" s="56">
      <c r="A531" s="63" t="n"/>
      <c r="B531" s="79" t="n"/>
      <c r="C531" s="79" t="n"/>
      <c r="D531" s="79" t="n"/>
      <c r="E531" s="79" t="n"/>
      <c r="F531" s="79" t="n"/>
      <c r="G531" s="79" t="n"/>
      <c r="H531" s="79" t="n"/>
      <c r="I531" s="79" t="n"/>
      <c r="J531" s="83" t="n"/>
      <c r="K531" s="83" t="n"/>
      <c r="L531" s="83" t="n"/>
      <c r="M531" s="83" t="n"/>
      <c r="N531" s="83" t="n"/>
      <c r="O531" s="83" t="n"/>
      <c r="P531" s="83" t="n"/>
      <c r="Q531" s="83" t="n"/>
      <c r="R531" s="83" t="n"/>
      <c r="S531" s="83" t="n"/>
      <c r="T531" s="83" t="n"/>
      <c r="U531" s="84" t="n"/>
      <c r="V531" s="84" t="n"/>
      <c r="W531" s="63" t="n"/>
      <c r="X531" s="84" t="n"/>
      <c r="Y531" s="63" t="n"/>
      <c r="Z531" s="63" t="n"/>
      <c r="AA531" s="84" t="n"/>
    </row>
    <row r="532" ht="15.75" customHeight="1" s="56">
      <c r="A532" s="63" t="n"/>
      <c r="B532" s="79" t="n"/>
      <c r="C532" s="79" t="n"/>
      <c r="D532" s="79" t="n"/>
      <c r="E532" s="79" t="n"/>
      <c r="F532" s="79" t="n"/>
      <c r="G532" s="79" t="n"/>
      <c r="H532" s="79" t="n"/>
      <c r="I532" s="79" t="n"/>
      <c r="J532" s="83" t="n"/>
      <c r="K532" s="83" t="n"/>
      <c r="L532" s="83" t="n"/>
      <c r="M532" s="83" t="n"/>
      <c r="N532" s="83" t="n"/>
      <c r="O532" s="83" t="n"/>
      <c r="P532" s="83" t="n"/>
      <c r="Q532" s="83" t="n"/>
      <c r="R532" s="83" t="n"/>
      <c r="S532" s="83" t="n"/>
      <c r="T532" s="83" t="n"/>
      <c r="U532" s="84" t="n"/>
      <c r="V532" s="84" t="n"/>
      <c r="W532" s="63" t="n"/>
      <c r="X532" s="84" t="n"/>
      <c r="Y532" s="63" t="n"/>
      <c r="Z532" s="63" t="n"/>
      <c r="AA532" s="84" t="n"/>
    </row>
    <row r="533" ht="15.75" customHeight="1" s="56">
      <c r="A533" s="63" t="n"/>
      <c r="B533" s="79" t="n"/>
      <c r="C533" s="79" t="n"/>
      <c r="D533" s="79" t="n"/>
      <c r="E533" s="79" t="n"/>
      <c r="F533" s="79" t="n"/>
      <c r="G533" s="79" t="n"/>
      <c r="H533" s="79" t="n"/>
      <c r="I533" s="79" t="n"/>
      <c r="J533" s="83" t="n"/>
      <c r="K533" s="83" t="n"/>
      <c r="L533" s="83" t="n"/>
      <c r="M533" s="83" t="n"/>
      <c r="N533" s="83" t="n"/>
      <c r="O533" s="83" t="n"/>
      <c r="P533" s="83" t="n"/>
      <c r="Q533" s="83" t="n"/>
      <c r="R533" s="83" t="n"/>
      <c r="S533" s="83" t="n"/>
      <c r="T533" s="83" t="n"/>
      <c r="U533" s="84" t="n"/>
      <c r="V533" s="84" t="n"/>
      <c r="W533" s="63" t="n"/>
      <c r="X533" s="84" t="n"/>
      <c r="Y533" s="63" t="n"/>
      <c r="Z533" s="63" t="n"/>
      <c r="AA533" s="84" t="n"/>
    </row>
    <row r="534" ht="15.75" customHeight="1" s="56">
      <c r="A534" s="63" t="n"/>
      <c r="B534" s="79" t="n"/>
      <c r="C534" s="79" t="n"/>
      <c r="D534" s="79" t="n"/>
      <c r="E534" s="79" t="n"/>
      <c r="F534" s="79" t="n"/>
      <c r="G534" s="79" t="n"/>
      <c r="H534" s="79" t="n"/>
      <c r="I534" s="79" t="n"/>
      <c r="J534" s="83" t="n"/>
      <c r="K534" s="83" t="n"/>
      <c r="L534" s="83" t="n"/>
      <c r="M534" s="83" t="n"/>
      <c r="N534" s="83" t="n"/>
      <c r="O534" s="83" t="n"/>
      <c r="P534" s="83" t="n"/>
      <c r="Q534" s="83" t="n"/>
      <c r="R534" s="83" t="n"/>
      <c r="S534" s="83" t="n"/>
      <c r="T534" s="83" t="n"/>
      <c r="U534" s="84" t="n"/>
      <c r="V534" s="84" t="n"/>
      <c r="W534" s="63" t="n"/>
      <c r="X534" s="84" t="n"/>
      <c r="Y534" s="63" t="n"/>
      <c r="Z534" s="63" t="n"/>
      <c r="AA534" s="84" t="n"/>
    </row>
    <row r="535" ht="15.75" customHeight="1" s="56">
      <c r="A535" s="63" t="n"/>
      <c r="B535" s="79" t="n"/>
      <c r="C535" s="79" t="n"/>
      <c r="D535" s="79" t="n"/>
      <c r="E535" s="79" t="n"/>
      <c r="F535" s="79" t="n"/>
      <c r="G535" s="79" t="n"/>
      <c r="H535" s="79" t="n"/>
      <c r="I535" s="79" t="n"/>
      <c r="J535" s="83" t="n"/>
      <c r="K535" s="83" t="n"/>
      <c r="L535" s="83" t="n"/>
      <c r="M535" s="83" t="n"/>
      <c r="N535" s="83" t="n"/>
      <c r="O535" s="83" t="n"/>
      <c r="P535" s="83" t="n"/>
      <c r="Q535" s="83" t="n"/>
      <c r="R535" s="83" t="n"/>
      <c r="S535" s="83" t="n"/>
      <c r="T535" s="83" t="n"/>
      <c r="U535" s="84" t="n"/>
      <c r="V535" s="84" t="n"/>
      <c r="W535" s="63" t="n"/>
      <c r="X535" s="84" t="n"/>
      <c r="Y535" s="63" t="n"/>
      <c r="Z535" s="63" t="n"/>
      <c r="AA535" s="84" t="n"/>
    </row>
    <row r="536" ht="15.75" customHeight="1" s="56">
      <c r="A536" s="63" t="n"/>
      <c r="B536" s="79" t="n"/>
      <c r="C536" s="79" t="n"/>
      <c r="D536" s="79" t="n"/>
      <c r="E536" s="79" t="n"/>
      <c r="F536" s="79" t="n"/>
      <c r="G536" s="79" t="n"/>
      <c r="H536" s="79" t="n"/>
      <c r="I536" s="79" t="n"/>
      <c r="J536" s="83" t="n"/>
      <c r="K536" s="83" t="n"/>
      <c r="L536" s="83" t="n"/>
      <c r="M536" s="83" t="n"/>
      <c r="N536" s="83" t="n"/>
      <c r="O536" s="83" t="n"/>
      <c r="P536" s="83" t="n"/>
      <c r="Q536" s="83" t="n"/>
      <c r="R536" s="83" t="n"/>
      <c r="S536" s="83" t="n"/>
      <c r="T536" s="83" t="n"/>
      <c r="U536" s="84" t="n"/>
      <c r="V536" s="84" t="n"/>
      <c r="W536" s="63" t="n"/>
      <c r="X536" s="84" t="n"/>
      <c r="Y536" s="63" t="n"/>
      <c r="Z536" s="63" t="n"/>
      <c r="AA536" s="84" t="n"/>
    </row>
    <row r="537" ht="15.75" customHeight="1" s="56">
      <c r="A537" s="63" t="n"/>
      <c r="B537" s="79" t="n"/>
      <c r="C537" s="79" t="n"/>
      <c r="D537" s="79" t="n"/>
      <c r="E537" s="79" t="n"/>
      <c r="F537" s="79" t="n"/>
      <c r="G537" s="79" t="n"/>
      <c r="H537" s="79" t="n"/>
      <c r="I537" s="79" t="n"/>
      <c r="J537" s="83" t="n"/>
      <c r="K537" s="83" t="n"/>
      <c r="L537" s="83" t="n"/>
      <c r="M537" s="83" t="n"/>
      <c r="N537" s="83" t="n"/>
      <c r="O537" s="83" t="n"/>
      <c r="P537" s="83" t="n"/>
      <c r="Q537" s="83" t="n"/>
      <c r="R537" s="83" t="n"/>
      <c r="S537" s="83" t="n"/>
      <c r="T537" s="83" t="n"/>
      <c r="U537" s="84" t="n"/>
      <c r="V537" s="84" t="n"/>
      <c r="W537" s="63" t="n"/>
      <c r="X537" s="84" t="n"/>
      <c r="Y537" s="63" t="n"/>
      <c r="Z537" s="63" t="n"/>
      <c r="AA537" s="84" t="n"/>
    </row>
    <row r="538" ht="15.75" customHeight="1" s="56">
      <c r="A538" s="63" t="n"/>
      <c r="B538" s="79" t="n"/>
      <c r="C538" s="79" t="n"/>
      <c r="D538" s="79" t="n"/>
      <c r="E538" s="79" t="n"/>
      <c r="F538" s="79" t="n"/>
      <c r="G538" s="79" t="n"/>
      <c r="H538" s="79" t="n"/>
      <c r="I538" s="79" t="n"/>
      <c r="J538" s="83" t="n"/>
      <c r="K538" s="83" t="n"/>
      <c r="L538" s="83" t="n"/>
      <c r="M538" s="83" t="n"/>
      <c r="N538" s="83" t="n"/>
      <c r="O538" s="83" t="n"/>
      <c r="P538" s="83" t="n"/>
      <c r="Q538" s="83" t="n"/>
      <c r="R538" s="83" t="n"/>
      <c r="S538" s="83" t="n"/>
      <c r="T538" s="83" t="n"/>
      <c r="U538" s="84" t="n"/>
      <c r="V538" s="84" t="n"/>
      <c r="W538" s="63" t="n"/>
      <c r="X538" s="84" t="n"/>
      <c r="Y538" s="63" t="n"/>
      <c r="Z538" s="63" t="n"/>
      <c r="AA538" s="84" t="n"/>
    </row>
    <row r="539" ht="15.75" customHeight="1" s="56">
      <c r="A539" s="63" t="n"/>
      <c r="B539" s="79" t="n"/>
      <c r="C539" s="79" t="n"/>
      <c r="D539" s="79" t="n"/>
      <c r="E539" s="79" t="n"/>
      <c r="F539" s="79" t="n"/>
      <c r="G539" s="79" t="n"/>
      <c r="H539" s="79" t="n"/>
      <c r="I539" s="79" t="n"/>
      <c r="J539" s="83" t="n"/>
      <c r="K539" s="83" t="n"/>
      <c r="L539" s="83" t="n"/>
      <c r="M539" s="83" t="n"/>
      <c r="N539" s="83" t="n"/>
      <c r="O539" s="83" t="n"/>
      <c r="P539" s="83" t="n"/>
      <c r="Q539" s="83" t="n"/>
      <c r="R539" s="83" t="n"/>
      <c r="S539" s="83" t="n"/>
      <c r="T539" s="83" t="n"/>
      <c r="U539" s="84" t="n"/>
      <c r="V539" s="84" t="n"/>
      <c r="W539" s="63" t="n"/>
      <c r="X539" s="84" t="n"/>
      <c r="Y539" s="63" t="n"/>
      <c r="Z539" s="63" t="n"/>
      <c r="AA539" s="84" t="n"/>
    </row>
    <row r="540" ht="15.75" customHeight="1" s="56">
      <c r="A540" s="63" t="n"/>
      <c r="B540" s="79" t="n"/>
      <c r="C540" s="79" t="n"/>
      <c r="D540" s="79" t="n"/>
      <c r="E540" s="79" t="n"/>
      <c r="F540" s="79" t="n"/>
      <c r="G540" s="79" t="n"/>
      <c r="H540" s="79" t="n"/>
      <c r="I540" s="79" t="n"/>
      <c r="J540" s="83" t="n"/>
      <c r="K540" s="83" t="n"/>
      <c r="L540" s="83" t="n"/>
      <c r="M540" s="83" t="n"/>
      <c r="N540" s="83" t="n"/>
      <c r="O540" s="83" t="n"/>
      <c r="P540" s="83" t="n"/>
      <c r="Q540" s="83" t="n"/>
      <c r="R540" s="83" t="n"/>
      <c r="S540" s="83" t="n"/>
      <c r="T540" s="83" t="n"/>
      <c r="U540" s="84" t="n"/>
      <c r="V540" s="84" t="n"/>
      <c r="W540" s="63" t="n"/>
      <c r="X540" s="84" t="n"/>
      <c r="Y540" s="63" t="n"/>
      <c r="Z540" s="63" t="n"/>
      <c r="AA540" s="84" t="n"/>
    </row>
    <row r="541" ht="15.75" customHeight="1" s="56">
      <c r="A541" s="63" t="n"/>
      <c r="B541" s="79" t="n"/>
      <c r="C541" s="79" t="n"/>
      <c r="D541" s="79" t="n"/>
      <c r="E541" s="79" t="n"/>
      <c r="F541" s="79" t="n"/>
      <c r="G541" s="79" t="n"/>
      <c r="H541" s="79" t="n"/>
      <c r="I541" s="79" t="n"/>
      <c r="J541" s="83" t="n"/>
      <c r="K541" s="83" t="n"/>
      <c r="L541" s="83" t="n"/>
      <c r="M541" s="83" t="n"/>
      <c r="N541" s="83" t="n"/>
      <c r="O541" s="83" t="n"/>
      <c r="P541" s="83" t="n"/>
      <c r="Q541" s="83" t="n"/>
      <c r="R541" s="83" t="n"/>
      <c r="S541" s="83" t="n"/>
      <c r="T541" s="83" t="n"/>
      <c r="U541" s="84" t="n"/>
      <c r="V541" s="84" t="n"/>
      <c r="W541" s="63" t="n"/>
      <c r="X541" s="84" t="n"/>
      <c r="Y541" s="63" t="n"/>
      <c r="Z541" s="63" t="n"/>
      <c r="AA541" s="84" t="n"/>
    </row>
    <row r="542" ht="15.75" customHeight="1" s="56">
      <c r="A542" s="63" t="n"/>
      <c r="B542" s="79" t="n"/>
      <c r="C542" s="79" t="n"/>
      <c r="D542" s="79" t="n"/>
      <c r="E542" s="79" t="n"/>
      <c r="F542" s="79" t="n"/>
      <c r="G542" s="79" t="n"/>
      <c r="H542" s="79" t="n"/>
      <c r="I542" s="79" t="n"/>
      <c r="J542" s="83" t="n"/>
      <c r="K542" s="83" t="n"/>
      <c r="L542" s="83" t="n"/>
      <c r="M542" s="83" t="n"/>
      <c r="N542" s="83" t="n"/>
      <c r="O542" s="83" t="n"/>
      <c r="P542" s="83" t="n"/>
      <c r="Q542" s="83" t="n"/>
      <c r="R542" s="83" t="n"/>
      <c r="S542" s="83" t="n"/>
      <c r="T542" s="83" t="n"/>
      <c r="U542" s="84" t="n"/>
      <c r="V542" s="84" t="n"/>
      <c r="W542" s="63" t="n"/>
      <c r="X542" s="84" t="n"/>
      <c r="Y542" s="63" t="n"/>
      <c r="Z542" s="63" t="n"/>
      <c r="AA542" s="84" t="n"/>
    </row>
    <row r="543" ht="15.75" customHeight="1" s="56">
      <c r="A543" s="63" t="n"/>
      <c r="B543" s="79" t="n"/>
      <c r="C543" s="79" t="n"/>
      <c r="D543" s="79" t="n"/>
      <c r="E543" s="79" t="n"/>
      <c r="F543" s="79" t="n"/>
      <c r="G543" s="79" t="n"/>
      <c r="H543" s="79" t="n"/>
      <c r="I543" s="79" t="n"/>
      <c r="J543" s="83" t="n"/>
      <c r="K543" s="83" t="n"/>
      <c r="L543" s="83" t="n"/>
      <c r="M543" s="83" t="n"/>
      <c r="N543" s="83" t="n"/>
      <c r="O543" s="83" t="n"/>
      <c r="P543" s="83" t="n"/>
      <c r="Q543" s="83" t="n"/>
      <c r="R543" s="83" t="n"/>
      <c r="S543" s="83" t="n"/>
      <c r="T543" s="83" t="n"/>
      <c r="U543" s="84" t="n"/>
      <c r="V543" s="84" t="n"/>
      <c r="W543" s="63" t="n"/>
      <c r="X543" s="84" t="n"/>
      <c r="Y543" s="63" t="n"/>
      <c r="Z543" s="63" t="n"/>
      <c r="AA543" s="84" t="n"/>
    </row>
    <row r="544" ht="15.75" customHeight="1" s="56">
      <c r="A544" s="63" t="n"/>
      <c r="B544" s="79" t="n"/>
      <c r="C544" s="79" t="n"/>
      <c r="D544" s="79" t="n"/>
      <c r="E544" s="79" t="n"/>
      <c r="F544" s="79" t="n"/>
      <c r="G544" s="79" t="n"/>
      <c r="H544" s="79" t="n"/>
      <c r="I544" s="79" t="n"/>
      <c r="J544" s="83" t="n"/>
      <c r="K544" s="83" t="n"/>
      <c r="L544" s="83" t="n"/>
      <c r="M544" s="83" t="n"/>
      <c r="N544" s="83" t="n"/>
      <c r="O544" s="83" t="n"/>
      <c r="P544" s="83" t="n"/>
      <c r="Q544" s="83" t="n"/>
      <c r="R544" s="83" t="n"/>
      <c r="S544" s="83" t="n"/>
      <c r="T544" s="83" t="n"/>
      <c r="U544" s="84" t="n"/>
      <c r="V544" s="84" t="n"/>
      <c r="W544" s="63" t="n"/>
      <c r="X544" s="84" t="n"/>
      <c r="Y544" s="63" t="n"/>
      <c r="Z544" s="63" t="n"/>
      <c r="AA544" s="84" t="n"/>
    </row>
    <row r="545" ht="15.75" customHeight="1" s="56">
      <c r="A545" s="63" t="n"/>
      <c r="B545" s="79" t="n"/>
      <c r="C545" s="79" t="n"/>
      <c r="D545" s="79" t="n"/>
      <c r="E545" s="79" t="n"/>
      <c r="F545" s="79" t="n"/>
      <c r="G545" s="79" t="n"/>
      <c r="H545" s="79" t="n"/>
      <c r="I545" s="79" t="n"/>
      <c r="J545" s="83" t="n"/>
      <c r="K545" s="83" t="n"/>
      <c r="L545" s="83" t="n"/>
      <c r="M545" s="83" t="n"/>
      <c r="N545" s="83" t="n"/>
      <c r="O545" s="83" t="n"/>
      <c r="P545" s="83" t="n"/>
      <c r="Q545" s="83" t="n"/>
      <c r="R545" s="83" t="n"/>
      <c r="S545" s="83" t="n"/>
      <c r="T545" s="83" t="n"/>
      <c r="U545" s="84" t="n"/>
      <c r="V545" s="84" t="n"/>
      <c r="W545" s="63" t="n"/>
      <c r="X545" s="84" t="n"/>
      <c r="Y545" s="63" t="n"/>
      <c r="Z545" s="63" t="n"/>
      <c r="AA545" s="84" t="n"/>
    </row>
    <row r="546" ht="15.75" customHeight="1" s="56">
      <c r="A546" s="63" t="n"/>
      <c r="B546" s="79" t="n"/>
      <c r="C546" s="79" t="n"/>
      <c r="D546" s="79" t="n"/>
      <c r="E546" s="79" t="n"/>
      <c r="F546" s="79" t="n"/>
      <c r="G546" s="79" t="n"/>
      <c r="H546" s="79" t="n"/>
      <c r="I546" s="79" t="n"/>
      <c r="J546" s="83" t="n"/>
      <c r="K546" s="83" t="n"/>
      <c r="L546" s="83" t="n"/>
      <c r="M546" s="83" t="n"/>
      <c r="N546" s="83" t="n"/>
      <c r="O546" s="83" t="n"/>
      <c r="P546" s="83" t="n"/>
      <c r="Q546" s="83" t="n"/>
      <c r="R546" s="83" t="n"/>
      <c r="S546" s="83" t="n"/>
      <c r="T546" s="83" t="n"/>
      <c r="U546" s="84" t="n"/>
      <c r="V546" s="84" t="n"/>
      <c r="W546" s="63" t="n"/>
      <c r="X546" s="84" t="n"/>
      <c r="Y546" s="63" t="n"/>
      <c r="Z546" s="63" t="n"/>
      <c r="AA546" s="84" t="n"/>
    </row>
    <row r="547" ht="15.75" customHeight="1" s="56">
      <c r="A547" s="63" t="n"/>
      <c r="B547" s="79" t="n"/>
      <c r="C547" s="79" t="n"/>
      <c r="D547" s="79" t="n"/>
      <c r="E547" s="79" t="n"/>
      <c r="F547" s="79" t="n"/>
      <c r="G547" s="79" t="n"/>
      <c r="H547" s="79" t="n"/>
      <c r="I547" s="79" t="n"/>
      <c r="J547" s="83" t="n"/>
      <c r="K547" s="83" t="n"/>
      <c r="L547" s="83" t="n"/>
      <c r="M547" s="83" t="n"/>
      <c r="N547" s="83" t="n"/>
      <c r="O547" s="83" t="n"/>
      <c r="P547" s="83" t="n"/>
      <c r="Q547" s="83" t="n"/>
      <c r="R547" s="83" t="n"/>
      <c r="S547" s="83" t="n"/>
      <c r="T547" s="83" t="n"/>
      <c r="U547" s="84" t="n"/>
      <c r="V547" s="84" t="n"/>
      <c r="W547" s="63" t="n"/>
      <c r="X547" s="84" t="n"/>
      <c r="Y547" s="63" t="n"/>
      <c r="Z547" s="63" t="n"/>
      <c r="AA547" s="84" t="n"/>
    </row>
    <row r="548" ht="15.75" customHeight="1" s="56">
      <c r="A548" s="63" t="n"/>
      <c r="B548" s="79" t="n"/>
      <c r="C548" s="79" t="n"/>
      <c r="D548" s="79" t="n"/>
      <c r="E548" s="79" t="n"/>
      <c r="F548" s="79" t="n"/>
      <c r="G548" s="79" t="n"/>
      <c r="H548" s="79" t="n"/>
      <c r="I548" s="79" t="n"/>
      <c r="J548" s="83" t="n"/>
      <c r="K548" s="83" t="n"/>
      <c r="L548" s="83" t="n"/>
      <c r="M548" s="83" t="n"/>
      <c r="N548" s="83" t="n"/>
      <c r="O548" s="83" t="n"/>
      <c r="P548" s="83" t="n"/>
      <c r="Q548" s="83" t="n"/>
      <c r="R548" s="83" t="n"/>
      <c r="S548" s="83" t="n"/>
      <c r="T548" s="83" t="n"/>
      <c r="U548" s="84" t="n"/>
      <c r="V548" s="84" t="n"/>
      <c r="W548" s="63" t="n"/>
      <c r="X548" s="84" t="n"/>
      <c r="Y548" s="63" t="n"/>
      <c r="Z548" s="63" t="n"/>
      <c r="AA548" s="84" t="n"/>
    </row>
    <row r="549" ht="15.75" customHeight="1" s="56">
      <c r="A549" s="63" t="n"/>
      <c r="B549" s="79" t="n"/>
      <c r="C549" s="79" t="n"/>
      <c r="D549" s="79" t="n"/>
      <c r="E549" s="79" t="n"/>
      <c r="F549" s="79" t="n"/>
      <c r="G549" s="79" t="n"/>
      <c r="H549" s="79" t="n"/>
      <c r="I549" s="79" t="n"/>
      <c r="J549" s="83" t="n"/>
      <c r="K549" s="83" t="n"/>
      <c r="L549" s="83" t="n"/>
      <c r="M549" s="83" t="n"/>
      <c r="N549" s="83" t="n"/>
      <c r="O549" s="83" t="n"/>
      <c r="P549" s="83" t="n"/>
      <c r="Q549" s="83" t="n"/>
      <c r="R549" s="83" t="n"/>
      <c r="S549" s="83" t="n"/>
      <c r="T549" s="83" t="n"/>
      <c r="U549" s="84" t="n"/>
      <c r="V549" s="84" t="n"/>
      <c r="W549" s="63" t="n"/>
      <c r="X549" s="84" t="n"/>
      <c r="Y549" s="63" t="n"/>
      <c r="Z549" s="63" t="n"/>
      <c r="AA549" s="84" t="n"/>
    </row>
    <row r="550" ht="15.75" customHeight="1" s="56">
      <c r="A550" s="63" t="n"/>
      <c r="B550" s="79" t="n"/>
      <c r="C550" s="79" t="n"/>
      <c r="D550" s="79" t="n"/>
      <c r="E550" s="79" t="n"/>
      <c r="F550" s="79" t="n"/>
      <c r="G550" s="79" t="n"/>
      <c r="H550" s="79" t="n"/>
      <c r="I550" s="79" t="n"/>
      <c r="J550" s="83" t="n"/>
      <c r="K550" s="83" t="n"/>
      <c r="L550" s="83" t="n"/>
      <c r="M550" s="83" t="n"/>
      <c r="N550" s="83" t="n"/>
      <c r="O550" s="83" t="n"/>
      <c r="P550" s="83" t="n"/>
      <c r="Q550" s="83" t="n"/>
      <c r="R550" s="83" t="n"/>
      <c r="S550" s="83" t="n"/>
      <c r="T550" s="83" t="n"/>
      <c r="U550" s="84" t="n"/>
      <c r="V550" s="84" t="n"/>
      <c r="W550" s="63" t="n"/>
      <c r="X550" s="84" t="n"/>
      <c r="Y550" s="63" t="n"/>
      <c r="Z550" s="63" t="n"/>
      <c r="AA550" s="84" t="n"/>
    </row>
    <row r="551" ht="15.75" customHeight="1" s="56">
      <c r="A551" s="63" t="n"/>
      <c r="B551" s="79" t="n"/>
      <c r="C551" s="79" t="n"/>
      <c r="D551" s="79" t="n"/>
      <c r="E551" s="79" t="n"/>
      <c r="F551" s="79" t="n"/>
      <c r="G551" s="79" t="n"/>
      <c r="H551" s="79" t="n"/>
      <c r="I551" s="79" t="n"/>
      <c r="J551" s="83" t="n"/>
      <c r="K551" s="83" t="n"/>
      <c r="L551" s="83" t="n"/>
      <c r="M551" s="83" t="n"/>
      <c r="N551" s="83" t="n"/>
      <c r="O551" s="83" t="n"/>
      <c r="P551" s="83" t="n"/>
      <c r="Q551" s="83" t="n"/>
      <c r="R551" s="83" t="n"/>
      <c r="S551" s="83" t="n"/>
      <c r="T551" s="83" t="n"/>
      <c r="U551" s="84" t="n"/>
      <c r="V551" s="84" t="n"/>
      <c r="W551" s="63" t="n"/>
      <c r="X551" s="84" t="n"/>
      <c r="Y551" s="63" t="n"/>
      <c r="Z551" s="63" t="n"/>
      <c r="AA551" s="84" t="n"/>
    </row>
    <row r="552" ht="15.75" customHeight="1" s="56">
      <c r="A552" s="63" t="n"/>
      <c r="B552" s="79" t="n"/>
      <c r="C552" s="79" t="n"/>
      <c r="D552" s="79" t="n"/>
      <c r="E552" s="79" t="n"/>
      <c r="F552" s="79" t="n"/>
      <c r="G552" s="79" t="n"/>
      <c r="H552" s="79" t="n"/>
      <c r="I552" s="79" t="n"/>
      <c r="J552" s="83" t="n"/>
      <c r="K552" s="83" t="n"/>
      <c r="L552" s="83" t="n"/>
      <c r="M552" s="83" t="n"/>
      <c r="N552" s="83" t="n"/>
      <c r="O552" s="83" t="n"/>
      <c r="P552" s="83" t="n"/>
      <c r="Q552" s="83" t="n"/>
      <c r="R552" s="83" t="n"/>
      <c r="S552" s="83" t="n"/>
      <c r="T552" s="83" t="n"/>
      <c r="U552" s="84" t="n"/>
      <c r="V552" s="84" t="n"/>
      <c r="W552" s="63" t="n"/>
      <c r="X552" s="84" t="n"/>
      <c r="Y552" s="63" t="n"/>
      <c r="Z552" s="63" t="n"/>
      <c r="AA552" s="84" t="n"/>
    </row>
    <row r="553" ht="15.75" customHeight="1" s="56">
      <c r="A553" s="63" t="n"/>
      <c r="B553" s="79" t="n"/>
      <c r="C553" s="79" t="n"/>
      <c r="D553" s="79" t="n"/>
      <c r="E553" s="79" t="n"/>
      <c r="F553" s="79" t="n"/>
      <c r="G553" s="79" t="n"/>
      <c r="H553" s="79" t="n"/>
      <c r="I553" s="79" t="n"/>
      <c r="J553" s="83" t="n"/>
      <c r="K553" s="83" t="n"/>
      <c r="L553" s="83" t="n"/>
      <c r="M553" s="83" t="n"/>
      <c r="N553" s="83" t="n"/>
      <c r="O553" s="83" t="n"/>
      <c r="P553" s="83" t="n"/>
      <c r="Q553" s="83" t="n"/>
      <c r="R553" s="83" t="n"/>
      <c r="S553" s="83" t="n"/>
      <c r="T553" s="83" t="n"/>
      <c r="U553" s="84" t="n"/>
      <c r="V553" s="84" t="n"/>
      <c r="W553" s="63" t="n"/>
      <c r="X553" s="84" t="n"/>
      <c r="Y553" s="63" t="n"/>
      <c r="Z553" s="63" t="n"/>
      <c r="AA553" s="84" t="n"/>
    </row>
    <row r="554" ht="15.75" customHeight="1" s="56">
      <c r="A554" s="63" t="n"/>
      <c r="B554" s="79" t="n"/>
      <c r="C554" s="79" t="n"/>
      <c r="D554" s="79" t="n"/>
      <c r="E554" s="79" t="n"/>
      <c r="F554" s="79" t="n"/>
      <c r="G554" s="79" t="n"/>
      <c r="H554" s="79" t="n"/>
      <c r="I554" s="79" t="n"/>
      <c r="J554" s="83" t="n"/>
      <c r="K554" s="83" t="n"/>
      <c r="L554" s="83" t="n"/>
      <c r="M554" s="83" t="n"/>
      <c r="N554" s="83" t="n"/>
      <c r="O554" s="83" t="n"/>
      <c r="P554" s="83" t="n"/>
      <c r="Q554" s="83" t="n"/>
      <c r="R554" s="83" t="n"/>
      <c r="S554" s="83" t="n"/>
      <c r="T554" s="83" t="n"/>
      <c r="U554" s="84" t="n"/>
      <c r="V554" s="84" t="n"/>
      <c r="W554" s="63" t="n"/>
      <c r="X554" s="84" t="n"/>
      <c r="Y554" s="63" t="n"/>
      <c r="Z554" s="63" t="n"/>
      <c r="AA554" s="84" t="n"/>
    </row>
    <row r="555" ht="15.75" customHeight="1" s="56">
      <c r="A555" s="63" t="n"/>
      <c r="B555" s="79" t="n"/>
      <c r="C555" s="79" t="n"/>
      <c r="D555" s="79" t="n"/>
      <c r="E555" s="79" t="n"/>
      <c r="F555" s="79" t="n"/>
      <c r="G555" s="79" t="n"/>
      <c r="H555" s="79" t="n"/>
      <c r="I555" s="79" t="n"/>
      <c r="J555" s="83" t="n"/>
      <c r="K555" s="83" t="n"/>
      <c r="L555" s="83" t="n"/>
      <c r="M555" s="83" t="n"/>
      <c r="N555" s="83" t="n"/>
      <c r="O555" s="83" t="n"/>
      <c r="P555" s="83" t="n"/>
      <c r="Q555" s="83" t="n"/>
      <c r="R555" s="83" t="n"/>
      <c r="S555" s="83" t="n"/>
      <c r="T555" s="83" t="n"/>
      <c r="U555" s="84" t="n"/>
      <c r="V555" s="84" t="n"/>
      <c r="W555" s="63" t="n"/>
      <c r="X555" s="84" t="n"/>
      <c r="Y555" s="63" t="n"/>
      <c r="Z555" s="63" t="n"/>
      <c r="AA555" s="84" t="n"/>
    </row>
    <row r="556" ht="15.75" customHeight="1" s="56">
      <c r="A556" s="63" t="n"/>
      <c r="B556" s="79" t="n"/>
      <c r="C556" s="79" t="n"/>
      <c r="D556" s="79" t="n"/>
      <c r="E556" s="79" t="n"/>
      <c r="F556" s="79" t="n"/>
      <c r="G556" s="79" t="n"/>
      <c r="H556" s="79" t="n"/>
      <c r="I556" s="79" t="n"/>
      <c r="J556" s="83" t="n"/>
      <c r="K556" s="83" t="n"/>
      <c r="L556" s="83" t="n"/>
      <c r="M556" s="83" t="n"/>
      <c r="N556" s="83" t="n"/>
      <c r="O556" s="83" t="n"/>
      <c r="P556" s="83" t="n"/>
      <c r="Q556" s="83" t="n"/>
      <c r="R556" s="83" t="n"/>
      <c r="S556" s="83" t="n"/>
      <c r="T556" s="83" t="n"/>
      <c r="U556" s="84" t="n"/>
      <c r="V556" s="84" t="n"/>
      <c r="W556" s="63" t="n"/>
      <c r="X556" s="84" t="n"/>
      <c r="Y556" s="63" t="n"/>
      <c r="Z556" s="63" t="n"/>
      <c r="AA556" s="84" t="n"/>
    </row>
    <row r="557" ht="15.75" customHeight="1" s="56">
      <c r="A557" s="63" t="n"/>
      <c r="B557" s="79" t="n"/>
      <c r="C557" s="79" t="n"/>
      <c r="D557" s="79" t="n"/>
      <c r="E557" s="79" t="n"/>
      <c r="F557" s="79" t="n"/>
      <c r="G557" s="79" t="n"/>
      <c r="H557" s="79" t="n"/>
      <c r="I557" s="79" t="n"/>
      <c r="J557" s="83" t="n"/>
      <c r="K557" s="83" t="n"/>
      <c r="L557" s="83" t="n"/>
      <c r="M557" s="83" t="n"/>
      <c r="N557" s="83" t="n"/>
      <c r="O557" s="83" t="n"/>
      <c r="P557" s="83" t="n"/>
      <c r="Q557" s="83" t="n"/>
      <c r="R557" s="83" t="n"/>
      <c r="S557" s="83" t="n"/>
      <c r="T557" s="83" t="n"/>
      <c r="U557" s="84" t="n"/>
      <c r="V557" s="84" t="n"/>
      <c r="W557" s="63" t="n"/>
      <c r="X557" s="84" t="n"/>
      <c r="Y557" s="63" t="n"/>
      <c r="Z557" s="63" t="n"/>
      <c r="AA557" s="84" t="n"/>
    </row>
    <row r="558" ht="15.75" customHeight="1" s="56">
      <c r="A558" s="63" t="n"/>
      <c r="B558" s="79" t="n"/>
      <c r="C558" s="79" t="n"/>
      <c r="D558" s="79" t="n"/>
      <c r="E558" s="79" t="n"/>
      <c r="F558" s="79" t="n"/>
      <c r="G558" s="79" t="n"/>
      <c r="H558" s="79" t="n"/>
      <c r="I558" s="79" t="n"/>
      <c r="J558" s="83" t="n"/>
      <c r="K558" s="83" t="n"/>
      <c r="L558" s="83" t="n"/>
      <c r="M558" s="83" t="n"/>
      <c r="N558" s="83" t="n"/>
      <c r="O558" s="83" t="n"/>
      <c r="P558" s="83" t="n"/>
      <c r="Q558" s="83" t="n"/>
      <c r="R558" s="83" t="n"/>
      <c r="S558" s="83" t="n"/>
      <c r="T558" s="83" t="n"/>
      <c r="U558" s="84" t="n"/>
      <c r="V558" s="84" t="n"/>
      <c r="W558" s="63" t="n"/>
      <c r="X558" s="84" t="n"/>
      <c r="Y558" s="63" t="n"/>
      <c r="Z558" s="63" t="n"/>
      <c r="AA558" s="84" t="n"/>
    </row>
    <row r="559" ht="15.75" customHeight="1" s="56">
      <c r="A559" s="63" t="n"/>
      <c r="B559" s="79" t="n"/>
      <c r="C559" s="79" t="n"/>
      <c r="D559" s="79" t="n"/>
      <c r="E559" s="79" t="n"/>
      <c r="F559" s="79" t="n"/>
      <c r="G559" s="79" t="n"/>
      <c r="H559" s="79" t="n"/>
      <c r="I559" s="79" t="n"/>
      <c r="J559" s="83" t="n"/>
      <c r="K559" s="83" t="n"/>
      <c r="L559" s="83" t="n"/>
      <c r="M559" s="83" t="n"/>
      <c r="N559" s="83" t="n"/>
      <c r="O559" s="83" t="n"/>
      <c r="P559" s="83" t="n"/>
      <c r="Q559" s="83" t="n"/>
      <c r="R559" s="83" t="n"/>
      <c r="S559" s="83" t="n"/>
      <c r="T559" s="83" t="n"/>
      <c r="U559" s="84" t="n"/>
      <c r="V559" s="84" t="n"/>
      <c r="W559" s="63" t="n"/>
      <c r="X559" s="84" t="n"/>
      <c r="Y559" s="63" t="n"/>
      <c r="Z559" s="63" t="n"/>
      <c r="AA559" s="84" t="n"/>
    </row>
    <row r="560" ht="15.75" customHeight="1" s="56">
      <c r="A560" s="63" t="n"/>
      <c r="B560" s="79" t="n"/>
      <c r="C560" s="79" t="n"/>
      <c r="D560" s="79" t="n"/>
      <c r="E560" s="79" t="n"/>
      <c r="F560" s="79" t="n"/>
      <c r="G560" s="79" t="n"/>
      <c r="H560" s="79" t="n"/>
      <c r="I560" s="79" t="n"/>
      <c r="J560" s="83" t="n"/>
      <c r="K560" s="83" t="n"/>
      <c r="L560" s="83" t="n"/>
      <c r="M560" s="83" t="n"/>
      <c r="N560" s="83" t="n"/>
      <c r="O560" s="83" t="n"/>
      <c r="P560" s="83" t="n"/>
      <c r="Q560" s="83" t="n"/>
      <c r="R560" s="83" t="n"/>
      <c r="S560" s="83" t="n"/>
      <c r="T560" s="83" t="n"/>
      <c r="U560" s="84" t="n"/>
      <c r="V560" s="84" t="n"/>
      <c r="W560" s="63" t="n"/>
      <c r="X560" s="84" t="n"/>
      <c r="Y560" s="63" t="n"/>
      <c r="Z560" s="63" t="n"/>
      <c r="AA560" s="84" t="n"/>
    </row>
    <row r="561" ht="15.75" customHeight="1" s="56">
      <c r="A561" s="63" t="n"/>
      <c r="B561" s="79" t="n"/>
      <c r="C561" s="79" t="n"/>
      <c r="D561" s="79" t="n"/>
      <c r="E561" s="79" t="n"/>
      <c r="F561" s="79" t="n"/>
      <c r="G561" s="79" t="n"/>
      <c r="H561" s="79" t="n"/>
      <c r="I561" s="79" t="n"/>
      <c r="J561" s="83" t="n"/>
      <c r="K561" s="83" t="n"/>
      <c r="L561" s="83" t="n"/>
      <c r="M561" s="83" t="n"/>
      <c r="N561" s="83" t="n"/>
      <c r="O561" s="83" t="n"/>
      <c r="P561" s="83" t="n"/>
      <c r="Q561" s="83" t="n"/>
      <c r="R561" s="83" t="n"/>
      <c r="S561" s="83" t="n"/>
      <c r="T561" s="83" t="n"/>
      <c r="U561" s="84" t="n"/>
      <c r="V561" s="84" t="n"/>
      <c r="W561" s="63" t="n"/>
      <c r="X561" s="84" t="n"/>
      <c r="Y561" s="63" t="n"/>
      <c r="Z561" s="63" t="n"/>
      <c r="AA561" s="84" t="n"/>
    </row>
    <row r="562" ht="15.75" customHeight="1" s="56">
      <c r="A562" s="63" t="n"/>
      <c r="B562" s="79" t="n"/>
      <c r="C562" s="79" t="n"/>
      <c r="D562" s="79" t="n"/>
      <c r="E562" s="79" t="n"/>
      <c r="F562" s="79" t="n"/>
      <c r="G562" s="79" t="n"/>
      <c r="H562" s="79" t="n"/>
      <c r="I562" s="79" t="n"/>
      <c r="J562" s="83" t="n"/>
      <c r="K562" s="83" t="n"/>
      <c r="L562" s="83" t="n"/>
      <c r="M562" s="83" t="n"/>
      <c r="N562" s="83" t="n"/>
      <c r="O562" s="83" t="n"/>
      <c r="P562" s="83" t="n"/>
      <c r="Q562" s="83" t="n"/>
      <c r="R562" s="83" t="n"/>
      <c r="S562" s="83" t="n"/>
      <c r="T562" s="83" t="n"/>
      <c r="U562" s="84" t="n"/>
      <c r="V562" s="84" t="n"/>
      <c r="W562" s="63" t="n"/>
      <c r="X562" s="84" t="n"/>
      <c r="Y562" s="63" t="n"/>
      <c r="Z562" s="63" t="n"/>
      <c r="AA562" s="84" t="n"/>
    </row>
    <row r="563" ht="15.75" customHeight="1" s="56">
      <c r="A563" s="63" t="n"/>
      <c r="B563" s="79" t="n"/>
      <c r="C563" s="79" t="n"/>
      <c r="D563" s="79" t="n"/>
      <c r="E563" s="79" t="n"/>
      <c r="F563" s="79" t="n"/>
      <c r="G563" s="79" t="n"/>
      <c r="H563" s="79" t="n"/>
      <c r="I563" s="79" t="n"/>
      <c r="J563" s="83" t="n"/>
      <c r="K563" s="83" t="n"/>
      <c r="L563" s="83" t="n"/>
      <c r="M563" s="83" t="n"/>
      <c r="N563" s="83" t="n"/>
      <c r="O563" s="83" t="n"/>
      <c r="P563" s="83" t="n"/>
      <c r="Q563" s="83" t="n"/>
      <c r="R563" s="83" t="n"/>
      <c r="S563" s="83" t="n"/>
      <c r="T563" s="83" t="n"/>
      <c r="U563" s="84" t="n"/>
      <c r="V563" s="84" t="n"/>
      <c r="W563" s="63" t="n"/>
      <c r="X563" s="84" t="n"/>
      <c r="Y563" s="63" t="n"/>
      <c r="Z563" s="63" t="n"/>
      <c r="AA563" s="84" t="n"/>
    </row>
    <row r="564" ht="15.75" customHeight="1" s="56">
      <c r="A564" s="63" t="n"/>
      <c r="B564" s="79" t="n"/>
      <c r="C564" s="79" t="n"/>
      <c r="D564" s="79" t="n"/>
      <c r="E564" s="79" t="n"/>
      <c r="F564" s="79" t="n"/>
      <c r="G564" s="79" t="n"/>
      <c r="H564" s="79" t="n"/>
      <c r="I564" s="79" t="n"/>
      <c r="J564" s="83" t="n"/>
      <c r="K564" s="83" t="n"/>
      <c r="L564" s="83" t="n"/>
      <c r="M564" s="83" t="n"/>
      <c r="N564" s="83" t="n"/>
      <c r="O564" s="83" t="n"/>
      <c r="P564" s="83" t="n"/>
      <c r="Q564" s="83" t="n"/>
      <c r="R564" s="83" t="n"/>
      <c r="S564" s="83" t="n"/>
      <c r="T564" s="83" t="n"/>
      <c r="U564" s="84" t="n"/>
      <c r="V564" s="84" t="n"/>
      <c r="W564" s="63" t="n"/>
      <c r="X564" s="84" t="n"/>
      <c r="Y564" s="63" t="n"/>
      <c r="Z564" s="63" t="n"/>
      <c r="AA564" s="84" t="n"/>
    </row>
    <row r="565" ht="15.75" customHeight="1" s="56">
      <c r="A565" s="63" t="n"/>
      <c r="B565" s="79" t="n"/>
      <c r="C565" s="79" t="n"/>
      <c r="D565" s="79" t="n"/>
      <c r="E565" s="79" t="n"/>
      <c r="F565" s="79" t="n"/>
      <c r="G565" s="79" t="n"/>
      <c r="H565" s="79" t="n"/>
      <c r="I565" s="79" t="n"/>
      <c r="J565" s="83" t="n"/>
      <c r="K565" s="83" t="n"/>
      <c r="L565" s="83" t="n"/>
      <c r="M565" s="83" t="n"/>
      <c r="N565" s="83" t="n"/>
      <c r="O565" s="83" t="n"/>
      <c r="P565" s="83" t="n"/>
      <c r="Q565" s="83" t="n"/>
      <c r="R565" s="83" t="n"/>
      <c r="S565" s="83" t="n"/>
      <c r="T565" s="83" t="n"/>
      <c r="U565" s="84" t="n"/>
      <c r="V565" s="84" t="n"/>
      <c r="W565" s="63" t="n"/>
      <c r="X565" s="84" t="n"/>
      <c r="Y565" s="63" t="n"/>
      <c r="Z565" s="63" t="n"/>
      <c r="AA565" s="84" t="n"/>
    </row>
    <row r="566" ht="15.75" customHeight="1" s="56">
      <c r="A566" s="63" t="n"/>
      <c r="B566" s="79" t="n"/>
      <c r="C566" s="79" t="n"/>
      <c r="D566" s="79" t="n"/>
      <c r="E566" s="79" t="n"/>
      <c r="F566" s="79" t="n"/>
      <c r="G566" s="79" t="n"/>
      <c r="H566" s="79" t="n"/>
      <c r="I566" s="79" t="n"/>
      <c r="J566" s="83" t="n"/>
      <c r="K566" s="83" t="n"/>
      <c r="L566" s="83" t="n"/>
      <c r="M566" s="83" t="n"/>
      <c r="N566" s="83" t="n"/>
      <c r="O566" s="83" t="n"/>
      <c r="P566" s="83" t="n"/>
      <c r="Q566" s="83" t="n"/>
      <c r="R566" s="83" t="n"/>
      <c r="S566" s="83" t="n"/>
      <c r="T566" s="83" t="n"/>
      <c r="U566" s="84" t="n"/>
      <c r="V566" s="84" t="n"/>
      <c r="W566" s="63" t="n"/>
      <c r="X566" s="84" t="n"/>
      <c r="Y566" s="63" t="n"/>
      <c r="Z566" s="63" t="n"/>
      <c r="AA566" s="84" t="n"/>
    </row>
    <row r="567" ht="15.75" customHeight="1" s="56">
      <c r="A567" s="84" t="inlineStr">
        <is>
          <t>TSLA</t>
        </is>
      </c>
      <c r="B567" s="83" t="n">
        <v>13</v>
      </c>
      <c r="C567" s="83" t="n">
        <v>65.667</v>
      </c>
      <c r="D567" s="83" t="n">
        <v>30.769</v>
      </c>
      <c r="E567" s="83" t="n">
        <v>1.131</v>
      </c>
      <c r="F567" s="83" t="inlineStr">
        <is>
          <t>2024/03/21</t>
        </is>
      </c>
      <c r="G567" s="83" t="inlineStr"/>
      <c r="H567" s="83" t="n"/>
      <c r="I567" s="83" t="n"/>
      <c r="J567" s="83" t="n"/>
      <c r="K567" s="83" t="n"/>
      <c r="L567" s="83" t="n"/>
      <c r="M567" s="83" t="n"/>
      <c r="N567" s="83" t="n"/>
      <c r="O567" s="83" t="n"/>
      <c r="P567" s="83" t="n"/>
      <c r="Q567" s="83" t="n"/>
      <c r="R567" s="83" t="n"/>
      <c r="S567" s="83" t="n"/>
      <c r="T567" s="83" t="n"/>
      <c r="U567" s="84" t="n"/>
      <c r="V567" s="84" t="n"/>
      <c r="W567" s="84" t="n"/>
      <c r="X567" s="84" t="n"/>
      <c r="Y567" s="84" t="n"/>
      <c r="Z567" s="84" t="n"/>
      <c r="AA567" s="84" t="n"/>
    </row>
    <row r="568" ht="15.75" customHeight="1" s="56"/>
    <row r="569" ht="15.75" customHeight="1" s="56"/>
    <row r="570" ht="15.75" customHeight="1" s="56"/>
    <row r="571" ht="15.75" customHeight="1" s="56"/>
    <row r="572" ht="15.75" customHeight="1" s="56"/>
    <row r="573" ht="15.75" customHeight="1" s="56"/>
    <row r="574" ht="15.75" customHeight="1" s="56"/>
    <row r="575" ht="15.75" customHeight="1" s="56"/>
    <row r="576" ht="15.75" customHeight="1" s="56"/>
    <row r="577" ht="15.75" customHeight="1" s="56"/>
    <row r="578" ht="15.75" customHeight="1" s="56"/>
    <row r="579" ht="15.75" customHeight="1" s="56"/>
    <row r="580" ht="15.75" customHeight="1" s="56"/>
    <row r="581" ht="15.75" customHeight="1" s="56"/>
    <row r="582" ht="15.75" customHeight="1" s="56"/>
    <row r="583" ht="15.75" customHeight="1" s="56"/>
    <row r="584" ht="15.75" customHeight="1" s="56"/>
    <row r="585" ht="15.75" customHeight="1" s="56"/>
    <row r="586" ht="15.75" customHeight="1" s="56"/>
    <row r="587" ht="15.75" customHeight="1" s="56"/>
    <row r="588" ht="15.75" customHeight="1" s="56"/>
    <row r="589" ht="15.75" customHeight="1" s="56"/>
    <row r="590" ht="15.75" customHeight="1" s="56"/>
    <row r="591" ht="15.75" customHeight="1" s="56"/>
    <row r="592" ht="15.75" customHeight="1" s="56"/>
    <row r="593" ht="15.75" customHeight="1" s="56"/>
    <row r="594" ht="15.75" customHeight="1" s="56"/>
    <row r="595" ht="15.75" customHeight="1" s="56"/>
    <row r="596" ht="15.75" customHeight="1" s="56"/>
    <row r="597" ht="15.75" customHeight="1" s="56"/>
    <row r="598" ht="15.75" customHeight="1" s="56"/>
    <row r="599" ht="15.75" customHeight="1" s="56"/>
    <row r="600" ht="15.75" customHeight="1" s="56"/>
    <row r="601" ht="15.75" customHeight="1" s="56"/>
    <row r="602" ht="15.75" customHeight="1" s="56"/>
    <row r="603" ht="15.75" customHeight="1" s="56"/>
    <row r="604" ht="15.75" customHeight="1" s="56"/>
    <row r="605" ht="15.75" customHeight="1" s="56"/>
    <row r="606" ht="15.75" customHeight="1" s="56"/>
    <row r="607" ht="15.75" customHeight="1" s="56"/>
    <row r="608" ht="15.75" customHeight="1" s="56"/>
    <row r="609" ht="15.75" customHeight="1" s="56"/>
    <row r="610" ht="15.75" customHeight="1" s="56"/>
    <row r="611" ht="15.75" customHeight="1" s="56"/>
    <row r="612" ht="15.75" customHeight="1" s="56"/>
    <row r="613" ht="15.75" customHeight="1" s="56"/>
    <row r="614" ht="15.75" customHeight="1" s="56"/>
    <row r="615" ht="15.75" customHeight="1" s="56"/>
    <row r="616" ht="15.75" customHeight="1" s="56"/>
    <row r="617" ht="15.75" customHeight="1" s="56"/>
    <row r="618" ht="15.75" customHeight="1" s="56"/>
    <row r="619" ht="15.75" customHeight="1" s="56"/>
    <row r="620" ht="15.75" customHeight="1" s="56"/>
    <row r="621" ht="15.75" customHeight="1" s="56"/>
    <row r="622" ht="15.75" customHeight="1" s="56"/>
    <row r="623" ht="15.75" customHeight="1" s="56"/>
    <row r="624" ht="15.75" customHeight="1" s="56"/>
    <row r="625" ht="15.75" customHeight="1" s="56"/>
    <row r="626" ht="15.75" customHeight="1" s="56"/>
    <row r="627" ht="15.75" customHeight="1" s="56"/>
    <row r="628" ht="15.75" customHeight="1" s="56"/>
    <row r="629" ht="15.75" customHeight="1" s="56"/>
    <row r="630" ht="15.75" customHeight="1" s="56"/>
    <row r="631" ht="15.75" customHeight="1" s="56"/>
    <row r="632" ht="15.75" customHeight="1" s="56"/>
    <row r="633" ht="15.75" customHeight="1" s="56"/>
    <row r="634" ht="15.75" customHeight="1" s="56"/>
    <row r="635" ht="15.75" customHeight="1" s="56"/>
    <row r="636" ht="15.75" customHeight="1" s="56"/>
    <row r="637" ht="15.75" customHeight="1" s="56"/>
    <row r="638" ht="15.75" customHeight="1" s="56"/>
    <row r="639" ht="15.75" customHeight="1" s="56"/>
    <row r="640" ht="15.75" customHeight="1" s="56"/>
    <row r="641" ht="15.75" customHeight="1" s="56"/>
    <row r="642" ht="15.75" customHeight="1" s="56"/>
    <row r="643" ht="15.75" customHeight="1" s="56"/>
    <row r="644" ht="15.75" customHeight="1" s="56"/>
    <row r="645" ht="15.75" customHeight="1" s="56"/>
    <row r="646" ht="15.75" customHeight="1" s="56"/>
    <row r="647" ht="15.75" customHeight="1" s="56"/>
    <row r="648" ht="15.75" customHeight="1" s="56"/>
    <row r="649" ht="15.75" customHeight="1" s="56"/>
    <row r="650" ht="15.75" customHeight="1" s="56"/>
    <row r="651" ht="15.75" customHeight="1" s="56"/>
    <row r="652" ht="15.75" customHeight="1" s="56"/>
    <row r="653" ht="15.75" customHeight="1" s="56"/>
    <row r="654" ht="15.75" customHeight="1" s="56"/>
    <row r="655" ht="15.75" customHeight="1" s="56"/>
    <row r="656" ht="15.75" customHeight="1" s="56"/>
    <row r="657" ht="15.75" customHeight="1" s="56"/>
    <row r="658" ht="15.75" customHeight="1" s="56"/>
    <row r="659" ht="15.75" customHeight="1" s="56"/>
    <row r="660" ht="15.75" customHeight="1" s="56"/>
    <row r="661" ht="15.75" customHeight="1" s="56"/>
    <row r="662" ht="15.75" customHeight="1" s="56"/>
    <row r="663" ht="15.75" customHeight="1" s="56"/>
    <row r="664" ht="15.75" customHeight="1" s="56"/>
    <row r="665" ht="15.75" customHeight="1" s="56"/>
    <row r="666" ht="15.75" customHeight="1" s="56"/>
    <row r="667" ht="15.75" customHeight="1" s="56"/>
    <row r="668" ht="15.75" customHeight="1" s="56"/>
    <row r="669" ht="15.75" customHeight="1" s="56"/>
    <row r="670" ht="15.75" customHeight="1" s="56"/>
    <row r="671" ht="15.75" customHeight="1" s="56"/>
    <row r="672" ht="15.75" customHeight="1" s="56"/>
    <row r="673" ht="15.75" customHeight="1" s="56"/>
    <row r="674" ht="15.75" customHeight="1" s="56"/>
    <row r="675" ht="15.75" customHeight="1" s="56"/>
    <row r="676" ht="15.75" customHeight="1" s="56"/>
    <row r="677" ht="15.75" customHeight="1" s="56"/>
    <row r="678" ht="15.75" customHeight="1" s="56"/>
    <row r="679" ht="15.75" customHeight="1" s="56"/>
    <row r="680" ht="15.75" customHeight="1" s="56"/>
    <row r="681" ht="15.75" customHeight="1" s="56"/>
    <row r="682" ht="15.75" customHeight="1" s="56"/>
    <row r="683" ht="15.75" customHeight="1" s="56"/>
    <row r="684" ht="15.75" customHeight="1" s="56"/>
    <row r="685" ht="15.75" customHeight="1" s="56"/>
    <row r="686" ht="15.75" customHeight="1" s="56"/>
    <row r="687" ht="15.75" customHeight="1" s="56"/>
    <row r="688" ht="15.75" customHeight="1" s="56"/>
    <row r="689" ht="15.75" customHeight="1" s="56"/>
    <row r="690" ht="15.75" customHeight="1" s="56"/>
    <row r="691" ht="15.75" customHeight="1" s="56"/>
    <row r="692" ht="15.75" customHeight="1" s="56"/>
    <row r="693" ht="15.75" customHeight="1" s="56"/>
    <row r="694" ht="15.75" customHeight="1" s="56"/>
    <row r="695" ht="15.75" customHeight="1" s="56"/>
    <row r="696" ht="15.75" customHeight="1" s="56"/>
    <row r="697" ht="15.75" customHeight="1" s="56"/>
    <row r="698" ht="15.75" customHeight="1" s="56"/>
    <row r="699" ht="15.75" customHeight="1" s="56"/>
    <row r="700" ht="15.75" customHeight="1" s="56"/>
    <row r="701" ht="15.75" customHeight="1" s="56"/>
    <row r="702" ht="15.75" customHeight="1" s="56"/>
    <row r="703" ht="15.75" customHeight="1" s="56"/>
    <row r="704" ht="15.75" customHeight="1" s="56"/>
    <row r="705" ht="15.75" customHeight="1" s="56"/>
    <row r="706" ht="15.75" customHeight="1" s="56"/>
    <row r="707" ht="15.75" customHeight="1" s="56"/>
    <row r="708" ht="15.75" customHeight="1" s="56"/>
    <row r="709" ht="15.75" customHeight="1" s="56"/>
    <row r="710" ht="15.75" customHeight="1" s="56"/>
    <row r="711" ht="15.75" customHeight="1" s="56"/>
    <row r="712" ht="15.75" customHeight="1" s="56"/>
    <row r="713" ht="15.75" customHeight="1" s="56"/>
    <row r="714" ht="15.75" customHeight="1" s="56"/>
    <row r="715" ht="15.75" customHeight="1" s="56"/>
    <row r="716" ht="15.75" customHeight="1" s="56"/>
    <row r="717" ht="15.75" customHeight="1" s="56"/>
    <row r="718" ht="15.75" customHeight="1" s="56"/>
    <row r="719" ht="15.75" customHeight="1" s="56"/>
    <row r="720" ht="15.75" customHeight="1" s="56"/>
    <row r="721" ht="15.75" customHeight="1" s="56"/>
    <row r="722" ht="15.75" customHeight="1" s="56"/>
    <row r="723" ht="15.75" customHeight="1" s="56"/>
    <row r="724" ht="15.75" customHeight="1" s="56"/>
    <row r="725" ht="15.75" customHeight="1" s="56"/>
    <row r="726" ht="15.75" customHeight="1" s="56"/>
    <row r="727" ht="15.75" customHeight="1" s="56"/>
    <row r="728" ht="15.75" customHeight="1" s="56"/>
    <row r="729" ht="15.75" customHeight="1" s="56"/>
    <row r="730" ht="15.75" customHeight="1" s="56"/>
    <row r="731" ht="15.75" customHeight="1" s="56"/>
    <row r="732" ht="15.75" customHeight="1" s="56"/>
    <row r="733" ht="15.75" customHeight="1" s="56"/>
    <row r="734" ht="15.75" customHeight="1" s="56"/>
    <row r="735" ht="15.75" customHeight="1" s="56"/>
    <row r="736" ht="15.75" customHeight="1" s="56"/>
    <row r="737" ht="15.75" customHeight="1" s="56"/>
    <row r="738" ht="15.75" customHeight="1" s="56"/>
    <row r="739" ht="15.75" customHeight="1" s="56"/>
    <row r="740" ht="15.75" customHeight="1" s="56"/>
    <row r="741" ht="15.75" customHeight="1" s="56"/>
    <row r="742" ht="15.75" customHeight="1" s="56"/>
    <row r="743" ht="15.75" customHeight="1" s="56"/>
    <row r="744" ht="15.75" customHeight="1" s="56"/>
    <row r="745" ht="15.75" customHeight="1" s="56"/>
    <row r="746" ht="15.75" customHeight="1" s="56"/>
    <row r="747" ht="15.75" customHeight="1" s="56"/>
    <row r="748" ht="15.75" customHeight="1" s="56"/>
    <row r="749" ht="15.75" customHeight="1" s="56"/>
    <row r="750" ht="15.75" customHeight="1" s="56"/>
    <row r="751" ht="15.75" customHeight="1" s="56"/>
    <row r="752" ht="15.75" customHeight="1" s="56"/>
    <row r="753" ht="15.75" customHeight="1" s="56"/>
    <row r="754" ht="15.75" customHeight="1" s="56"/>
    <row r="755" ht="15.75" customHeight="1" s="56"/>
    <row r="756" ht="15.75" customHeight="1" s="56"/>
    <row r="757" ht="15.75" customHeight="1" s="56"/>
    <row r="758" ht="15.75" customHeight="1" s="56"/>
    <row r="759" ht="15.75" customHeight="1" s="56"/>
    <row r="760" ht="15.75" customHeight="1" s="56"/>
    <row r="761" ht="15.75" customHeight="1" s="56"/>
    <row r="762" ht="15.75" customHeight="1" s="56"/>
    <row r="763" ht="15.75" customHeight="1" s="56"/>
    <row r="764" ht="15.75" customHeight="1" s="56"/>
    <row r="765" ht="15.75" customHeight="1" s="56"/>
    <row r="766" ht="15.75" customHeight="1" s="56"/>
    <row r="767" ht="15.75" customHeight="1" s="56"/>
    <row r="768" ht="15.75" customHeight="1" s="56"/>
    <row r="769" ht="15.75" customHeight="1" s="56"/>
    <row r="770" ht="15.75" customHeight="1" s="56"/>
    <row r="771" ht="15.75" customHeight="1" s="56"/>
    <row r="772" ht="15.75" customHeight="1" s="56"/>
    <row r="773" ht="15.75" customHeight="1" s="56"/>
    <row r="774" ht="15.75" customHeight="1" s="56"/>
    <row r="775" ht="15.75" customHeight="1" s="56"/>
    <row r="776" ht="15.75" customHeight="1" s="56"/>
    <row r="777" ht="15.75" customHeight="1" s="56"/>
    <row r="778" ht="15.75" customHeight="1" s="56"/>
    <row r="779" ht="15.75" customHeight="1" s="56"/>
    <row r="780" ht="15.75" customHeight="1" s="56"/>
    <row r="781" ht="15.75" customHeight="1" s="56"/>
    <row r="782" ht="15.75" customHeight="1" s="56"/>
    <row r="783" ht="15.75" customHeight="1" s="56"/>
    <row r="784" ht="15.75" customHeight="1" s="56"/>
    <row r="785" ht="15.75" customHeight="1" s="56"/>
    <row r="786" ht="15.75" customHeight="1" s="56"/>
    <row r="787" ht="15.75" customHeight="1" s="56"/>
    <row r="788" ht="15.75" customHeight="1" s="56"/>
    <row r="789" ht="15.75" customHeight="1" s="56"/>
    <row r="790" ht="15.75" customHeight="1" s="56"/>
    <row r="791" ht="15.75" customHeight="1" s="56"/>
    <row r="792" ht="15.75" customHeight="1" s="56"/>
    <row r="793" ht="15.75" customHeight="1" s="56"/>
    <row r="794" ht="15.75" customHeight="1" s="56"/>
    <row r="795" ht="15.75" customHeight="1" s="56"/>
    <row r="796" ht="15.75" customHeight="1" s="56"/>
    <row r="797" ht="15.75" customHeight="1" s="56"/>
    <row r="798" ht="15.75" customHeight="1" s="56"/>
    <row r="799" ht="15.75" customHeight="1" s="56"/>
    <row r="800" ht="15.75" customHeight="1" s="56"/>
    <row r="801" ht="15.75" customHeight="1" s="56"/>
    <row r="802" ht="15.75" customHeight="1" s="56"/>
    <row r="803" ht="15.75" customHeight="1" s="56"/>
    <row r="804" ht="15.75" customHeight="1" s="56"/>
    <row r="805" ht="15.75" customHeight="1" s="56"/>
    <row r="806" ht="15.75" customHeight="1" s="56"/>
    <row r="807" ht="15.75" customHeight="1" s="56"/>
    <row r="808" ht="15.75" customHeight="1" s="56"/>
    <row r="809" ht="15.75" customHeight="1" s="56"/>
    <row r="810" ht="15.75" customHeight="1" s="56"/>
    <row r="811" ht="15.75" customHeight="1" s="56"/>
    <row r="812" ht="15.75" customHeight="1" s="56"/>
    <row r="813" ht="15.75" customHeight="1" s="56"/>
    <row r="814" ht="15.75" customHeight="1" s="56"/>
    <row r="815" ht="15.75" customHeight="1" s="56"/>
    <row r="816" ht="15.75" customHeight="1" s="56"/>
    <row r="817" ht="15.75" customHeight="1" s="56"/>
    <row r="818" ht="15.75" customHeight="1" s="56"/>
    <row r="819" ht="15.75" customHeight="1" s="56"/>
    <row r="820" ht="15.75" customHeight="1" s="56"/>
    <row r="821" ht="15.75" customHeight="1" s="56"/>
    <row r="822" ht="15.75" customHeight="1" s="56"/>
    <row r="823" ht="15.75" customHeight="1" s="56"/>
    <row r="824" ht="15.75" customHeight="1" s="56"/>
    <row r="825" ht="15.75" customHeight="1" s="56"/>
    <row r="826" ht="15.75" customHeight="1" s="56"/>
    <row r="827" ht="15.75" customHeight="1" s="56"/>
    <row r="828" ht="15.75" customHeight="1" s="56"/>
    <row r="829" ht="15.75" customHeight="1" s="56"/>
    <row r="830" ht="15.75" customHeight="1" s="56"/>
    <row r="831" ht="15.75" customHeight="1" s="56"/>
    <row r="832" ht="15.75" customHeight="1" s="56"/>
    <row r="833" ht="15.75" customHeight="1" s="56"/>
    <row r="834" ht="15.75" customHeight="1" s="56"/>
    <row r="835" ht="15.75" customHeight="1" s="56"/>
    <row r="836" ht="15.75" customHeight="1" s="56"/>
    <row r="837" ht="15.75" customHeight="1" s="56"/>
    <row r="838" ht="15.75" customHeight="1" s="56"/>
    <row r="839" ht="15.75" customHeight="1" s="56"/>
    <row r="840" ht="15.75" customHeight="1" s="56"/>
    <row r="841" ht="15.75" customHeight="1" s="56"/>
    <row r="842" ht="15.75" customHeight="1" s="56"/>
    <row r="843" ht="15.75" customHeight="1" s="56"/>
    <row r="844" ht="15.75" customHeight="1" s="56"/>
    <row r="845" ht="15.75" customHeight="1" s="56"/>
    <row r="846" ht="15.75" customHeight="1" s="56"/>
    <row r="847" ht="15.75" customHeight="1" s="56"/>
    <row r="848" ht="15.75" customHeight="1" s="56"/>
    <row r="849" ht="15.75" customHeight="1" s="56"/>
    <row r="850" ht="15.75" customHeight="1" s="56"/>
    <row r="851" ht="15.75" customHeight="1" s="56"/>
    <row r="852" ht="15.75" customHeight="1" s="56"/>
    <row r="853" ht="15.75" customHeight="1" s="56"/>
    <row r="854" ht="15.75" customHeight="1" s="56"/>
    <row r="855" ht="15.75" customHeight="1" s="56"/>
    <row r="856" ht="15.75" customHeight="1" s="56"/>
    <row r="857" ht="15.75" customHeight="1" s="56"/>
    <row r="858" ht="15.75" customHeight="1" s="56"/>
    <row r="859" ht="15.75" customHeight="1" s="56"/>
    <row r="860" ht="15.75" customHeight="1" s="56"/>
    <row r="861" ht="15.75" customHeight="1" s="56"/>
    <row r="862" ht="15.75" customHeight="1" s="56"/>
    <row r="863" ht="15.75" customHeight="1" s="56"/>
    <row r="864" ht="15.75" customHeight="1" s="56"/>
    <row r="865" ht="15.75" customHeight="1" s="56"/>
    <row r="866" ht="15.75" customHeight="1" s="56"/>
    <row r="867" ht="15.75" customHeight="1" s="56"/>
    <row r="868" ht="15.75" customHeight="1" s="56"/>
    <row r="869" ht="15.75" customHeight="1" s="56"/>
    <row r="870" ht="15.75" customHeight="1" s="56"/>
    <row r="871" ht="15.75" customHeight="1" s="56"/>
    <row r="872" ht="15.75" customHeight="1" s="56"/>
    <row r="873" ht="15.75" customHeight="1" s="56"/>
    <row r="874" ht="15.75" customHeight="1" s="56"/>
    <row r="875" ht="15.75" customHeight="1" s="56"/>
    <row r="876" ht="15.75" customHeight="1" s="56"/>
    <row r="877" ht="15.75" customHeight="1" s="56"/>
    <row r="878" ht="15.75" customHeight="1" s="56"/>
    <row r="879" ht="15.75" customHeight="1" s="56"/>
    <row r="880" ht="15.75" customHeight="1" s="56"/>
    <row r="881" ht="15.75" customHeight="1" s="56"/>
    <row r="882" ht="15.75" customHeight="1" s="56"/>
    <row r="883" ht="15.75" customHeight="1" s="56"/>
    <row r="884" ht="15.75" customHeight="1" s="56"/>
    <row r="885" ht="15.75" customHeight="1" s="56"/>
    <row r="886" ht="15.75" customHeight="1" s="56"/>
    <row r="887" ht="15.75" customHeight="1" s="56"/>
    <row r="888" ht="15.75" customHeight="1" s="56"/>
    <row r="889" ht="15.75" customHeight="1" s="56"/>
    <row r="890" ht="15.75" customHeight="1" s="56"/>
    <row r="891" ht="15.75" customHeight="1" s="56"/>
    <row r="892" ht="15.75" customHeight="1" s="56"/>
    <row r="893" ht="15.75" customHeight="1" s="56"/>
    <row r="894" ht="15.75" customHeight="1" s="56"/>
    <row r="895" ht="15.75" customHeight="1" s="56"/>
    <row r="896" ht="15.75" customHeight="1" s="56"/>
    <row r="897" ht="15.75" customHeight="1" s="56"/>
    <row r="898" ht="15.75" customHeight="1" s="56"/>
    <row r="899" ht="15.75" customHeight="1" s="56"/>
    <row r="900" ht="15.75" customHeight="1" s="56"/>
    <row r="901" ht="15.75" customHeight="1" s="56"/>
    <row r="902" ht="15.75" customHeight="1" s="56"/>
    <row r="903" ht="15.75" customHeight="1" s="56"/>
    <row r="904" ht="15.75" customHeight="1" s="56"/>
    <row r="905" ht="15.75" customHeight="1" s="56"/>
    <row r="906" ht="15.75" customHeight="1" s="56"/>
    <row r="907" ht="15.75" customHeight="1" s="56"/>
    <row r="908" ht="15.75" customHeight="1" s="56"/>
    <row r="909" ht="15.75" customHeight="1" s="56"/>
    <row r="910" ht="15.75" customHeight="1" s="56"/>
    <row r="911" ht="15.75" customHeight="1" s="56"/>
    <row r="912" ht="15.75" customHeight="1" s="56"/>
    <row r="913" ht="15.75" customHeight="1" s="56"/>
    <row r="914" ht="15.75" customHeight="1" s="56"/>
    <row r="915" ht="15.75" customHeight="1" s="56"/>
    <row r="916" ht="15.75" customHeight="1" s="56"/>
    <row r="917" ht="15.75" customHeight="1" s="56"/>
    <row r="918" ht="15.75" customHeight="1" s="56"/>
    <row r="919" ht="15.75" customHeight="1" s="56"/>
    <row r="920" ht="15.75" customHeight="1" s="56"/>
    <row r="921" ht="15.75" customHeight="1" s="56"/>
    <row r="922" ht="15.75" customHeight="1" s="56"/>
    <row r="923" ht="15.75" customHeight="1" s="56"/>
    <row r="924" ht="15.75" customHeight="1" s="56"/>
    <row r="925" ht="15.75" customHeight="1" s="56"/>
    <row r="926" ht="15.75" customHeight="1" s="56"/>
    <row r="927" ht="15.75" customHeight="1" s="56"/>
    <row r="928" ht="15.75" customHeight="1" s="56"/>
    <row r="929" ht="15.75" customHeight="1" s="56"/>
    <row r="930" ht="15.75" customHeight="1" s="56"/>
    <row r="931" ht="15.75" customHeight="1" s="56"/>
    <row r="932" ht="15.75" customHeight="1" s="56"/>
    <row r="933" ht="15.75" customHeight="1" s="56"/>
    <row r="934" ht="15.75" customHeight="1" s="56"/>
    <row r="935" ht="15.75" customHeight="1" s="56"/>
    <row r="936" ht="15.75" customHeight="1" s="56"/>
    <row r="937" ht="15.75" customHeight="1" s="56"/>
    <row r="938" ht="15.75" customHeight="1" s="56"/>
    <row r="939" ht="15.75" customHeight="1" s="56"/>
    <row r="940" ht="15.75" customHeight="1" s="56"/>
    <row r="941" ht="15.75" customHeight="1" s="56"/>
    <row r="942" ht="15.75" customHeight="1" s="56"/>
    <row r="943" ht="15.75" customHeight="1" s="56"/>
    <row r="944" ht="15.75" customHeight="1" s="56"/>
    <row r="945" ht="15.75" customHeight="1" s="56"/>
    <row r="946" ht="15.75" customHeight="1" s="56"/>
    <row r="947" ht="15.75" customHeight="1" s="56"/>
    <row r="948" ht="15.75" customHeight="1" s="56"/>
    <row r="949" ht="15.75" customHeight="1" s="56"/>
    <row r="950" ht="15.75" customHeight="1" s="56"/>
    <row r="951" ht="15.75" customHeight="1" s="56"/>
    <row r="952" ht="15.75" customHeight="1" s="56"/>
    <row r="953" ht="15.75" customHeight="1" s="56"/>
    <row r="954" ht="15.75" customHeight="1" s="56"/>
    <row r="955" ht="15.75" customHeight="1" s="56"/>
    <row r="956" ht="15.75" customHeight="1" s="56"/>
    <row r="957" ht="15.75" customHeight="1" s="56"/>
    <row r="958" ht="15.75" customHeight="1" s="56"/>
    <row r="959" ht="15.75" customHeight="1" s="56"/>
    <row r="960" ht="15.75" customHeight="1" s="56"/>
    <row r="961" ht="15.75" customHeight="1" s="56"/>
    <row r="962" ht="15.75" customHeight="1" s="56"/>
    <row r="963" ht="15.75" customHeight="1" s="56"/>
    <row r="964" ht="15.75" customHeight="1" s="56"/>
    <row r="965" ht="15.75" customHeight="1" s="56"/>
    <row r="966" ht="15.75" customHeight="1" s="56"/>
    <row r="967" ht="15.75" customHeight="1" s="56"/>
    <row r="968" ht="15.75" customHeight="1" s="56"/>
    <row r="969" ht="15.75" customHeight="1" s="56"/>
    <row r="970" ht="15.75" customHeight="1" s="56"/>
    <row r="971" ht="15.75" customHeight="1" s="56"/>
    <row r="972" ht="15.75" customHeight="1" s="56"/>
    <row r="973" ht="15.75" customHeight="1" s="56"/>
    <row r="974" ht="15.75" customHeight="1" s="56"/>
    <row r="975" ht="15.75" customHeight="1" s="56"/>
    <row r="976" ht="15.75" customHeight="1" s="56"/>
    <row r="977" ht="15.75" customHeight="1" s="56"/>
    <row r="978" ht="15.75" customHeight="1" s="56"/>
    <row r="979" ht="15.75" customHeight="1" s="56"/>
    <row r="980" ht="15.75" customHeight="1" s="56"/>
    <row r="981" ht="15.75" customHeight="1" s="56"/>
    <row r="982" ht="15.75" customHeight="1" s="56"/>
    <row r="983" ht="15.75" customHeight="1" s="56"/>
    <row r="984" ht="15.75" customHeight="1" s="56"/>
    <row r="985" ht="15.75" customHeight="1" s="56"/>
    <row r="986" ht="15.75" customHeight="1" s="56"/>
    <row r="987" ht="15.75" customHeight="1" s="56"/>
    <row r="988" ht="15.75" customHeight="1" s="56"/>
    <row r="989" ht="15.75" customHeight="1" s="56"/>
    <row r="990" ht="15.75" customHeight="1" s="56"/>
    <row r="991" ht="15.75" customHeight="1" s="56"/>
    <row r="992" ht="15.75" customHeight="1" s="56"/>
    <row r="993" ht="15.75" customHeight="1" s="56"/>
    <row r="994" ht="15.75" customHeight="1" s="56"/>
    <row r="995" ht="15.75" customHeight="1" s="56"/>
    <row r="996" ht="15.75" customHeight="1" s="56"/>
    <row r="997" ht="15.75" customHeight="1" s="56"/>
    <row r="998" ht="15.75" customHeight="1" s="56"/>
    <row r="999" ht="15.75" customHeight="1" s="56"/>
    <row r="1000" ht="15.75" customHeight="1" s="56"/>
  </sheetData>
  <autoFilter ref="$A$2:$U$242">
    <sortState ref="A2:U242">
      <sortCondition ref="A2:A242"/>
      <sortCondition ref="J2:J242"/>
    </sortState>
  </autoFilter>
  <conditionalFormatting sqref="J3:J366">
    <cfRule type="expression" priority="1" dxfId="0">
      <formula>IF(COUNTA(F3)=1,TRUE,FALSE)</formula>
    </cfRule>
    <cfRule type="expression" priority="2" dxfId="1">
      <formula>IF(COUNTA(G3)=1,TRUE,FALSE)</formula>
    </cfRule>
  </conditionalFormatting>
  <conditionalFormatting sqref="L3:L366">
    <cfRule type="expression" priority="3" dxfId="1">
      <formula>IF(COUNTA(H3)=1,TRUE,FALSE)</formula>
    </cfRule>
    <cfRule type="expression" priority="4" dxfId="0">
      <formula>IF(COUNTA(I3)=1,TRUE,FALSE)</formula>
    </cfRule>
  </conditionalFormatting>
  <conditionalFormatting sqref="O2:O366">
    <cfRule type="cellIs" priority="5" operator="equal" dxfId="2">
      <formula>"Ongoing"</formula>
    </cfRule>
  </conditionalFormatting>
  <conditionalFormatting sqref="P1:P366">
    <cfRule type="cellIs" priority="6" operator="equal" dxfId="0">
      <formula>"Profit"</formula>
    </cfRule>
    <cfRule type="cellIs" priority="7" operator="equal" dxfId="1">
      <formula>"Loss"</formula>
    </cfRule>
  </conditionalFormatting>
  <conditionalFormatting sqref="Q3:Q366">
    <cfRule type="cellIs" priority="8" operator="greaterThan" dxfId="3">
      <formula>0</formula>
    </cfRule>
    <cfRule type="cellIs" priority="9" operator="lessThan" dxfId="4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E11"/>
  <sheetViews>
    <sheetView workbookViewId="0">
      <selection activeCell="A1" sqref="A1"/>
    </sheetView>
  </sheetViews>
  <sheetFormatPr baseColWidth="8" defaultColWidth="12.63" defaultRowHeight="15" customHeight="1"/>
  <cols>
    <col width="15.38" customWidth="1" style="56" min="1" max="1"/>
    <col width="12.63" customWidth="1" style="56" min="2" max="6"/>
  </cols>
  <sheetData>
    <row r="1" ht="15" customHeight="1" s="56">
      <c r="A1" s="1" t="inlineStr">
        <is>
          <t>Profit</t>
        </is>
      </c>
      <c r="B1" s="48">
        <f>SUMIF('2024'!Q:Q,"&gt;0")</f>
        <v/>
      </c>
      <c r="C1" s="1" t="n"/>
      <c r="D1" s="1" t="inlineStr">
        <is>
          <t>BUY trades</t>
        </is>
      </c>
      <c r="E1" s="48">
        <f>COUNTA('2024'!F:F)</f>
        <v/>
      </c>
    </row>
    <row r="2" ht="15" customHeight="1" s="56">
      <c r="A2" s="49" t="inlineStr">
        <is>
          <t>Loss</t>
        </is>
      </c>
      <c r="B2" s="50">
        <f>SUMIF('2024'!Q:Q,"&lt;0")</f>
        <v/>
      </c>
      <c r="C2" s="33" t="n"/>
      <c r="D2" s="1" t="inlineStr">
        <is>
          <t>SELL trades</t>
        </is>
      </c>
      <c r="E2" s="48">
        <f>COUNTA('2024'!G:G)</f>
        <v/>
      </c>
    </row>
    <row r="3" ht="12.75" customHeight="1" s="56">
      <c r="A3" s="51" t="inlineStr">
        <is>
          <t>Net Change</t>
        </is>
      </c>
      <c r="B3" s="52">
        <f>B1+B2</f>
        <v/>
      </c>
      <c r="C3" s="1" t="n"/>
      <c r="D3" s="1" t="n"/>
      <c r="E3" s="1" t="n"/>
    </row>
    <row r="4" ht="12.75" customHeight="1" s="56">
      <c r="A4" s="51" t="inlineStr">
        <is>
          <t>Profit factor</t>
        </is>
      </c>
      <c r="B4" s="52">
        <f>B1/ABS(B2)</f>
        <v/>
      </c>
      <c r="C4" s="1" t="n"/>
      <c r="D4" s="1" t="n"/>
      <c r="E4" s="1" t="n"/>
    </row>
    <row r="5" ht="12.75" customHeight="1" s="56">
      <c r="A5" s="1" t="n"/>
      <c r="B5" s="53" t="n"/>
      <c r="C5" s="1" t="n"/>
      <c r="D5" s="1" t="n"/>
      <c r="E5" s="1" t="n"/>
    </row>
    <row r="6" ht="12.75" customHeight="1" s="56">
      <c r="A6" s="51" t="inlineStr">
        <is>
          <t>Profit %</t>
        </is>
      </c>
      <c r="B6" s="54">
        <f>B3/(1000*COUNTIF('2024'!O:O,"Completed"))</f>
        <v/>
      </c>
      <c r="C6" s="1" t="n"/>
      <c r="D6" s="1" t="n"/>
      <c r="E6" s="1" t="n"/>
    </row>
    <row r="7" ht="12.75" customHeight="1" s="56">
      <c r="A7" s="1" t="inlineStr">
        <is>
          <t>Profit % / month</t>
        </is>
      </c>
      <c r="B7" s="55">
        <f>B6/(DATEDIF('2024'!G3, TODAY(), "D")/30)</f>
        <v/>
      </c>
      <c r="C7" s="1" t="n"/>
      <c r="D7" s="1" t="n"/>
      <c r="E7" s="1" t="n"/>
    </row>
    <row r="8" ht="12.75" customHeight="1" s="56">
      <c r="A8" s="1" t="n"/>
      <c r="B8" s="1" t="n"/>
      <c r="C8" s="1" t="n"/>
      <c r="D8" s="1" t="n"/>
      <c r="E8" s="1" t="n"/>
    </row>
    <row r="9" ht="12.75" customHeight="1" s="56">
      <c r="A9" s="1" t="inlineStr">
        <is>
          <t>Completed trades</t>
        </is>
      </c>
      <c r="B9" s="48">
        <f>COUNTIF('2024'!O:O,"Completed")</f>
        <v/>
      </c>
      <c r="C9" s="1" t="n"/>
      <c r="D9" s="1" t="n"/>
      <c r="E9" s="1" t="n"/>
    </row>
    <row r="10" ht="12.75" customHeight="1" s="56">
      <c r="A10" s="1" t="inlineStr">
        <is>
          <t>Profit trades</t>
        </is>
      </c>
      <c r="B10" s="48">
        <f>COUNTIF('2024'!P:P,"Profit")</f>
        <v/>
      </c>
      <c r="C10" s="1" t="n"/>
      <c r="D10" s="1" t="n"/>
      <c r="E10" s="1" t="n"/>
    </row>
    <row r="11" ht="12.75" customHeight="1" s="56">
      <c r="A11" s="51" t="inlineStr">
        <is>
          <t>Profit trades %</t>
        </is>
      </c>
      <c r="B11" s="54">
        <f>B10/B9</f>
        <v/>
      </c>
      <c r="C11" s="1" t="n"/>
      <c r="D11" s="1" t="n"/>
      <c r="E11" s="1" t="n"/>
    </row>
    <row r="21" ht="15.75" customHeight="1" s="56"/>
    <row r="22" ht="15.75" customHeight="1" s="56"/>
    <row r="23" ht="15.75" customHeight="1" s="56"/>
    <row r="24" ht="15.75" customHeight="1" s="56"/>
    <row r="25" ht="15.75" customHeight="1" s="56"/>
    <row r="26" ht="15.75" customHeight="1" s="56"/>
    <row r="27" ht="15.75" customHeight="1" s="56"/>
    <row r="28" ht="15.75" customHeight="1" s="56"/>
    <row r="29" ht="15.75" customHeight="1" s="56"/>
    <row r="30" ht="15.75" customHeight="1" s="56"/>
    <row r="31" ht="15.75" customHeight="1" s="56"/>
    <row r="32" ht="15.75" customHeight="1" s="56"/>
    <row r="33" ht="15.75" customHeight="1" s="56"/>
    <row r="34" ht="15.75" customHeight="1" s="56"/>
    <row r="35" ht="15.75" customHeight="1" s="56"/>
    <row r="36" ht="15.75" customHeight="1" s="56"/>
    <row r="37" ht="15.75" customHeight="1" s="56"/>
    <row r="38" ht="15.75" customHeight="1" s="56"/>
    <row r="39" ht="15.75" customHeight="1" s="56"/>
    <row r="40" ht="15.75" customHeight="1" s="56"/>
    <row r="41" ht="15.75" customHeight="1" s="56"/>
    <row r="42" ht="15.75" customHeight="1" s="56"/>
    <row r="43" ht="15.75" customHeight="1" s="56"/>
    <row r="44" ht="15.75" customHeight="1" s="56"/>
    <row r="45" ht="15.75" customHeight="1" s="56"/>
    <row r="46" ht="15.75" customHeight="1" s="56"/>
    <row r="47" ht="15.75" customHeight="1" s="56"/>
    <row r="48" ht="15.75" customHeight="1" s="56"/>
    <row r="49" ht="15.75" customHeight="1" s="56"/>
    <row r="50" ht="15.75" customHeight="1" s="56"/>
    <row r="51" ht="15.75" customHeight="1" s="56"/>
    <row r="52" ht="15.75" customHeight="1" s="56"/>
    <row r="53" ht="15.75" customHeight="1" s="56"/>
    <row r="54" ht="15.75" customHeight="1" s="56"/>
    <row r="55" ht="15.75" customHeight="1" s="56"/>
    <row r="56" ht="15.75" customHeight="1" s="56"/>
    <row r="57" ht="15.75" customHeight="1" s="56"/>
    <row r="58" ht="15.75" customHeight="1" s="56"/>
    <row r="59" ht="15.75" customHeight="1" s="56"/>
    <row r="60" ht="15.75" customHeight="1" s="56"/>
    <row r="61" ht="15.75" customHeight="1" s="56"/>
    <row r="62" ht="15.75" customHeight="1" s="56"/>
    <row r="63" ht="15.75" customHeight="1" s="56"/>
    <row r="64" ht="15.75" customHeight="1" s="56"/>
    <row r="65" ht="15.75" customHeight="1" s="56"/>
    <row r="66" ht="15.75" customHeight="1" s="56"/>
    <row r="67" ht="15.75" customHeight="1" s="56"/>
    <row r="68" ht="15.75" customHeight="1" s="56"/>
    <row r="69" ht="15.75" customHeight="1" s="56"/>
    <row r="70" ht="15.75" customHeight="1" s="56"/>
    <row r="71" ht="15.75" customHeight="1" s="56"/>
    <row r="72" ht="15.75" customHeight="1" s="56"/>
    <row r="73" ht="15.75" customHeight="1" s="56"/>
    <row r="74" ht="15.75" customHeight="1" s="56"/>
    <row r="75" ht="15.75" customHeight="1" s="56"/>
    <row r="76" ht="15.75" customHeight="1" s="56"/>
    <row r="77" ht="15.75" customHeight="1" s="56"/>
    <row r="78" ht="15.75" customHeight="1" s="56"/>
    <row r="79" ht="15.75" customHeight="1" s="56"/>
    <row r="80" ht="15.75" customHeight="1" s="56"/>
    <row r="81" ht="15.75" customHeight="1" s="56"/>
    <row r="82" ht="15.75" customHeight="1" s="56"/>
    <row r="83" ht="15.75" customHeight="1" s="56"/>
    <row r="84" ht="15.75" customHeight="1" s="56"/>
    <row r="85" ht="15.75" customHeight="1" s="56"/>
    <row r="86" ht="15.75" customHeight="1" s="56"/>
    <row r="87" ht="15.75" customHeight="1" s="56"/>
    <row r="88" ht="15.75" customHeight="1" s="56"/>
    <row r="89" ht="15.75" customHeight="1" s="56"/>
    <row r="90" ht="15.75" customHeight="1" s="56"/>
    <row r="91" ht="15.75" customHeight="1" s="56"/>
    <row r="92" ht="15.75" customHeight="1" s="56"/>
    <row r="93" ht="15.75" customHeight="1" s="56"/>
    <row r="94" ht="15.75" customHeight="1" s="56"/>
    <row r="95" ht="15.75" customHeight="1" s="56"/>
    <row r="96" ht="15.75" customHeight="1" s="56"/>
    <row r="97" ht="15.75" customHeight="1" s="56"/>
    <row r="98" ht="15.75" customHeight="1" s="56"/>
    <row r="99" ht="15.75" customHeight="1" s="56"/>
    <row r="100" ht="15.75" customHeight="1" s="56"/>
    <row r="101" ht="15.75" customHeight="1" s="56"/>
    <row r="102" ht="15.75" customHeight="1" s="56"/>
    <row r="103" ht="15.75" customHeight="1" s="56"/>
    <row r="104" ht="15.75" customHeight="1" s="56"/>
    <row r="105" ht="15.75" customHeight="1" s="56"/>
    <row r="106" ht="15.75" customHeight="1" s="56"/>
    <row r="107" ht="15.75" customHeight="1" s="56"/>
    <row r="108" ht="15.75" customHeight="1" s="56"/>
    <row r="109" ht="15.75" customHeight="1" s="56"/>
    <row r="110" ht="15.75" customHeight="1" s="56"/>
    <row r="111" ht="15.75" customHeight="1" s="56"/>
    <row r="112" ht="15.75" customHeight="1" s="56"/>
    <row r="113" ht="15.75" customHeight="1" s="56"/>
    <row r="114" ht="15.75" customHeight="1" s="56"/>
    <row r="115" ht="15.75" customHeight="1" s="56"/>
    <row r="116" ht="15.75" customHeight="1" s="56"/>
    <row r="117" ht="15.75" customHeight="1" s="56"/>
    <row r="118" ht="15.75" customHeight="1" s="56"/>
    <row r="119" ht="15.75" customHeight="1" s="56"/>
    <row r="120" ht="15.75" customHeight="1" s="56"/>
    <row r="121" ht="15.75" customHeight="1" s="56"/>
    <row r="122" ht="15.75" customHeight="1" s="56"/>
    <row r="123" ht="15.75" customHeight="1" s="56"/>
    <row r="124" ht="15.75" customHeight="1" s="56"/>
    <row r="125" ht="15.75" customHeight="1" s="56"/>
    <row r="126" ht="15.75" customHeight="1" s="56"/>
    <row r="127" ht="15.75" customHeight="1" s="56"/>
    <row r="128" ht="15.75" customHeight="1" s="56"/>
    <row r="129" ht="15.75" customHeight="1" s="56"/>
    <row r="130" ht="15.75" customHeight="1" s="56"/>
    <row r="131" ht="15.75" customHeight="1" s="56"/>
    <row r="132" ht="15.75" customHeight="1" s="56"/>
    <row r="133" ht="15.75" customHeight="1" s="56"/>
    <row r="134" ht="15.75" customHeight="1" s="56"/>
    <row r="135" ht="15.75" customHeight="1" s="56"/>
    <row r="136" ht="15.75" customHeight="1" s="56"/>
    <row r="137" ht="15.75" customHeight="1" s="56"/>
    <row r="138" ht="15.75" customHeight="1" s="56"/>
    <row r="139" ht="15.75" customHeight="1" s="56"/>
    <row r="140" ht="15.75" customHeight="1" s="56"/>
    <row r="141" ht="15.75" customHeight="1" s="56"/>
    <row r="142" ht="15.75" customHeight="1" s="56"/>
    <row r="143" ht="15.75" customHeight="1" s="56"/>
    <row r="144" ht="15.75" customHeight="1" s="56"/>
    <row r="145" ht="15.75" customHeight="1" s="56"/>
    <row r="146" ht="15.75" customHeight="1" s="56"/>
    <row r="147" ht="15.75" customHeight="1" s="56"/>
    <row r="148" ht="15.75" customHeight="1" s="56"/>
    <row r="149" ht="15.75" customHeight="1" s="56"/>
    <row r="150" ht="15.75" customHeight="1" s="56"/>
    <row r="151" ht="15.75" customHeight="1" s="56"/>
    <row r="152" ht="15.75" customHeight="1" s="56"/>
    <row r="153" ht="15.75" customHeight="1" s="56"/>
    <row r="154" ht="15.75" customHeight="1" s="56"/>
    <row r="155" ht="15.75" customHeight="1" s="56"/>
    <row r="156" ht="15.75" customHeight="1" s="56"/>
    <row r="157" ht="15.75" customHeight="1" s="56"/>
    <row r="158" ht="15.75" customHeight="1" s="56"/>
    <row r="159" ht="15.75" customHeight="1" s="56"/>
    <row r="160" ht="15.75" customHeight="1" s="56"/>
    <row r="161" ht="15.75" customHeight="1" s="56"/>
    <row r="162" ht="15.75" customHeight="1" s="56"/>
    <row r="163" ht="15.75" customHeight="1" s="56"/>
    <row r="164" ht="15.75" customHeight="1" s="56"/>
    <row r="165" ht="15.75" customHeight="1" s="56"/>
    <row r="166" ht="15.75" customHeight="1" s="56"/>
    <row r="167" ht="15.75" customHeight="1" s="56"/>
    <row r="168" ht="15.75" customHeight="1" s="56"/>
    <row r="169" ht="15.75" customHeight="1" s="56"/>
    <row r="170" ht="15.75" customHeight="1" s="56"/>
    <row r="171" ht="15.75" customHeight="1" s="56"/>
    <row r="172" ht="15.75" customHeight="1" s="56"/>
    <row r="173" ht="15.75" customHeight="1" s="56"/>
    <row r="174" ht="15.75" customHeight="1" s="56"/>
    <row r="175" ht="15.75" customHeight="1" s="56"/>
    <row r="176" ht="15.75" customHeight="1" s="56"/>
    <row r="177" ht="15.75" customHeight="1" s="56"/>
    <row r="178" ht="15.75" customHeight="1" s="56"/>
    <row r="179" ht="15.75" customHeight="1" s="56"/>
    <row r="180" ht="15.75" customHeight="1" s="56"/>
    <row r="181" ht="15.75" customHeight="1" s="56"/>
    <row r="182" ht="15.75" customHeight="1" s="56"/>
    <row r="183" ht="15.75" customHeight="1" s="56"/>
    <row r="184" ht="15.75" customHeight="1" s="56"/>
    <row r="185" ht="15.75" customHeight="1" s="56"/>
    <row r="186" ht="15.75" customHeight="1" s="56"/>
    <row r="187" ht="15.75" customHeight="1" s="56"/>
    <row r="188" ht="15.75" customHeight="1" s="56"/>
    <row r="189" ht="15.75" customHeight="1" s="56"/>
    <row r="190" ht="15.75" customHeight="1" s="56"/>
    <row r="191" ht="15.75" customHeight="1" s="56"/>
    <row r="192" ht="15.75" customHeight="1" s="56"/>
    <row r="193" ht="15.75" customHeight="1" s="56"/>
    <row r="194" ht="15.75" customHeight="1" s="56"/>
    <row r="195" ht="15.75" customHeight="1" s="56"/>
    <row r="196" ht="15.75" customHeight="1" s="56"/>
    <row r="197" ht="15.75" customHeight="1" s="56"/>
    <row r="198" ht="15.75" customHeight="1" s="56"/>
    <row r="199" ht="15.75" customHeight="1" s="56"/>
    <row r="200" ht="15.75" customHeight="1" s="56"/>
    <row r="201" ht="15.75" customHeight="1" s="56"/>
    <row r="202" ht="15.75" customHeight="1" s="56"/>
    <row r="203" ht="15.75" customHeight="1" s="56"/>
    <row r="204" ht="15.75" customHeight="1" s="56"/>
    <row r="205" ht="15.75" customHeight="1" s="56"/>
    <row r="206" ht="15.75" customHeight="1" s="56"/>
    <row r="207" ht="15.75" customHeight="1" s="56"/>
    <row r="208" ht="15.75" customHeight="1" s="56"/>
    <row r="209" ht="15.75" customHeight="1" s="56"/>
    <row r="210" ht="15.75" customHeight="1" s="56"/>
    <row r="211" ht="15.75" customHeight="1" s="56"/>
    <row r="212" ht="15.75" customHeight="1" s="56"/>
    <row r="213" ht="15.75" customHeight="1" s="56"/>
    <row r="214" ht="15.75" customHeight="1" s="56"/>
    <row r="215" ht="15.75" customHeight="1" s="56"/>
    <row r="216" ht="15.75" customHeight="1" s="56"/>
    <row r="217" ht="15.75" customHeight="1" s="56"/>
    <row r="218" ht="15.75" customHeight="1" s="56"/>
    <row r="219" ht="15.75" customHeight="1" s="56"/>
    <row r="220" ht="15.75" customHeight="1" s="56"/>
    <row r="221" ht="15.75" customHeight="1" s="56"/>
    <row r="222" ht="15.75" customHeight="1" s="56"/>
    <row r="223" ht="15.75" customHeight="1" s="56"/>
    <row r="224" ht="15.75" customHeight="1" s="56"/>
    <row r="225" ht="15.75" customHeight="1" s="56"/>
    <row r="226" ht="15.75" customHeight="1" s="56"/>
    <row r="227" ht="15.75" customHeight="1" s="56"/>
    <row r="228" ht="15.75" customHeight="1" s="56"/>
    <row r="229" ht="15.75" customHeight="1" s="56"/>
    <row r="230" ht="15.75" customHeight="1" s="56"/>
    <row r="231" ht="15.75" customHeight="1" s="56"/>
    <row r="232" ht="15.75" customHeight="1" s="56"/>
    <row r="233" ht="15.75" customHeight="1" s="56"/>
    <row r="234" ht="15.75" customHeight="1" s="56"/>
    <row r="235" ht="15.75" customHeight="1" s="56"/>
    <row r="236" ht="15.75" customHeight="1" s="56"/>
    <row r="237" ht="15.75" customHeight="1" s="56"/>
    <row r="238" ht="15.75" customHeight="1" s="56"/>
    <row r="239" ht="15.75" customHeight="1" s="56"/>
    <row r="240" ht="15.75" customHeight="1" s="56"/>
    <row r="241" ht="15.75" customHeight="1" s="56"/>
    <row r="242" ht="15.75" customHeight="1" s="56"/>
    <row r="243" ht="15.75" customHeight="1" s="56"/>
    <row r="244" ht="15.75" customHeight="1" s="56"/>
    <row r="245" ht="15.75" customHeight="1" s="56"/>
    <row r="246" ht="15.75" customHeight="1" s="56"/>
    <row r="247" ht="15.75" customHeight="1" s="56"/>
    <row r="248" ht="15.75" customHeight="1" s="56"/>
    <row r="249" ht="15.75" customHeight="1" s="56"/>
    <row r="250" ht="15.75" customHeight="1" s="56"/>
    <row r="251" ht="15.75" customHeight="1" s="56"/>
    <row r="252" ht="15.75" customHeight="1" s="56"/>
    <row r="253" ht="15.75" customHeight="1" s="56"/>
    <row r="254" ht="15.75" customHeight="1" s="56"/>
    <row r="255" ht="15.75" customHeight="1" s="56"/>
    <row r="256" ht="15.75" customHeight="1" s="56"/>
    <row r="257" ht="15.75" customHeight="1" s="56"/>
    <row r="258" ht="15.75" customHeight="1" s="56"/>
    <row r="259" ht="15.75" customHeight="1" s="56"/>
    <row r="260" ht="15.75" customHeight="1" s="56"/>
    <row r="261" ht="15.75" customHeight="1" s="56"/>
    <row r="262" ht="15.75" customHeight="1" s="56"/>
    <row r="263" ht="15.75" customHeight="1" s="56"/>
    <row r="264" ht="15.75" customHeight="1" s="56"/>
    <row r="265" ht="15.75" customHeight="1" s="56"/>
    <row r="266" ht="15.75" customHeight="1" s="56"/>
    <row r="267" ht="15.75" customHeight="1" s="56"/>
    <row r="268" ht="15.75" customHeight="1" s="56"/>
    <row r="269" ht="15.75" customHeight="1" s="56"/>
    <row r="270" ht="15.75" customHeight="1" s="56"/>
    <row r="271" ht="15.75" customHeight="1" s="56"/>
    <row r="272" ht="15.75" customHeight="1" s="56"/>
    <row r="273" ht="15.75" customHeight="1" s="56"/>
    <row r="274" ht="15.75" customHeight="1" s="56"/>
    <row r="275" ht="15.75" customHeight="1" s="56"/>
    <row r="276" ht="15.75" customHeight="1" s="56"/>
    <row r="277" ht="15.75" customHeight="1" s="56"/>
    <row r="278" ht="15.75" customHeight="1" s="56"/>
    <row r="279" ht="15.75" customHeight="1" s="56"/>
    <row r="280" ht="15.75" customHeight="1" s="56"/>
    <row r="281" ht="15.75" customHeight="1" s="56"/>
    <row r="282" ht="15.75" customHeight="1" s="56"/>
    <row r="283" ht="15.75" customHeight="1" s="56"/>
    <row r="284" ht="15.75" customHeight="1" s="56"/>
    <row r="285" ht="15.75" customHeight="1" s="56"/>
    <row r="286" ht="15.75" customHeight="1" s="56"/>
    <row r="287" ht="15.75" customHeight="1" s="56"/>
    <row r="288" ht="15.75" customHeight="1" s="56"/>
    <row r="289" ht="15.75" customHeight="1" s="56"/>
    <row r="290" ht="15.75" customHeight="1" s="56"/>
    <row r="291" ht="15.75" customHeight="1" s="56"/>
    <row r="292" ht="15.75" customHeight="1" s="56"/>
    <row r="293" ht="15.75" customHeight="1" s="56"/>
    <row r="294" ht="15.75" customHeight="1" s="56"/>
    <row r="295" ht="15.75" customHeight="1" s="56"/>
    <row r="296" ht="15.75" customHeight="1" s="56"/>
    <row r="297" ht="15.75" customHeight="1" s="56"/>
    <row r="298" ht="15.75" customHeight="1" s="56"/>
    <row r="299" ht="15.75" customHeight="1" s="56"/>
    <row r="300" ht="15.75" customHeight="1" s="56"/>
    <row r="301" ht="15.75" customHeight="1" s="56"/>
    <row r="302" ht="15.75" customHeight="1" s="56"/>
    <row r="303" ht="15.75" customHeight="1" s="56"/>
    <row r="304" ht="15.75" customHeight="1" s="56"/>
    <row r="305" ht="15.75" customHeight="1" s="56"/>
    <row r="306" ht="15.75" customHeight="1" s="56"/>
    <row r="307" ht="15.75" customHeight="1" s="56"/>
    <row r="308" ht="15.75" customHeight="1" s="56"/>
    <row r="309" ht="15.75" customHeight="1" s="56"/>
    <row r="310" ht="15.75" customHeight="1" s="56"/>
    <row r="311" ht="15.75" customHeight="1" s="56"/>
    <row r="312" ht="15.75" customHeight="1" s="56"/>
    <row r="313" ht="15.75" customHeight="1" s="56"/>
    <row r="314" ht="15.75" customHeight="1" s="56"/>
    <row r="315" ht="15.75" customHeight="1" s="56"/>
    <row r="316" ht="15.75" customHeight="1" s="56"/>
    <row r="317" ht="15.75" customHeight="1" s="56"/>
    <row r="318" ht="15.75" customHeight="1" s="56"/>
    <row r="319" ht="15.75" customHeight="1" s="56"/>
    <row r="320" ht="15.75" customHeight="1" s="56"/>
    <row r="321" ht="15.75" customHeight="1" s="56"/>
    <row r="322" ht="15.75" customHeight="1" s="56"/>
    <row r="323" ht="15.75" customHeight="1" s="56"/>
    <row r="324" ht="15.75" customHeight="1" s="56"/>
    <row r="325" ht="15.75" customHeight="1" s="56"/>
    <row r="326" ht="15.75" customHeight="1" s="56"/>
    <row r="327" ht="15.75" customHeight="1" s="56"/>
    <row r="328" ht="15.75" customHeight="1" s="56"/>
    <row r="329" ht="15.75" customHeight="1" s="56"/>
    <row r="330" ht="15.75" customHeight="1" s="56"/>
    <row r="331" ht="15.75" customHeight="1" s="56"/>
    <row r="332" ht="15.75" customHeight="1" s="56"/>
    <row r="333" ht="15.75" customHeight="1" s="56"/>
    <row r="334" ht="15.75" customHeight="1" s="56"/>
    <row r="335" ht="15.75" customHeight="1" s="56"/>
    <row r="336" ht="15.75" customHeight="1" s="56"/>
    <row r="337" ht="15.75" customHeight="1" s="56"/>
    <row r="338" ht="15.75" customHeight="1" s="56"/>
    <row r="339" ht="15.75" customHeight="1" s="56"/>
    <row r="340" ht="15.75" customHeight="1" s="56"/>
    <row r="341" ht="15.75" customHeight="1" s="56"/>
    <row r="342" ht="15.75" customHeight="1" s="56"/>
    <row r="343" ht="15.75" customHeight="1" s="56"/>
    <row r="344" ht="15.75" customHeight="1" s="56"/>
    <row r="345" ht="15.75" customHeight="1" s="56"/>
    <row r="346" ht="15.75" customHeight="1" s="56"/>
    <row r="347" ht="15.75" customHeight="1" s="56"/>
    <row r="348" ht="15.75" customHeight="1" s="56"/>
    <row r="349" ht="15.75" customHeight="1" s="56"/>
    <row r="350" ht="15.75" customHeight="1" s="56"/>
    <row r="351" ht="15.75" customHeight="1" s="56"/>
    <row r="352" ht="15.75" customHeight="1" s="56"/>
    <row r="353" ht="15.75" customHeight="1" s="56"/>
    <row r="354" ht="15.75" customHeight="1" s="56"/>
    <row r="355" ht="15.75" customHeight="1" s="56"/>
    <row r="356" ht="15.75" customHeight="1" s="56"/>
    <row r="357" ht="15.75" customHeight="1" s="56"/>
    <row r="358" ht="15.75" customHeight="1" s="56"/>
    <row r="359" ht="15.75" customHeight="1" s="56"/>
    <row r="360" ht="15.75" customHeight="1" s="56"/>
    <row r="361" ht="15.75" customHeight="1" s="56"/>
    <row r="362" ht="15.75" customHeight="1" s="56"/>
    <row r="363" ht="15.75" customHeight="1" s="56"/>
    <row r="364" ht="15.75" customHeight="1" s="56"/>
    <row r="365" ht="15.75" customHeight="1" s="56"/>
    <row r="366" ht="15.75" customHeight="1" s="56"/>
    <row r="367" ht="15.75" customHeight="1" s="56"/>
    <row r="368" ht="15.75" customHeight="1" s="56"/>
    <row r="369" ht="15.75" customHeight="1" s="56"/>
    <row r="370" ht="15.75" customHeight="1" s="56"/>
    <row r="371" ht="15.75" customHeight="1" s="56"/>
    <row r="372" ht="15.75" customHeight="1" s="56"/>
    <row r="373" ht="15.75" customHeight="1" s="56"/>
    <row r="374" ht="15.75" customHeight="1" s="56"/>
    <row r="375" ht="15.75" customHeight="1" s="56"/>
    <row r="376" ht="15.75" customHeight="1" s="56"/>
    <row r="377" ht="15.75" customHeight="1" s="56"/>
    <row r="378" ht="15.75" customHeight="1" s="56"/>
    <row r="379" ht="15.75" customHeight="1" s="56"/>
    <row r="380" ht="15.75" customHeight="1" s="56"/>
    <row r="381" ht="15.75" customHeight="1" s="56"/>
    <row r="382" ht="15.75" customHeight="1" s="56"/>
    <row r="383" ht="15.75" customHeight="1" s="56"/>
    <row r="384" ht="15.75" customHeight="1" s="56"/>
    <row r="385" ht="15.75" customHeight="1" s="56"/>
    <row r="386" ht="15.75" customHeight="1" s="56"/>
    <row r="387" ht="15.75" customHeight="1" s="56"/>
    <row r="388" ht="15.75" customHeight="1" s="56"/>
    <row r="389" ht="15.75" customHeight="1" s="56"/>
    <row r="390" ht="15.75" customHeight="1" s="56"/>
    <row r="391" ht="15.75" customHeight="1" s="56"/>
    <row r="392" ht="15.75" customHeight="1" s="56"/>
    <row r="393" ht="15.75" customHeight="1" s="56"/>
    <row r="394" ht="15.75" customHeight="1" s="56"/>
    <row r="395" ht="15.75" customHeight="1" s="56"/>
    <row r="396" ht="15.75" customHeight="1" s="56"/>
    <row r="397" ht="15.75" customHeight="1" s="56"/>
    <row r="398" ht="15.75" customHeight="1" s="56"/>
    <row r="399" ht="15.75" customHeight="1" s="56"/>
    <row r="400" ht="15.75" customHeight="1" s="56"/>
    <row r="401" ht="15.75" customHeight="1" s="56"/>
    <row r="402" ht="15.75" customHeight="1" s="56"/>
    <row r="403" ht="15.75" customHeight="1" s="56"/>
    <row r="404" ht="15.75" customHeight="1" s="56"/>
    <row r="405" ht="15.75" customHeight="1" s="56"/>
    <row r="406" ht="15.75" customHeight="1" s="56"/>
    <row r="407" ht="15.75" customHeight="1" s="56"/>
    <row r="408" ht="15.75" customHeight="1" s="56"/>
    <row r="409" ht="15.75" customHeight="1" s="56"/>
    <row r="410" ht="15.75" customHeight="1" s="56"/>
    <row r="411" ht="15.75" customHeight="1" s="56"/>
    <row r="412" ht="15.75" customHeight="1" s="56"/>
    <row r="413" ht="15.75" customHeight="1" s="56"/>
    <row r="414" ht="15.75" customHeight="1" s="56"/>
    <row r="415" ht="15.75" customHeight="1" s="56"/>
    <row r="416" ht="15.75" customHeight="1" s="56"/>
    <row r="417" ht="15.75" customHeight="1" s="56"/>
    <row r="418" ht="15.75" customHeight="1" s="56"/>
    <row r="419" ht="15.75" customHeight="1" s="56"/>
    <row r="420" ht="15.75" customHeight="1" s="56"/>
    <row r="421" ht="15.75" customHeight="1" s="56"/>
    <row r="422" ht="15.75" customHeight="1" s="56"/>
    <row r="423" ht="15.75" customHeight="1" s="56"/>
    <row r="424" ht="15.75" customHeight="1" s="56"/>
    <row r="425" ht="15.75" customHeight="1" s="56"/>
    <row r="426" ht="15.75" customHeight="1" s="56"/>
    <row r="427" ht="15.75" customHeight="1" s="56"/>
    <row r="428" ht="15.75" customHeight="1" s="56"/>
    <row r="429" ht="15.75" customHeight="1" s="56"/>
    <row r="430" ht="15.75" customHeight="1" s="56"/>
    <row r="431" ht="15.75" customHeight="1" s="56"/>
    <row r="432" ht="15.75" customHeight="1" s="56"/>
    <row r="433" ht="15.75" customHeight="1" s="56"/>
    <row r="434" ht="15.75" customHeight="1" s="56"/>
    <row r="435" ht="15.75" customHeight="1" s="56"/>
    <row r="436" ht="15.75" customHeight="1" s="56"/>
    <row r="437" ht="15.75" customHeight="1" s="56"/>
    <row r="438" ht="15.75" customHeight="1" s="56"/>
    <row r="439" ht="15.75" customHeight="1" s="56"/>
    <row r="440" ht="15.75" customHeight="1" s="56"/>
    <row r="441" ht="15.75" customHeight="1" s="56"/>
    <row r="442" ht="15.75" customHeight="1" s="56"/>
    <row r="443" ht="15.75" customHeight="1" s="56"/>
    <row r="444" ht="15.75" customHeight="1" s="56"/>
    <row r="445" ht="15.75" customHeight="1" s="56"/>
    <row r="446" ht="15.75" customHeight="1" s="56"/>
    <row r="447" ht="15.75" customHeight="1" s="56"/>
    <row r="448" ht="15.75" customHeight="1" s="56"/>
    <row r="449" ht="15.75" customHeight="1" s="56"/>
    <row r="450" ht="15.75" customHeight="1" s="56"/>
    <row r="451" ht="15.75" customHeight="1" s="56"/>
    <row r="452" ht="15.75" customHeight="1" s="56"/>
    <row r="453" ht="15.75" customHeight="1" s="56"/>
    <row r="454" ht="15.75" customHeight="1" s="56"/>
    <row r="455" ht="15.75" customHeight="1" s="56"/>
    <row r="456" ht="15.75" customHeight="1" s="56"/>
    <row r="457" ht="15.75" customHeight="1" s="56"/>
    <row r="458" ht="15.75" customHeight="1" s="56"/>
    <row r="459" ht="15.75" customHeight="1" s="56"/>
    <row r="460" ht="15.75" customHeight="1" s="56"/>
    <row r="461" ht="15.75" customHeight="1" s="56"/>
    <row r="462" ht="15.75" customHeight="1" s="56"/>
    <row r="463" ht="15.75" customHeight="1" s="56"/>
    <row r="464" ht="15.75" customHeight="1" s="56"/>
    <row r="465" ht="15.75" customHeight="1" s="56"/>
    <row r="466" ht="15.75" customHeight="1" s="56"/>
    <row r="467" ht="15.75" customHeight="1" s="56"/>
    <row r="468" ht="15.75" customHeight="1" s="56"/>
    <row r="469" ht="15.75" customHeight="1" s="56"/>
    <row r="470" ht="15.75" customHeight="1" s="56"/>
    <row r="471" ht="15.75" customHeight="1" s="56"/>
    <row r="472" ht="15.75" customHeight="1" s="56"/>
    <row r="473" ht="15.75" customHeight="1" s="56"/>
    <row r="474" ht="15.75" customHeight="1" s="56"/>
    <row r="475" ht="15.75" customHeight="1" s="56"/>
    <row r="476" ht="15.75" customHeight="1" s="56"/>
    <row r="477" ht="15.75" customHeight="1" s="56"/>
    <row r="478" ht="15.75" customHeight="1" s="56"/>
    <row r="479" ht="15.75" customHeight="1" s="56"/>
    <row r="480" ht="15.75" customHeight="1" s="56"/>
    <row r="481" ht="15.75" customHeight="1" s="56"/>
    <row r="482" ht="15.75" customHeight="1" s="56"/>
    <row r="483" ht="15.75" customHeight="1" s="56"/>
    <row r="484" ht="15.75" customHeight="1" s="56"/>
    <row r="485" ht="15.75" customHeight="1" s="56"/>
    <row r="486" ht="15.75" customHeight="1" s="56"/>
    <row r="487" ht="15.75" customHeight="1" s="56"/>
    <row r="488" ht="15.75" customHeight="1" s="56"/>
    <row r="489" ht="15.75" customHeight="1" s="56"/>
    <row r="490" ht="15.75" customHeight="1" s="56"/>
    <row r="491" ht="15.75" customHeight="1" s="56"/>
    <row r="492" ht="15.75" customHeight="1" s="56"/>
    <row r="493" ht="15.75" customHeight="1" s="56"/>
    <row r="494" ht="15.75" customHeight="1" s="56"/>
    <row r="495" ht="15.75" customHeight="1" s="56"/>
    <row r="496" ht="15.75" customHeight="1" s="56"/>
    <row r="497" ht="15.75" customHeight="1" s="56"/>
    <row r="498" ht="15.75" customHeight="1" s="56"/>
    <row r="499" ht="15.75" customHeight="1" s="56"/>
    <row r="500" ht="15.75" customHeight="1" s="56"/>
    <row r="501" ht="15.75" customHeight="1" s="56"/>
    <row r="502" ht="15.75" customHeight="1" s="56"/>
    <row r="503" ht="15.75" customHeight="1" s="56"/>
    <row r="504" ht="15.75" customHeight="1" s="56"/>
    <row r="505" ht="15.75" customHeight="1" s="56"/>
    <row r="506" ht="15.75" customHeight="1" s="56"/>
    <row r="507" ht="15.75" customHeight="1" s="56"/>
    <row r="508" ht="15.75" customHeight="1" s="56"/>
    <row r="509" ht="15.75" customHeight="1" s="56"/>
    <row r="510" ht="15.75" customHeight="1" s="56"/>
    <row r="511" ht="15.75" customHeight="1" s="56"/>
    <row r="512" ht="15.75" customHeight="1" s="56"/>
    <row r="513" ht="15.75" customHeight="1" s="56"/>
    <row r="514" ht="15.75" customHeight="1" s="56"/>
    <row r="515" ht="15.75" customHeight="1" s="56"/>
    <row r="516" ht="15.75" customHeight="1" s="56"/>
    <row r="517" ht="15.75" customHeight="1" s="56"/>
    <row r="518" ht="15.75" customHeight="1" s="56"/>
    <row r="519" ht="15.75" customHeight="1" s="56"/>
    <row r="520" ht="15.75" customHeight="1" s="56"/>
    <row r="521" ht="15.75" customHeight="1" s="56"/>
    <row r="522" ht="15.75" customHeight="1" s="56"/>
    <row r="523" ht="15.75" customHeight="1" s="56"/>
    <row r="524" ht="15.75" customHeight="1" s="56"/>
    <row r="525" ht="15.75" customHeight="1" s="56"/>
    <row r="526" ht="15.75" customHeight="1" s="56"/>
    <row r="527" ht="15.75" customHeight="1" s="56"/>
    <row r="528" ht="15.75" customHeight="1" s="56"/>
    <row r="529" ht="15.75" customHeight="1" s="56"/>
    <row r="530" ht="15.75" customHeight="1" s="56"/>
    <row r="531" ht="15.75" customHeight="1" s="56"/>
    <row r="532" ht="15.75" customHeight="1" s="56"/>
    <row r="533" ht="15.75" customHeight="1" s="56"/>
    <row r="534" ht="15.75" customHeight="1" s="56"/>
    <row r="535" ht="15.75" customHeight="1" s="56"/>
    <row r="536" ht="15.75" customHeight="1" s="56"/>
    <row r="537" ht="15.75" customHeight="1" s="56"/>
    <row r="538" ht="15.75" customHeight="1" s="56"/>
    <row r="539" ht="15.75" customHeight="1" s="56"/>
    <row r="540" ht="15.75" customHeight="1" s="56"/>
    <row r="541" ht="15.75" customHeight="1" s="56"/>
    <row r="542" ht="15.75" customHeight="1" s="56"/>
    <row r="543" ht="15.75" customHeight="1" s="56"/>
    <row r="544" ht="15.75" customHeight="1" s="56"/>
    <row r="545" ht="15.75" customHeight="1" s="56"/>
    <row r="546" ht="15.75" customHeight="1" s="56"/>
    <row r="547" ht="15.75" customHeight="1" s="56"/>
    <row r="548" ht="15.75" customHeight="1" s="56"/>
    <row r="549" ht="15.75" customHeight="1" s="56"/>
    <row r="550" ht="15.75" customHeight="1" s="56"/>
    <row r="551" ht="15.75" customHeight="1" s="56"/>
    <row r="552" ht="15.75" customHeight="1" s="56"/>
    <row r="553" ht="15.75" customHeight="1" s="56"/>
    <row r="554" ht="15.75" customHeight="1" s="56"/>
    <row r="555" ht="15.75" customHeight="1" s="56"/>
    <row r="556" ht="15.75" customHeight="1" s="56"/>
    <row r="557" ht="15.75" customHeight="1" s="56"/>
    <row r="558" ht="15.75" customHeight="1" s="56"/>
    <row r="559" ht="15.75" customHeight="1" s="56"/>
    <row r="560" ht="15.75" customHeight="1" s="56"/>
    <row r="561" ht="15.75" customHeight="1" s="56"/>
    <row r="562" ht="15.75" customHeight="1" s="56"/>
    <row r="563" ht="15.75" customHeight="1" s="56"/>
    <row r="564" ht="15.75" customHeight="1" s="56"/>
    <row r="565" ht="15.75" customHeight="1" s="56"/>
    <row r="566" ht="15.75" customHeight="1" s="56"/>
    <row r="567" ht="15.75" customHeight="1" s="56"/>
    <row r="568" ht="15.75" customHeight="1" s="56"/>
    <row r="569" ht="15.75" customHeight="1" s="56"/>
    <row r="570" ht="15.75" customHeight="1" s="56"/>
    <row r="571" ht="15.75" customHeight="1" s="56"/>
    <row r="572" ht="15.75" customHeight="1" s="56"/>
    <row r="573" ht="15.75" customHeight="1" s="56"/>
    <row r="574" ht="15.75" customHeight="1" s="56"/>
    <row r="575" ht="15.75" customHeight="1" s="56"/>
    <row r="576" ht="15.75" customHeight="1" s="56"/>
    <row r="577" ht="15.75" customHeight="1" s="56"/>
    <row r="578" ht="15.75" customHeight="1" s="56"/>
    <row r="579" ht="15.75" customHeight="1" s="56"/>
    <row r="580" ht="15.75" customHeight="1" s="56"/>
    <row r="581" ht="15.75" customHeight="1" s="56"/>
    <row r="582" ht="15.75" customHeight="1" s="56"/>
    <row r="583" ht="15.75" customHeight="1" s="56"/>
    <row r="584" ht="15.75" customHeight="1" s="56"/>
    <row r="585" ht="15.75" customHeight="1" s="56"/>
    <row r="586" ht="15.75" customHeight="1" s="56"/>
    <row r="587" ht="15.75" customHeight="1" s="56"/>
    <row r="588" ht="15.75" customHeight="1" s="56"/>
    <row r="589" ht="15.75" customHeight="1" s="56"/>
    <row r="590" ht="15.75" customHeight="1" s="56"/>
    <row r="591" ht="15.75" customHeight="1" s="56"/>
    <row r="592" ht="15.75" customHeight="1" s="56"/>
    <row r="593" ht="15.75" customHeight="1" s="56"/>
    <row r="594" ht="15.75" customHeight="1" s="56"/>
    <row r="595" ht="15.75" customHeight="1" s="56"/>
    <row r="596" ht="15.75" customHeight="1" s="56"/>
    <row r="597" ht="15.75" customHeight="1" s="56"/>
    <row r="598" ht="15.75" customHeight="1" s="56"/>
    <row r="599" ht="15.75" customHeight="1" s="56"/>
    <row r="600" ht="15.75" customHeight="1" s="56"/>
    <row r="601" ht="15.75" customHeight="1" s="56"/>
    <row r="602" ht="15.75" customHeight="1" s="56"/>
    <row r="603" ht="15.75" customHeight="1" s="56"/>
    <row r="604" ht="15.75" customHeight="1" s="56"/>
    <row r="605" ht="15.75" customHeight="1" s="56"/>
    <row r="606" ht="15.75" customHeight="1" s="56"/>
    <row r="607" ht="15.75" customHeight="1" s="56"/>
    <row r="608" ht="15.75" customHeight="1" s="56"/>
    <row r="609" ht="15.75" customHeight="1" s="56"/>
    <row r="610" ht="15.75" customHeight="1" s="56"/>
    <row r="611" ht="15.75" customHeight="1" s="56"/>
    <row r="612" ht="15.75" customHeight="1" s="56"/>
    <row r="613" ht="15.75" customHeight="1" s="56"/>
    <row r="614" ht="15.75" customHeight="1" s="56"/>
    <row r="615" ht="15.75" customHeight="1" s="56"/>
    <row r="616" ht="15.75" customHeight="1" s="56"/>
    <row r="617" ht="15.75" customHeight="1" s="56"/>
    <row r="618" ht="15.75" customHeight="1" s="56"/>
    <row r="619" ht="15.75" customHeight="1" s="56"/>
    <row r="620" ht="15.75" customHeight="1" s="56"/>
    <row r="621" ht="15.75" customHeight="1" s="56"/>
    <row r="622" ht="15.75" customHeight="1" s="56"/>
    <row r="623" ht="15.75" customHeight="1" s="56"/>
    <row r="624" ht="15.75" customHeight="1" s="56"/>
    <row r="625" ht="15.75" customHeight="1" s="56"/>
    <row r="626" ht="15.75" customHeight="1" s="56"/>
    <row r="627" ht="15.75" customHeight="1" s="56"/>
    <row r="628" ht="15.75" customHeight="1" s="56"/>
    <row r="629" ht="15.75" customHeight="1" s="56"/>
    <row r="630" ht="15.75" customHeight="1" s="56"/>
    <row r="631" ht="15.75" customHeight="1" s="56"/>
    <row r="632" ht="15.75" customHeight="1" s="56"/>
    <row r="633" ht="15.75" customHeight="1" s="56"/>
    <row r="634" ht="15.75" customHeight="1" s="56"/>
    <row r="635" ht="15.75" customHeight="1" s="56"/>
    <row r="636" ht="15.75" customHeight="1" s="56"/>
    <row r="637" ht="15.75" customHeight="1" s="56"/>
    <row r="638" ht="15.75" customHeight="1" s="56"/>
    <row r="639" ht="15.75" customHeight="1" s="56"/>
    <row r="640" ht="15.75" customHeight="1" s="56"/>
    <row r="641" ht="15.75" customHeight="1" s="56"/>
    <row r="642" ht="15.75" customHeight="1" s="56"/>
    <row r="643" ht="15.75" customHeight="1" s="56"/>
    <row r="644" ht="15.75" customHeight="1" s="56"/>
    <row r="645" ht="15.75" customHeight="1" s="56"/>
    <row r="646" ht="15.75" customHeight="1" s="56"/>
    <row r="647" ht="15.75" customHeight="1" s="56"/>
    <row r="648" ht="15.75" customHeight="1" s="56"/>
    <row r="649" ht="15.75" customHeight="1" s="56"/>
    <row r="650" ht="15.75" customHeight="1" s="56"/>
    <row r="651" ht="15.75" customHeight="1" s="56"/>
    <row r="652" ht="15.75" customHeight="1" s="56"/>
    <row r="653" ht="15.75" customHeight="1" s="56"/>
    <row r="654" ht="15.75" customHeight="1" s="56"/>
    <row r="655" ht="15.75" customHeight="1" s="56"/>
    <row r="656" ht="15.75" customHeight="1" s="56"/>
    <row r="657" ht="15.75" customHeight="1" s="56"/>
    <row r="658" ht="15.75" customHeight="1" s="56"/>
    <row r="659" ht="15.75" customHeight="1" s="56"/>
    <row r="660" ht="15.75" customHeight="1" s="56"/>
    <row r="661" ht="15.75" customHeight="1" s="56"/>
    <row r="662" ht="15.75" customHeight="1" s="56"/>
    <row r="663" ht="15.75" customHeight="1" s="56"/>
    <row r="664" ht="15.75" customHeight="1" s="56"/>
    <row r="665" ht="15.75" customHeight="1" s="56"/>
    <row r="666" ht="15.75" customHeight="1" s="56"/>
    <row r="667" ht="15.75" customHeight="1" s="56"/>
    <row r="668" ht="15.75" customHeight="1" s="56"/>
    <row r="669" ht="15.75" customHeight="1" s="56"/>
    <row r="670" ht="15.75" customHeight="1" s="56"/>
    <row r="671" ht="15.75" customHeight="1" s="56"/>
    <row r="672" ht="15.75" customHeight="1" s="56"/>
    <row r="673" ht="15.75" customHeight="1" s="56"/>
    <row r="674" ht="15.75" customHeight="1" s="56"/>
    <row r="675" ht="15.75" customHeight="1" s="56"/>
    <row r="676" ht="15.75" customHeight="1" s="56"/>
    <row r="677" ht="15.75" customHeight="1" s="56"/>
    <row r="678" ht="15.75" customHeight="1" s="56"/>
    <row r="679" ht="15.75" customHeight="1" s="56"/>
    <row r="680" ht="15.75" customHeight="1" s="56"/>
    <row r="681" ht="15.75" customHeight="1" s="56"/>
    <row r="682" ht="15.75" customHeight="1" s="56"/>
    <row r="683" ht="15.75" customHeight="1" s="56"/>
    <row r="684" ht="15.75" customHeight="1" s="56"/>
    <row r="685" ht="15.75" customHeight="1" s="56"/>
    <row r="686" ht="15.75" customHeight="1" s="56"/>
    <row r="687" ht="15.75" customHeight="1" s="56"/>
    <row r="688" ht="15.75" customHeight="1" s="56"/>
    <row r="689" ht="15.75" customHeight="1" s="56"/>
    <row r="690" ht="15.75" customHeight="1" s="56"/>
    <row r="691" ht="15.75" customHeight="1" s="56"/>
    <row r="692" ht="15.75" customHeight="1" s="56"/>
    <row r="693" ht="15.75" customHeight="1" s="56"/>
    <row r="694" ht="15.75" customHeight="1" s="56"/>
    <row r="695" ht="15.75" customHeight="1" s="56"/>
    <row r="696" ht="15.75" customHeight="1" s="56"/>
    <row r="697" ht="15.75" customHeight="1" s="56"/>
    <row r="698" ht="15.75" customHeight="1" s="56"/>
    <row r="699" ht="15.75" customHeight="1" s="56"/>
    <row r="700" ht="15.75" customHeight="1" s="56"/>
    <row r="701" ht="15.75" customHeight="1" s="56"/>
    <row r="702" ht="15.75" customHeight="1" s="56"/>
    <row r="703" ht="15.75" customHeight="1" s="56"/>
    <row r="704" ht="15.75" customHeight="1" s="56"/>
    <row r="705" ht="15.75" customHeight="1" s="56"/>
    <row r="706" ht="15.75" customHeight="1" s="56"/>
    <row r="707" ht="15.75" customHeight="1" s="56"/>
    <row r="708" ht="15.75" customHeight="1" s="56"/>
    <row r="709" ht="15.75" customHeight="1" s="56"/>
    <row r="710" ht="15.75" customHeight="1" s="56"/>
    <row r="711" ht="15.75" customHeight="1" s="56"/>
    <row r="712" ht="15.75" customHeight="1" s="56"/>
    <row r="713" ht="15.75" customHeight="1" s="56"/>
    <row r="714" ht="15.75" customHeight="1" s="56"/>
    <row r="715" ht="15.75" customHeight="1" s="56"/>
    <row r="716" ht="15.75" customHeight="1" s="56"/>
    <row r="717" ht="15.75" customHeight="1" s="56"/>
    <row r="718" ht="15.75" customHeight="1" s="56"/>
    <row r="719" ht="15.75" customHeight="1" s="56"/>
    <row r="720" ht="15.75" customHeight="1" s="56"/>
    <row r="721" ht="15.75" customHeight="1" s="56"/>
    <row r="722" ht="15.75" customHeight="1" s="56"/>
    <row r="723" ht="15.75" customHeight="1" s="56"/>
    <row r="724" ht="15.75" customHeight="1" s="56"/>
    <row r="725" ht="15.75" customHeight="1" s="56"/>
    <row r="726" ht="15.75" customHeight="1" s="56"/>
    <row r="727" ht="15.75" customHeight="1" s="56"/>
    <row r="728" ht="15.75" customHeight="1" s="56"/>
    <row r="729" ht="15.75" customHeight="1" s="56"/>
    <row r="730" ht="15.75" customHeight="1" s="56"/>
    <row r="731" ht="15.75" customHeight="1" s="56"/>
    <row r="732" ht="15.75" customHeight="1" s="56"/>
    <row r="733" ht="15.75" customHeight="1" s="56"/>
    <row r="734" ht="15.75" customHeight="1" s="56"/>
    <row r="735" ht="15.75" customHeight="1" s="56"/>
    <row r="736" ht="15.75" customHeight="1" s="56"/>
    <row r="737" ht="15.75" customHeight="1" s="56"/>
    <row r="738" ht="15.75" customHeight="1" s="56"/>
    <row r="739" ht="15.75" customHeight="1" s="56"/>
    <row r="740" ht="15.75" customHeight="1" s="56"/>
    <row r="741" ht="15.75" customHeight="1" s="56"/>
    <row r="742" ht="15.75" customHeight="1" s="56"/>
    <row r="743" ht="15.75" customHeight="1" s="56"/>
    <row r="744" ht="15.75" customHeight="1" s="56"/>
    <row r="745" ht="15.75" customHeight="1" s="56"/>
    <row r="746" ht="15.75" customHeight="1" s="56"/>
    <row r="747" ht="15.75" customHeight="1" s="56"/>
    <row r="748" ht="15.75" customHeight="1" s="56"/>
    <row r="749" ht="15.75" customHeight="1" s="56"/>
    <row r="750" ht="15.75" customHeight="1" s="56"/>
    <row r="751" ht="15.75" customHeight="1" s="56"/>
    <row r="752" ht="15.75" customHeight="1" s="56"/>
    <row r="753" ht="15.75" customHeight="1" s="56"/>
    <row r="754" ht="15.75" customHeight="1" s="56"/>
    <row r="755" ht="15.75" customHeight="1" s="56"/>
    <row r="756" ht="15.75" customHeight="1" s="56"/>
    <row r="757" ht="15.75" customHeight="1" s="56"/>
    <row r="758" ht="15.75" customHeight="1" s="56"/>
    <row r="759" ht="15.75" customHeight="1" s="56"/>
    <row r="760" ht="15.75" customHeight="1" s="56"/>
    <row r="761" ht="15.75" customHeight="1" s="56"/>
    <row r="762" ht="15.75" customHeight="1" s="56"/>
    <row r="763" ht="15.75" customHeight="1" s="56"/>
    <row r="764" ht="15.75" customHeight="1" s="56"/>
    <row r="765" ht="15.75" customHeight="1" s="56"/>
    <row r="766" ht="15.75" customHeight="1" s="56"/>
    <row r="767" ht="15.75" customHeight="1" s="56"/>
    <row r="768" ht="15.75" customHeight="1" s="56"/>
    <row r="769" ht="15.75" customHeight="1" s="56"/>
    <row r="770" ht="15.75" customHeight="1" s="56"/>
    <row r="771" ht="15.75" customHeight="1" s="56"/>
    <row r="772" ht="15.75" customHeight="1" s="56"/>
    <row r="773" ht="15.75" customHeight="1" s="56"/>
    <row r="774" ht="15.75" customHeight="1" s="56"/>
    <row r="775" ht="15.75" customHeight="1" s="56"/>
    <row r="776" ht="15.75" customHeight="1" s="56"/>
    <row r="777" ht="15.75" customHeight="1" s="56"/>
    <row r="778" ht="15.75" customHeight="1" s="56"/>
    <row r="779" ht="15.75" customHeight="1" s="56"/>
    <row r="780" ht="15.75" customHeight="1" s="56"/>
    <row r="781" ht="15.75" customHeight="1" s="56"/>
    <row r="782" ht="15.75" customHeight="1" s="56"/>
    <row r="783" ht="15.75" customHeight="1" s="56"/>
    <row r="784" ht="15.75" customHeight="1" s="56"/>
    <row r="785" ht="15.75" customHeight="1" s="56"/>
    <row r="786" ht="15.75" customHeight="1" s="56"/>
    <row r="787" ht="15.75" customHeight="1" s="56"/>
    <row r="788" ht="15.75" customHeight="1" s="56"/>
    <row r="789" ht="15.75" customHeight="1" s="56"/>
    <row r="790" ht="15.75" customHeight="1" s="56"/>
    <row r="791" ht="15.75" customHeight="1" s="56"/>
    <row r="792" ht="15.75" customHeight="1" s="56"/>
    <row r="793" ht="15.75" customHeight="1" s="56"/>
    <row r="794" ht="15.75" customHeight="1" s="56"/>
    <row r="795" ht="15.75" customHeight="1" s="56"/>
    <row r="796" ht="15.75" customHeight="1" s="56"/>
    <row r="797" ht="15.75" customHeight="1" s="56"/>
    <row r="798" ht="15.75" customHeight="1" s="56"/>
    <row r="799" ht="15.75" customHeight="1" s="56"/>
    <row r="800" ht="15.75" customHeight="1" s="56"/>
    <row r="801" ht="15.75" customHeight="1" s="56"/>
    <row r="802" ht="15.75" customHeight="1" s="56"/>
    <row r="803" ht="15.75" customHeight="1" s="56"/>
    <row r="804" ht="15.75" customHeight="1" s="56"/>
    <row r="805" ht="15.75" customHeight="1" s="56"/>
    <row r="806" ht="15.75" customHeight="1" s="56"/>
    <row r="807" ht="15.75" customHeight="1" s="56"/>
    <row r="808" ht="15.75" customHeight="1" s="56"/>
    <row r="809" ht="15.75" customHeight="1" s="56"/>
    <row r="810" ht="15.75" customHeight="1" s="56"/>
    <row r="811" ht="15.75" customHeight="1" s="56"/>
    <row r="812" ht="15.75" customHeight="1" s="56"/>
    <row r="813" ht="15.75" customHeight="1" s="56"/>
    <row r="814" ht="15.75" customHeight="1" s="56"/>
    <row r="815" ht="15.75" customHeight="1" s="56"/>
    <row r="816" ht="15.75" customHeight="1" s="56"/>
    <row r="817" ht="15.75" customHeight="1" s="56"/>
    <row r="818" ht="15.75" customHeight="1" s="56"/>
    <row r="819" ht="15.75" customHeight="1" s="56"/>
    <row r="820" ht="15.75" customHeight="1" s="56"/>
    <row r="821" ht="15.75" customHeight="1" s="56"/>
    <row r="822" ht="15.75" customHeight="1" s="56"/>
    <row r="823" ht="15.75" customHeight="1" s="56"/>
    <row r="824" ht="15.75" customHeight="1" s="56"/>
    <row r="825" ht="15.75" customHeight="1" s="56"/>
    <row r="826" ht="15.75" customHeight="1" s="56"/>
    <row r="827" ht="15.75" customHeight="1" s="56"/>
    <row r="828" ht="15.75" customHeight="1" s="56"/>
    <row r="829" ht="15.75" customHeight="1" s="56"/>
    <row r="830" ht="15.75" customHeight="1" s="56"/>
    <row r="831" ht="15.75" customHeight="1" s="56"/>
    <row r="832" ht="15.75" customHeight="1" s="56"/>
    <row r="833" ht="15.75" customHeight="1" s="56"/>
    <row r="834" ht="15.75" customHeight="1" s="56"/>
    <row r="835" ht="15.75" customHeight="1" s="56"/>
    <row r="836" ht="15.75" customHeight="1" s="56"/>
    <row r="837" ht="15.75" customHeight="1" s="56"/>
    <row r="838" ht="15.75" customHeight="1" s="56"/>
    <row r="839" ht="15.75" customHeight="1" s="56"/>
    <row r="840" ht="15.75" customHeight="1" s="56"/>
    <row r="841" ht="15.75" customHeight="1" s="56"/>
    <row r="842" ht="15.75" customHeight="1" s="56"/>
    <row r="843" ht="15.75" customHeight="1" s="56"/>
    <row r="844" ht="15.75" customHeight="1" s="56"/>
    <row r="845" ht="15.75" customHeight="1" s="56"/>
    <row r="846" ht="15.75" customHeight="1" s="56"/>
    <row r="847" ht="15.75" customHeight="1" s="56"/>
    <row r="848" ht="15.75" customHeight="1" s="56"/>
    <row r="849" ht="15.75" customHeight="1" s="56"/>
    <row r="850" ht="15.75" customHeight="1" s="56"/>
    <row r="851" ht="15.75" customHeight="1" s="56"/>
    <row r="852" ht="15.75" customHeight="1" s="56"/>
    <row r="853" ht="15.75" customHeight="1" s="56"/>
    <row r="854" ht="15.75" customHeight="1" s="56"/>
    <row r="855" ht="15.75" customHeight="1" s="56"/>
    <row r="856" ht="15.75" customHeight="1" s="56"/>
    <row r="857" ht="15.75" customHeight="1" s="56"/>
    <row r="858" ht="15.75" customHeight="1" s="56"/>
    <row r="859" ht="15.75" customHeight="1" s="56"/>
    <row r="860" ht="15.75" customHeight="1" s="56"/>
    <row r="861" ht="15.75" customHeight="1" s="56"/>
    <row r="862" ht="15.75" customHeight="1" s="56"/>
    <row r="863" ht="15.75" customHeight="1" s="56"/>
    <row r="864" ht="15.75" customHeight="1" s="56"/>
    <row r="865" ht="15.75" customHeight="1" s="56"/>
    <row r="866" ht="15.75" customHeight="1" s="56"/>
    <row r="867" ht="15.75" customHeight="1" s="56"/>
    <row r="868" ht="15.75" customHeight="1" s="56"/>
    <row r="869" ht="15.75" customHeight="1" s="56"/>
    <row r="870" ht="15.75" customHeight="1" s="56"/>
    <row r="871" ht="15.75" customHeight="1" s="56"/>
    <row r="872" ht="15.75" customHeight="1" s="56"/>
    <row r="873" ht="15.75" customHeight="1" s="56"/>
    <row r="874" ht="15.75" customHeight="1" s="56"/>
    <row r="875" ht="15.75" customHeight="1" s="56"/>
    <row r="876" ht="15.75" customHeight="1" s="56"/>
    <row r="877" ht="15.75" customHeight="1" s="56"/>
    <row r="878" ht="15.75" customHeight="1" s="56"/>
    <row r="879" ht="15.75" customHeight="1" s="56"/>
    <row r="880" ht="15.75" customHeight="1" s="56"/>
    <row r="881" ht="15.75" customHeight="1" s="56"/>
    <row r="882" ht="15.75" customHeight="1" s="56"/>
    <row r="883" ht="15.75" customHeight="1" s="56"/>
    <row r="884" ht="15.75" customHeight="1" s="56"/>
    <row r="885" ht="15.75" customHeight="1" s="56"/>
    <row r="886" ht="15.75" customHeight="1" s="56"/>
    <row r="887" ht="15.75" customHeight="1" s="56"/>
    <row r="888" ht="15.75" customHeight="1" s="56"/>
    <row r="889" ht="15.75" customHeight="1" s="56"/>
    <row r="890" ht="15.75" customHeight="1" s="56"/>
    <row r="891" ht="15.75" customHeight="1" s="56"/>
    <row r="892" ht="15.75" customHeight="1" s="56"/>
    <row r="893" ht="15.75" customHeight="1" s="56"/>
    <row r="894" ht="15.75" customHeight="1" s="56"/>
    <row r="895" ht="15.75" customHeight="1" s="56"/>
    <row r="896" ht="15.75" customHeight="1" s="56"/>
    <row r="897" ht="15.75" customHeight="1" s="56"/>
    <row r="898" ht="15.75" customHeight="1" s="56"/>
    <row r="899" ht="15.75" customHeight="1" s="56"/>
    <row r="900" ht="15.75" customHeight="1" s="56"/>
    <row r="901" ht="15.75" customHeight="1" s="56"/>
    <row r="902" ht="15.75" customHeight="1" s="56"/>
    <row r="903" ht="15.75" customHeight="1" s="56"/>
    <row r="904" ht="15.75" customHeight="1" s="56"/>
    <row r="905" ht="15.75" customHeight="1" s="56"/>
    <row r="906" ht="15.75" customHeight="1" s="56"/>
    <row r="907" ht="15.75" customHeight="1" s="56"/>
    <row r="908" ht="15.75" customHeight="1" s="56"/>
    <row r="909" ht="15.75" customHeight="1" s="56"/>
    <row r="910" ht="15.75" customHeight="1" s="56"/>
    <row r="911" ht="15.75" customHeight="1" s="56"/>
    <row r="912" ht="15.75" customHeight="1" s="56"/>
    <row r="913" ht="15.75" customHeight="1" s="56"/>
    <row r="914" ht="15.75" customHeight="1" s="56"/>
    <row r="915" ht="15.75" customHeight="1" s="56"/>
    <row r="916" ht="15.75" customHeight="1" s="56"/>
    <row r="917" ht="15.75" customHeight="1" s="56"/>
    <row r="918" ht="15.75" customHeight="1" s="56"/>
    <row r="919" ht="15.75" customHeight="1" s="56"/>
    <row r="920" ht="15.75" customHeight="1" s="56"/>
    <row r="921" ht="15.75" customHeight="1" s="56"/>
    <row r="922" ht="15.75" customHeight="1" s="56"/>
    <row r="923" ht="15.75" customHeight="1" s="56"/>
    <row r="924" ht="15.75" customHeight="1" s="56"/>
    <row r="925" ht="15.75" customHeight="1" s="56"/>
    <row r="926" ht="15.75" customHeight="1" s="56"/>
    <row r="927" ht="15.75" customHeight="1" s="56"/>
    <row r="928" ht="15.75" customHeight="1" s="56"/>
    <row r="929" ht="15.75" customHeight="1" s="56"/>
    <row r="930" ht="15.75" customHeight="1" s="56"/>
    <row r="931" ht="15.75" customHeight="1" s="56"/>
    <row r="932" ht="15.75" customHeight="1" s="56"/>
    <row r="933" ht="15.75" customHeight="1" s="56"/>
    <row r="934" ht="15.75" customHeight="1" s="56"/>
    <row r="935" ht="15.75" customHeight="1" s="56"/>
    <row r="936" ht="15.75" customHeight="1" s="56"/>
    <row r="937" ht="15.75" customHeight="1" s="56"/>
    <row r="938" ht="15.75" customHeight="1" s="56"/>
    <row r="939" ht="15.75" customHeight="1" s="56"/>
    <row r="940" ht="15.75" customHeight="1" s="56"/>
    <row r="941" ht="15.75" customHeight="1" s="56"/>
    <row r="942" ht="15.75" customHeight="1" s="56"/>
    <row r="943" ht="15.75" customHeight="1" s="56"/>
    <row r="944" ht="15.75" customHeight="1" s="56"/>
    <row r="945" ht="15.75" customHeight="1" s="56"/>
    <row r="946" ht="15.75" customHeight="1" s="56"/>
    <row r="947" ht="15.75" customHeight="1" s="56"/>
    <row r="948" ht="15.75" customHeight="1" s="56"/>
    <row r="949" ht="15.75" customHeight="1" s="56"/>
    <row r="950" ht="15.75" customHeight="1" s="56"/>
    <row r="951" ht="15.75" customHeight="1" s="56"/>
    <row r="952" ht="15.75" customHeight="1" s="56"/>
    <row r="953" ht="15.75" customHeight="1" s="56"/>
    <row r="954" ht="15.75" customHeight="1" s="56"/>
    <row r="955" ht="15.75" customHeight="1" s="56"/>
    <row r="956" ht="15.75" customHeight="1" s="56"/>
    <row r="957" ht="15.75" customHeight="1" s="56"/>
    <row r="958" ht="15.75" customHeight="1" s="56"/>
    <row r="959" ht="15.75" customHeight="1" s="56"/>
    <row r="960" ht="15.75" customHeight="1" s="56"/>
    <row r="961" ht="15.75" customHeight="1" s="56"/>
    <row r="962" ht="15.75" customHeight="1" s="56"/>
    <row r="963" ht="15.75" customHeight="1" s="56"/>
    <row r="964" ht="15.75" customHeight="1" s="56"/>
    <row r="965" ht="15.75" customHeight="1" s="56"/>
    <row r="966" ht="15.75" customHeight="1" s="56"/>
    <row r="967" ht="15.75" customHeight="1" s="56"/>
    <row r="968" ht="15.75" customHeight="1" s="56"/>
    <row r="969" ht="15.75" customHeight="1" s="56"/>
    <row r="970" ht="15.75" customHeight="1" s="56"/>
    <row r="971" ht="15.75" customHeight="1" s="56"/>
    <row r="972" ht="15.75" customHeight="1" s="56"/>
    <row r="973" ht="15.75" customHeight="1" s="56"/>
    <row r="974" ht="15.75" customHeight="1" s="56"/>
    <row r="975" ht="15.75" customHeight="1" s="56"/>
    <row r="976" ht="15.75" customHeight="1" s="56"/>
    <row r="977" ht="15.75" customHeight="1" s="56"/>
    <row r="978" ht="15.75" customHeight="1" s="56"/>
    <row r="979" ht="15.75" customHeight="1" s="56"/>
    <row r="980" ht="15.75" customHeight="1" s="56"/>
    <row r="981" ht="15.75" customHeight="1" s="56"/>
    <row r="982" ht="15.75" customHeight="1" s="56"/>
    <row r="983" ht="15.75" customHeight="1" s="56"/>
    <row r="984" ht="15.75" customHeight="1" s="56"/>
    <row r="985" ht="15.75" customHeight="1" s="56"/>
    <row r="986" ht="15.75" customHeight="1" s="56"/>
    <row r="987" ht="15.75" customHeight="1" s="56"/>
    <row r="988" ht="15.75" customHeight="1" s="56"/>
    <row r="989" ht="15.75" customHeight="1" s="56"/>
    <row r="990" ht="15.75" customHeight="1" s="56"/>
    <row r="991" ht="15.75" customHeight="1" s="56"/>
    <row r="992" ht="15.75" customHeight="1" s="56"/>
    <row r="993" ht="15.75" customHeight="1" s="56"/>
    <row r="994" ht="15.75" customHeight="1" s="56"/>
    <row r="995" ht="15.75" customHeight="1" s="56"/>
    <row r="996" ht="15.75" customHeight="1" s="56"/>
    <row r="997" ht="15.75" customHeight="1" s="56"/>
    <row r="998" ht="15.75" customHeight="1" s="56"/>
    <row r="999" ht="15.75" customHeight="1" s="56"/>
    <row r="1000" ht="15.75" customHeight="1" s="56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2024-03-20T14:30:55Z</dcterms:created>
  <dcterms:modified xmlns:dcterms="http://purl.org/dc/terms/" xmlns:xsi="http://www.w3.org/2001/XMLSchema-instance" xsi:type="dcterms:W3CDTF">2024-03-21T16:32:52Z</dcterms:modified>
</cp:coreProperties>
</file>