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2024" sheetId="2" r:id="rId5"/>
  </sheets>
  <definedNames>
    <definedName hidden="1" localSheetId="1" name="_xlnm._FilterDatabase">'2024'!$A$2:$U$242</definedName>
  </definedNames>
  <calcPr/>
</workbook>
</file>

<file path=xl/sharedStrings.xml><?xml version="1.0" encoding="utf-8"?>
<sst xmlns="http://schemas.openxmlformats.org/spreadsheetml/2006/main" count="520" uniqueCount="248">
  <si>
    <t>Profit</t>
  </si>
  <si>
    <t>BUY trades</t>
  </si>
  <si>
    <t>Loss</t>
  </si>
  <si>
    <t>SELL trades</t>
  </si>
  <si>
    <t>Net Change</t>
  </si>
  <si>
    <t>Profit factor</t>
  </si>
  <si>
    <t>Profit %</t>
  </si>
  <si>
    <t>Profit % / month</t>
  </si>
  <si>
    <t>Completed trades</t>
  </si>
  <si>
    <t>Profit trades</t>
  </si>
  <si>
    <t>Profit trades %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</si>
  <si>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</si>
  <si>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</si>
  <si>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</si>
  <si>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</si>
  <si>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</si>
  <si>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</si>
  <si>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</si>
  <si>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</si>
  <si>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No. of Trades in 4 years</t>
  </si>
  <si>
    <t>Profit Factor</t>
  </si>
  <si>
    <t>BUY</t>
  </si>
  <si>
    <t>SELL</t>
  </si>
  <si>
    <t>CLOSE BUY</t>
  </si>
  <si>
    <t>CLOSE SELL</t>
  </si>
  <si>
    <t>Open</t>
  </si>
  <si>
    <t>Price</t>
  </si>
  <si>
    <t>Close</t>
  </si>
  <si>
    <t>Current</t>
  </si>
  <si>
    <t>Status</t>
  </si>
  <si>
    <t>Result</t>
  </si>
  <si>
    <t>Profit Trades</t>
  </si>
  <si>
    <t>Change</t>
  </si>
  <si>
    <t>Shares</t>
  </si>
  <si>
    <t>DXCM</t>
  </si>
  <si>
    <t>CAG</t>
  </si>
  <si>
    <t>CDNS</t>
  </si>
  <si>
    <t>WRB</t>
  </si>
  <si>
    <t>DVA</t>
  </si>
  <si>
    <t>MTCH</t>
  </si>
  <si>
    <t>DGX</t>
  </si>
  <si>
    <t>D</t>
  </si>
  <si>
    <t>ES</t>
  </si>
  <si>
    <t>EVRG</t>
  </si>
  <si>
    <t>LHX</t>
  </si>
  <si>
    <t>OXY</t>
  </si>
  <si>
    <t>PEG</t>
  </si>
  <si>
    <t>ECL</t>
  </si>
  <si>
    <t>EXC</t>
  </si>
  <si>
    <t>FE</t>
  </si>
  <si>
    <t>GL</t>
  </si>
  <si>
    <t>MS</t>
  </si>
  <si>
    <t>EMN</t>
  </si>
  <si>
    <t>IFF</t>
  </si>
  <si>
    <t>JKHY</t>
  </si>
  <si>
    <t>JNJ</t>
  </si>
  <si>
    <t>PEP</t>
  </si>
  <si>
    <t>WAT</t>
  </si>
  <si>
    <t>DIS</t>
  </si>
  <si>
    <t>AMGN</t>
  </si>
  <si>
    <t>BDX</t>
  </si>
  <si>
    <t>CFG</t>
  </si>
  <si>
    <t>DVN</t>
  </si>
  <si>
    <t>PAYC</t>
  </si>
  <si>
    <t>APD</t>
  </si>
  <si>
    <t>BAC</t>
  </si>
  <si>
    <t>BKNG</t>
  </si>
  <si>
    <t>OGN</t>
  </si>
  <si>
    <t>WDAY</t>
  </si>
  <si>
    <t>CMI</t>
  </si>
  <si>
    <t>LIN</t>
  </si>
  <si>
    <t>MMM</t>
  </si>
  <si>
    <t>ROST</t>
  </si>
  <si>
    <t>SPG</t>
  </si>
  <si>
    <t>NTRS</t>
  </si>
  <si>
    <t>AXON</t>
  </si>
  <si>
    <t>WDC</t>
  </si>
  <si>
    <t>AON</t>
  </si>
  <si>
    <t>XOM</t>
  </si>
  <si>
    <t>GD</t>
  </si>
  <si>
    <t>NWS</t>
  </si>
  <si>
    <t>WST</t>
  </si>
  <si>
    <t>MKTX</t>
  </si>
  <si>
    <t>HOLX</t>
  </si>
  <si>
    <t>MRNA</t>
  </si>
  <si>
    <t>PANW</t>
  </si>
  <si>
    <t>NOC</t>
  </si>
  <si>
    <t>ANET</t>
  </si>
  <si>
    <t>PM</t>
  </si>
  <si>
    <t>CAH</t>
  </si>
  <si>
    <t>CHD</t>
  </si>
  <si>
    <t>MO</t>
  </si>
  <si>
    <t>NKE</t>
  </si>
  <si>
    <t>RCL</t>
  </si>
  <si>
    <t>BEN</t>
  </si>
  <si>
    <t>FIS</t>
  </si>
  <si>
    <t>BBY</t>
  </si>
  <si>
    <t>LVS</t>
  </si>
  <si>
    <t>MOH</t>
  </si>
  <si>
    <t>BG</t>
  </si>
  <si>
    <t>ICE</t>
  </si>
  <si>
    <t>TDY</t>
  </si>
  <si>
    <t>ACN</t>
  </si>
  <si>
    <t>ADBE</t>
  </si>
  <si>
    <t>ABNB</t>
  </si>
  <si>
    <t>UNP</t>
  </si>
  <si>
    <t>SBAC</t>
  </si>
  <si>
    <t>INTC</t>
  </si>
  <si>
    <t>NRG</t>
  </si>
  <si>
    <t>SLB</t>
  </si>
  <si>
    <t>CRWD</t>
  </si>
  <si>
    <t>HAL</t>
  </si>
  <si>
    <t>PRU</t>
  </si>
  <si>
    <t>AAPL</t>
  </si>
  <si>
    <t>MAR</t>
  </si>
  <si>
    <t>VRSN</t>
  </si>
  <si>
    <t>ABBV</t>
  </si>
  <si>
    <t>PAYX</t>
  </si>
  <si>
    <t>TRMB</t>
  </si>
  <si>
    <t>CVX</t>
  </si>
  <si>
    <t>CRM</t>
  </si>
  <si>
    <t>MRK</t>
  </si>
  <si>
    <t>CCI</t>
  </si>
  <si>
    <t>CMCSA</t>
  </si>
  <si>
    <t>DLR</t>
  </si>
  <si>
    <t>LMT</t>
  </si>
  <si>
    <t>VTR</t>
  </si>
  <si>
    <t>WFC</t>
  </si>
  <si>
    <t>EXR</t>
  </si>
  <si>
    <t>GIS</t>
  </si>
  <si>
    <t>SYF</t>
  </si>
  <si>
    <t>NEE</t>
  </si>
  <si>
    <t>CPB</t>
  </si>
  <si>
    <t>PG</t>
  </si>
  <si>
    <t>VLO</t>
  </si>
  <si>
    <t>GOOGL</t>
  </si>
  <si>
    <t>CME</t>
  </si>
  <si>
    <t>SNPS</t>
  </si>
  <si>
    <t>AIZ</t>
  </si>
  <si>
    <t>COST</t>
  </si>
  <si>
    <t>GOOG</t>
  </si>
  <si>
    <t>VRTX</t>
  </si>
  <si>
    <t>ZS</t>
  </si>
  <si>
    <t>UNH</t>
  </si>
  <si>
    <t>CNC</t>
  </si>
  <si>
    <t>IBM</t>
  </si>
  <si>
    <t>NUE</t>
  </si>
  <si>
    <t>ADSK</t>
  </si>
  <si>
    <t>FDX</t>
  </si>
  <si>
    <t>NVDA</t>
  </si>
  <si>
    <t>BA</t>
  </si>
  <si>
    <t>BR</t>
  </si>
  <si>
    <t>C</t>
  </si>
  <si>
    <t>CTVA</t>
  </si>
  <si>
    <t>GS</t>
  </si>
  <si>
    <t>HWM</t>
  </si>
  <si>
    <t>IR</t>
  </si>
  <si>
    <t>MTB</t>
  </si>
  <si>
    <t>PNC</t>
  </si>
  <si>
    <t>STT</t>
  </si>
  <si>
    <t>TFX</t>
  </si>
  <si>
    <t>ZION</t>
  </si>
  <si>
    <t>BIIB</t>
  </si>
  <si>
    <t>BLK</t>
  </si>
  <si>
    <t>CSCO</t>
  </si>
  <si>
    <t>EXPE</t>
  </si>
  <si>
    <t>IDXX</t>
  </si>
  <si>
    <t>KEYS</t>
  </si>
  <si>
    <t>PPG</t>
  </si>
  <si>
    <t>PSA</t>
  </si>
  <si>
    <t>CLX</t>
  </si>
  <si>
    <t>DAL</t>
  </si>
  <si>
    <t>DOV</t>
  </si>
  <si>
    <t>EMR</t>
  </si>
  <si>
    <t>MAA</t>
  </si>
  <si>
    <t>PFE</t>
  </si>
  <si>
    <t>UAL</t>
  </si>
  <si>
    <t>PLD</t>
  </si>
  <si>
    <t>ALK</t>
  </si>
  <si>
    <t>BXP</t>
  </si>
  <si>
    <t>WMT</t>
  </si>
  <si>
    <t>AVGO</t>
  </si>
  <si>
    <t>GILD</t>
  </si>
  <si>
    <t>HRL</t>
  </si>
  <si>
    <t>KMB</t>
  </si>
  <si>
    <t>NWSA</t>
  </si>
  <si>
    <t>WMB</t>
  </si>
  <si>
    <t>PSX</t>
  </si>
  <si>
    <t>STLD</t>
  </si>
  <si>
    <t>MKC</t>
  </si>
  <si>
    <t>INCY</t>
  </si>
  <si>
    <t>KDP</t>
  </si>
  <si>
    <t>2024/01/10</t>
  </si>
  <si>
    <t>REGN</t>
  </si>
  <si>
    <t>2024/01/19</t>
  </si>
  <si>
    <t>KMX</t>
  </si>
  <si>
    <t>2024/01/29</t>
  </si>
  <si>
    <t>2024/01/11</t>
  </si>
  <si>
    <t>2024/01/17</t>
  </si>
  <si>
    <t>2024/01/08</t>
  </si>
  <si>
    <t>ADI</t>
  </si>
  <si>
    <t>2024/01/18</t>
  </si>
  <si>
    <t>ASML</t>
  </si>
  <si>
    <t>FDS</t>
  </si>
  <si>
    <t>LRCX</t>
  </si>
  <si>
    <t>MPWR</t>
  </si>
  <si>
    <t>2024/01/16</t>
  </si>
  <si>
    <t>CTAS</t>
  </si>
  <si>
    <t>2024/01/13</t>
  </si>
  <si>
    <t>IQV</t>
  </si>
  <si>
    <t>2024/01/22</t>
  </si>
  <si>
    <t>LOW</t>
  </si>
  <si>
    <t>PODD</t>
  </si>
  <si>
    <t>BX</t>
  </si>
  <si>
    <t>2024/01/25</t>
  </si>
  <si>
    <t>CBRE</t>
  </si>
  <si>
    <t>ENPH</t>
  </si>
  <si>
    <t>2024/01/23</t>
  </si>
  <si>
    <t>IRM</t>
  </si>
  <si>
    <t>NDSN</t>
  </si>
  <si>
    <t xml:space="preserve"> </t>
  </si>
  <si>
    <t>2024/02/06</t>
  </si>
  <si>
    <t>AIG</t>
  </si>
  <si>
    <t>2024/02/07</t>
  </si>
  <si>
    <t>2024/01/24</t>
  </si>
  <si>
    <t>MDLZ</t>
  </si>
  <si>
    <t>AEP</t>
  </si>
  <si>
    <t>2024/01/30</t>
  </si>
  <si>
    <t>2024/02/16</t>
  </si>
  <si>
    <t>2024/02/13</t>
  </si>
  <si>
    <t>2024/01/31</t>
  </si>
  <si>
    <t>2024/02/05</t>
  </si>
  <si>
    <t>HD</t>
  </si>
  <si>
    <t>2024/01/26</t>
  </si>
  <si>
    <t>LUV</t>
  </si>
  <si>
    <t>FICO</t>
  </si>
  <si>
    <t>2024/02/01</t>
  </si>
  <si>
    <t>2024/02/14</t>
  </si>
  <si>
    <t>2024/02/15</t>
  </si>
  <si>
    <t>2024/02/02</t>
  </si>
  <si>
    <t>2024/02/09</t>
  </si>
  <si>
    <t>GEN</t>
  </si>
  <si>
    <t>2024/02/08</t>
  </si>
  <si>
    <t>CCEP</t>
  </si>
  <si>
    <t>ZBH</t>
  </si>
  <si>
    <t>CTRA</t>
  </si>
  <si>
    <t>ED</t>
  </si>
  <si>
    <t>XRAY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</si>
</sst>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;\(#,##0.00\)"/>
    <numFmt numFmtId="165" formatCode="0.000"/>
    <numFmt numFmtId="166" formatCode="yyyy/m/d"/>
    <numFmt numFmtId="167" formatCode="dd&quot;/&quot;mm"/>
    <numFmt numFmtId="168" formatCode="0.0000"/>
    <numFmt numFmtId="169" formatCode="yyyy/m/d\ AM/PM\ h:mm:ss"/>
    <numFmt numFmtId="170" formatCode="yyyy/mm/dd"/>
  </numFmts>
  <fonts count="8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Consolas"/>
    </font>
    <font>
      <b/>
      <sz val="10.0"/>
      <color rgb="FFC53929"/>
      <name val="Arial"/>
    </font>
    <font>
      <b/>
      <sz val="10.0"/>
      <color rgb="FF0B804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2" fontId="1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2" numFmtId="0" xfId="0" applyFont="1"/>
    <xf borderId="1" fillId="3" fontId="3" numFmtId="1" xfId="0" applyAlignment="1" applyBorder="1" applyFill="1" applyFont="1" applyNumberFormat="1">
      <alignment horizontal="center"/>
    </xf>
    <xf borderId="1" fillId="3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4" xfId="0" applyFont="1" applyNumberFormat="1"/>
    <xf borderId="0" fillId="0" fontId="4" numFmtId="0" xfId="0" applyFont="1"/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1" fillId="3" fontId="2" numFmtId="0" xfId="0" applyBorder="1" applyFont="1"/>
    <xf borderId="1" fillId="3" fontId="2" numFmtId="1" xfId="0" applyAlignment="1" applyBorder="1" applyFont="1" applyNumberFormat="1">
      <alignment horizontal="center"/>
    </xf>
    <xf borderId="1" fillId="3" fontId="2" numFmtId="4" xfId="0" applyAlignment="1" applyBorder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1" fillId="4" fontId="6" numFmtId="167" xfId="0" applyAlignment="1" applyBorder="1" applyFont="1" applyNumberFormat="1">
      <alignment horizontal="center"/>
    </xf>
    <xf borderId="1" fillId="5" fontId="7" numFmtId="167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" fillId="7" fontId="3" numFmtId="164" xfId="0" applyAlignment="1" applyBorder="1" applyFill="1" applyFont="1" applyNumberFormat="1">
      <alignment horizontal="center"/>
    </xf>
    <xf borderId="0" fillId="0" fontId="2" numFmtId="1" xfId="0" applyAlignment="1" applyFont="1" applyNumberFormat="1">
      <alignment horizontal="center"/>
    </xf>
    <xf borderId="1" fillId="4" fontId="7" numFmtId="167" xfId="0" applyAlignment="1" applyBorder="1" applyFont="1" applyNumberFormat="1">
      <alignment horizontal="center"/>
    </xf>
    <xf borderId="1" fillId="5" fontId="6" numFmtId="167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8" fontId="3" numFmtId="164" xfId="0" applyAlignment="1" applyBorder="1" applyFill="1" applyFont="1" applyNumberFormat="1">
      <alignment horizontal="center"/>
    </xf>
    <xf borderId="0" fillId="0" fontId="2" numFmtId="168" xfId="0" applyFont="1" applyNumberFormat="1"/>
    <xf borderId="0" fillId="0" fontId="2" numFmtId="165" xfId="0" applyFont="1" applyNumberFormat="1"/>
    <xf borderId="1" fillId="3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2" numFmtId="167" xfId="0" applyAlignment="1" applyFont="1" applyNumberFormat="1">
      <alignment horizontal="center"/>
    </xf>
    <xf borderId="1" fillId="5" fontId="2" numFmtId="167" xfId="0" applyAlignment="1" applyBorder="1" applyFont="1" applyNumberFormat="1">
      <alignment horizontal="center"/>
    </xf>
    <xf borderId="1" fillId="9" fontId="2" numFmtId="0" xfId="0" applyAlignment="1" applyBorder="1" applyFill="1" applyFont="1">
      <alignment horizontal="center"/>
    </xf>
    <xf borderId="0" fillId="0" fontId="2" numFmtId="169" xfId="0" applyFont="1" applyNumberFormat="1"/>
    <xf borderId="0" fillId="0" fontId="5" numFmtId="170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 horizontal="center"/>
    </xf>
    <xf quotePrefix="1"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b/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1" t="s">
        <v>0</v>
      </c>
      <c r="B1" s="2">
        <f>sumif('2024'!Q:Q,"&gt;0")</f>
        <v>12146.01</v>
      </c>
      <c r="C1" s="1"/>
      <c r="D1" s="3" t="s">
        <v>1</v>
      </c>
      <c r="E1" s="4">
        <f>COUNTA('2024'!F:F)</f>
        <v>141</v>
      </c>
    </row>
    <row r="2" ht="15.0" customHeight="1">
      <c r="A2" s="5" t="s">
        <v>2</v>
      </c>
      <c r="B2" s="6">
        <f>sumif('2024'!Q:Q,"&lt;0")</f>
        <v>-1325.11</v>
      </c>
      <c r="C2" s="7"/>
      <c r="D2" s="3" t="s">
        <v>3</v>
      </c>
      <c r="E2" s="4">
        <f>counta('2024'!G:G)</f>
        <v>190</v>
      </c>
    </row>
    <row r="3">
      <c r="A3" s="8" t="s">
        <v>4</v>
      </c>
      <c r="B3" s="9">
        <f>B1+B2</f>
        <v>10820.9</v>
      </c>
      <c r="C3" s="3"/>
      <c r="D3" s="3"/>
      <c r="E3" s="3"/>
    </row>
    <row r="4">
      <c r="A4" s="8" t="s">
        <v>5</v>
      </c>
      <c r="B4" s="9">
        <f>B1/Abs(B2)</f>
        <v>9.166039046</v>
      </c>
      <c r="C4" s="3"/>
      <c r="D4" s="3"/>
      <c r="E4" s="3"/>
    </row>
    <row r="5">
      <c r="A5" s="3"/>
      <c r="B5" s="10"/>
      <c r="C5" s="3"/>
      <c r="D5" s="3"/>
      <c r="E5" s="3"/>
    </row>
    <row r="6">
      <c r="A6" s="8" t="s">
        <v>6</v>
      </c>
      <c r="B6" s="11">
        <f>B3/(1000*countif('2024'!O:O,"Completed"))</f>
        <v>0.03468237179</v>
      </c>
      <c r="C6" s="3"/>
      <c r="D6" s="3"/>
      <c r="E6" s="3"/>
    </row>
    <row r="7">
      <c r="A7" s="3" t="s">
        <v>7</v>
      </c>
      <c r="B7" s="12">
        <f>B6/(DATEDIF('2024'!G3, TODAY(), "D")/30)</f>
        <v>0.004954624542</v>
      </c>
      <c r="C7" s="3"/>
      <c r="D7" s="3"/>
      <c r="E7" s="3"/>
    </row>
    <row r="8">
      <c r="A8" s="3"/>
      <c r="B8" s="3"/>
      <c r="C8" s="3"/>
      <c r="D8" s="3"/>
      <c r="E8" s="3"/>
    </row>
    <row r="9">
      <c r="A9" s="3" t="s">
        <v>8</v>
      </c>
      <c r="B9" s="4">
        <f>countif('2024'!O:O,"Completed")</f>
        <v>312</v>
      </c>
      <c r="C9" s="3"/>
      <c r="D9" s="3"/>
      <c r="E9" s="3"/>
    </row>
    <row r="10">
      <c r="A10" s="3" t="s">
        <v>9</v>
      </c>
      <c r="B10" s="4">
        <f>COUNTIF('2024'!P:P,"Profit")</f>
        <v>224</v>
      </c>
      <c r="C10" s="3"/>
      <c r="D10" s="3"/>
      <c r="E10" s="3"/>
    </row>
    <row r="11">
      <c r="A11" s="8" t="s">
        <v>10</v>
      </c>
      <c r="B11" s="11">
        <f>B10/B9</f>
        <v>0.7179487179</v>
      </c>
      <c r="C11" s="3"/>
      <c r="D11" s="3"/>
      <c r="E11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 outlineLevelCol="1"/>
  <cols>
    <col customWidth="1" min="1" max="1" width="12.63"/>
    <col customWidth="1" min="2" max="9" width="12.63" outlineLevel="1"/>
    <col customWidth="1" min="23" max="23" width="14.63"/>
    <col customWidth="1" min="25" max="25" width="15.13"/>
    <col customWidth="1" min="26" max="26" width="15.63"/>
  </cols>
  <sheetData>
    <row r="1" ht="12.75" hidden="1" customHeight="1">
      <c r="A1" s="13" t="s">
        <v>11</v>
      </c>
      <c r="B1" s="14" t="s">
        <v>12</v>
      </c>
      <c r="C1" s="15" t="s">
        <v>13</v>
      </c>
      <c r="D1" s="15" t="s">
        <v>14</v>
      </c>
      <c r="E1" s="15" t="s">
        <v>15</v>
      </c>
      <c r="F1" s="16" t="s">
        <v>16</v>
      </c>
      <c r="G1" s="16" t="s">
        <v>17</v>
      </c>
      <c r="H1" s="16" t="s">
        <v>18</v>
      </c>
      <c r="I1" s="17"/>
      <c r="J1" s="18"/>
      <c r="K1" s="18"/>
      <c r="L1" s="19"/>
      <c r="M1" s="19"/>
      <c r="N1" s="20"/>
      <c r="O1" s="17"/>
      <c r="P1" s="17"/>
      <c r="Q1" s="21"/>
      <c r="R1" s="17"/>
      <c r="S1" s="17"/>
      <c r="T1" s="22">
        <v>1000.0</v>
      </c>
      <c r="U1" s="23"/>
      <c r="V1" s="13"/>
      <c r="W1" s="13"/>
      <c r="X1" s="13"/>
      <c r="Y1" s="13"/>
      <c r="Z1" s="13"/>
      <c r="AA1" s="24"/>
    </row>
    <row r="2" ht="12.75" customHeight="1">
      <c r="A2" s="13"/>
      <c r="B2" s="14" t="s">
        <v>19</v>
      </c>
      <c r="C2" s="15" t="s">
        <v>0</v>
      </c>
      <c r="D2" s="15" t="s">
        <v>6</v>
      </c>
      <c r="E2" s="15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25" t="s">
        <v>25</v>
      </c>
      <c r="K2" s="25" t="s">
        <v>26</v>
      </c>
      <c r="L2" s="26" t="s">
        <v>27</v>
      </c>
      <c r="M2" s="26" t="s">
        <v>26</v>
      </c>
      <c r="N2" s="27" t="s">
        <v>28</v>
      </c>
      <c r="O2" s="16" t="s">
        <v>29</v>
      </c>
      <c r="P2" s="16" t="s">
        <v>30</v>
      </c>
      <c r="Q2" s="28" t="s">
        <v>0</v>
      </c>
      <c r="R2" s="16" t="s">
        <v>31</v>
      </c>
      <c r="S2" s="16" t="s">
        <v>32</v>
      </c>
      <c r="T2" s="29" t="s">
        <v>33</v>
      </c>
      <c r="U2" s="23"/>
      <c r="V2" s="13"/>
      <c r="W2" s="13"/>
      <c r="X2" s="13"/>
      <c r="Y2" s="13"/>
      <c r="Z2" s="13"/>
      <c r="AA2" s="24"/>
    </row>
    <row r="3" ht="13.5" hidden="1" customHeight="1">
      <c r="A3" s="30" t="s">
        <v>34</v>
      </c>
      <c r="B3" s="31">
        <v>16.0</v>
      </c>
      <c r="C3" s="32">
        <v>105.058</v>
      </c>
      <c r="D3" s="32">
        <v>25.0</v>
      </c>
      <c r="E3" s="32">
        <v>1.312</v>
      </c>
      <c r="F3" s="33"/>
      <c r="G3" s="34">
        <v>45129.0</v>
      </c>
      <c r="H3" s="33"/>
      <c r="I3" s="34">
        <v>45148.0</v>
      </c>
      <c r="J3" s="35">
        <f t="shared" ref="J3:J91" si="1">IF(ISBLANK(F3:G3),,IF(COUNTA(F3)=0,G3,F3))</f>
        <v>45129</v>
      </c>
      <c r="K3" s="18">
        <f>IFERROR(__xludf.DUMMYFUNCTION("if(isblank(J3),,index(googlefinance(A3,K$2,J3-1),2,2))"),130.6)</f>
        <v>130.6</v>
      </c>
      <c r="L3" s="36">
        <f t="shared" ref="L3:L328" si="2">IF(ISBLANK(H3:I3),,IF(COUNTA(H3)=0,I3,H3))</f>
        <v>45148</v>
      </c>
      <c r="M3" s="19">
        <f>IFERROR(__xludf.DUMMYFUNCTION("if(isblank(L3),, index(googlefinance(A3,M$2,L3-1),2,2))"),110.96)</f>
        <v>110.96</v>
      </c>
      <c r="N3" s="20">
        <f>IFERROR(__xludf.DUMMYFUNCTION("if(isblank(A3),,googlefinance(A3))"),117.05)</f>
        <v>117.05</v>
      </c>
      <c r="O3" s="17" t="str">
        <f t="shared" ref="O3:O27" si="3">IF(ISBLANK(J3),,IF(ISBLANK(L3),"Ongoing","Completed"))</f>
        <v>Completed</v>
      </c>
      <c r="P3" s="37" t="str">
        <f t="shared" ref="P3:P328" si="4">IF(ISBLANK(A3),,IF(AND(COUNTA(F3)=1,S3&gt;0),"Profit",IF(AND(COUNTA(G3)=1,S3&lt;0),"Profit","Loss")))</f>
        <v>Profit</v>
      </c>
      <c r="Q3" s="38">
        <f t="shared" ref="Q3:Q328" si="5">IF(ISBLANK(T3),,IF(P3="Profit",IF(S3&lt;0,T3*-S3,T3*S3),IF(S3&gt;0,T3*-S3,T3*S3)))</f>
        <v>137.48</v>
      </c>
      <c r="R3" s="17" t="b">
        <f t="shared" ref="R3:R328" si="6">IF($Q3&gt;0, TRUE, FALSE)</f>
        <v>1</v>
      </c>
      <c r="S3" s="17">
        <f t="shared" ref="S3:S27" si="7">IF(ISBLANK(J3),,IF(ISBLANK(L3),N3-K3,M3-K3))</f>
        <v>-19.64</v>
      </c>
      <c r="T3" s="22">
        <f t="shared" ref="T3:T328" si="8">IF(ISBLANK(J3),,ROUNDDOWN(T$1/K3,0))</f>
        <v>7</v>
      </c>
      <c r="U3" s="23"/>
      <c r="V3" s="13"/>
      <c r="W3" s="13"/>
      <c r="X3" s="13"/>
      <c r="Y3" s="13"/>
      <c r="Z3" s="13"/>
      <c r="AA3" s="24"/>
    </row>
    <row r="4" ht="13.5" hidden="1" customHeight="1">
      <c r="A4" s="30" t="s">
        <v>35</v>
      </c>
      <c r="B4" s="39">
        <v>13.0</v>
      </c>
      <c r="C4" s="22">
        <v>132.82</v>
      </c>
      <c r="D4" s="22">
        <v>53.846</v>
      </c>
      <c r="E4" s="22">
        <v>1.966</v>
      </c>
      <c r="F4" s="34">
        <v>45131.0</v>
      </c>
      <c r="G4" s="33"/>
      <c r="H4" s="34">
        <v>45138.0</v>
      </c>
      <c r="I4" s="33"/>
      <c r="J4" s="40">
        <f t="shared" si="1"/>
        <v>45131</v>
      </c>
      <c r="K4" s="18">
        <f>IFERROR(__xludf.DUMMYFUNCTION("if(isblank(J4),,index(googlefinance(A4,K$2,J4-1),2,2))"),33.26)</f>
        <v>33.26</v>
      </c>
      <c r="L4" s="41">
        <f t="shared" si="2"/>
        <v>45138</v>
      </c>
      <c r="M4" s="19">
        <f>IFERROR(__xludf.DUMMYFUNCTION("if(isblank(L4),, index(googlefinance(A4,M$2,L4-1),2,2))"),32.81)</f>
        <v>32.81</v>
      </c>
      <c r="N4" s="20">
        <f>IFERROR(__xludf.DUMMYFUNCTION("if(isblank(A4),,googlefinance(A4))"),27.21)</f>
        <v>27.21</v>
      </c>
      <c r="O4" s="17" t="str">
        <f t="shared" si="3"/>
        <v>Completed</v>
      </c>
      <c r="P4" s="42" t="str">
        <f t="shared" si="4"/>
        <v>Loss</v>
      </c>
      <c r="Q4" s="43">
        <f t="shared" si="5"/>
        <v>-13.5</v>
      </c>
      <c r="R4" s="17" t="b">
        <f t="shared" si="6"/>
        <v>0</v>
      </c>
      <c r="S4" s="17">
        <f t="shared" si="7"/>
        <v>-0.45</v>
      </c>
      <c r="T4" s="22">
        <f t="shared" si="8"/>
        <v>30</v>
      </c>
      <c r="U4" s="23"/>
      <c r="V4" s="13"/>
      <c r="W4" s="13"/>
      <c r="X4" s="13"/>
      <c r="Y4" s="13"/>
      <c r="Z4" s="13"/>
      <c r="AA4" s="24"/>
    </row>
    <row r="5" ht="13.5" hidden="1" customHeight="1">
      <c r="A5" s="30" t="s">
        <v>36</v>
      </c>
      <c r="B5" s="31">
        <v>10.0</v>
      </c>
      <c r="C5" s="32">
        <v>29.92</v>
      </c>
      <c r="D5" s="32">
        <v>40.0</v>
      </c>
      <c r="E5" s="32">
        <v>1.18</v>
      </c>
      <c r="F5" s="33"/>
      <c r="G5" s="34">
        <v>45131.0</v>
      </c>
      <c r="H5" s="33"/>
      <c r="I5" s="34">
        <v>45159.0</v>
      </c>
      <c r="J5" s="35">
        <f t="shared" si="1"/>
        <v>45131</v>
      </c>
      <c r="K5" s="18">
        <f>IFERROR(__xludf.DUMMYFUNCTION("if(isblank(J5),,index(googlefinance(A5,K$2,J5-1),2,2))"),241.27)</f>
        <v>241.27</v>
      </c>
      <c r="L5" s="36">
        <f t="shared" si="2"/>
        <v>45159</v>
      </c>
      <c r="M5" s="19">
        <f>IFERROR(__xludf.DUMMYFUNCTION("if(isblank(L5),, index(googlefinance(A5,M$2,L5-1),2,2))"),225.0)</f>
        <v>225</v>
      </c>
      <c r="N5" s="20">
        <f>IFERROR(__xludf.DUMMYFUNCTION("if(isblank(A5),,googlefinance(A5))"),290.3)</f>
        <v>290.3</v>
      </c>
      <c r="O5" s="17" t="str">
        <f t="shared" si="3"/>
        <v>Completed</v>
      </c>
      <c r="P5" s="37" t="str">
        <f t="shared" si="4"/>
        <v>Profit</v>
      </c>
      <c r="Q5" s="38">
        <f t="shared" si="5"/>
        <v>65.08</v>
      </c>
      <c r="R5" s="17" t="b">
        <f t="shared" si="6"/>
        <v>1</v>
      </c>
      <c r="S5" s="17">
        <f t="shared" si="7"/>
        <v>-16.27</v>
      </c>
      <c r="T5" s="22">
        <f t="shared" si="8"/>
        <v>4</v>
      </c>
      <c r="U5" s="23"/>
      <c r="V5" s="13"/>
      <c r="W5" s="13"/>
      <c r="X5" s="13"/>
      <c r="Y5" s="13"/>
      <c r="Z5" s="13"/>
      <c r="AA5" s="24"/>
    </row>
    <row r="6" ht="13.5" hidden="1" customHeight="1">
      <c r="A6" s="30" t="s">
        <v>37</v>
      </c>
      <c r="B6" s="31">
        <v>11.0</v>
      </c>
      <c r="C6" s="32">
        <v>100.773</v>
      </c>
      <c r="D6" s="32">
        <v>27.273</v>
      </c>
      <c r="E6" s="32">
        <v>1.665</v>
      </c>
      <c r="F6" s="33"/>
      <c r="G6" s="34">
        <v>45131.0</v>
      </c>
      <c r="H6" s="33"/>
      <c r="I6" s="34">
        <v>45134.0</v>
      </c>
      <c r="J6" s="35">
        <f t="shared" si="1"/>
        <v>45131</v>
      </c>
      <c r="K6" s="18">
        <f>IFERROR(__xludf.DUMMYFUNCTION("if(isblank(J6),,index(googlefinance(A6,K$2,J6-1),2,2))"),61.32)</f>
        <v>61.32</v>
      </c>
      <c r="L6" s="36">
        <f t="shared" si="2"/>
        <v>45134</v>
      </c>
      <c r="M6" s="19">
        <f>IFERROR(__xludf.DUMMYFUNCTION("if(isblank(L6),, index(googlefinance(A6,M$2,L6-1),2,2))"),61.77)</f>
        <v>61.77</v>
      </c>
      <c r="N6" s="20">
        <f>IFERROR(__xludf.DUMMYFUNCTION("if(isblank(A6),,googlefinance(A6))"),82.61)</f>
        <v>82.61</v>
      </c>
      <c r="O6" s="17" t="str">
        <f t="shared" si="3"/>
        <v>Completed</v>
      </c>
      <c r="P6" s="42" t="str">
        <f t="shared" si="4"/>
        <v>Loss</v>
      </c>
      <c r="Q6" s="43">
        <f t="shared" si="5"/>
        <v>-7.2</v>
      </c>
      <c r="R6" s="17" t="b">
        <f t="shared" si="6"/>
        <v>0</v>
      </c>
      <c r="S6" s="17">
        <f t="shared" si="7"/>
        <v>0.45</v>
      </c>
      <c r="T6" s="22">
        <f t="shared" si="8"/>
        <v>16</v>
      </c>
      <c r="U6" s="23"/>
      <c r="V6" s="13"/>
      <c r="W6" s="13"/>
      <c r="X6" s="44"/>
      <c r="Y6" s="45"/>
      <c r="Z6" s="45"/>
      <c r="AA6" s="45"/>
    </row>
    <row r="7" ht="13.5" hidden="1" customHeight="1">
      <c r="A7" s="30" t="s">
        <v>38</v>
      </c>
      <c r="B7" s="31">
        <v>5.0</v>
      </c>
      <c r="C7" s="32">
        <v>74.93</v>
      </c>
      <c r="D7" s="32">
        <v>40.0</v>
      </c>
      <c r="E7" s="32">
        <v>2.047</v>
      </c>
      <c r="F7" s="33"/>
      <c r="G7" s="34">
        <v>45132.0</v>
      </c>
      <c r="H7" s="33"/>
      <c r="I7" s="34">
        <v>45139.0</v>
      </c>
      <c r="J7" s="35">
        <f t="shared" si="1"/>
        <v>45132</v>
      </c>
      <c r="K7" s="18">
        <f>IFERROR(__xludf.DUMMYFUNCTION("if(isblank(J7),,index(googlefinance(A7,K$2,J7-1),2,2))"),102.1)</f>
        <v>102.1</v>
      </c>
      <c r="L7" s="36">
        <f t="shared" si="2"/>
        <v>45139</v>
      </c>
      <c r="M7" s="19">
        <f>IFERROR(__xludf.DUMMYFUNCTION("if(isblank(L7),, index(googlefinance(A7,M$2,L7-1),2,2))"),101.99)</f>
        <v>101.99</v>
      </c>
      <c r="N7" s="20">
        <f>IFERROR(__xludf.DUMMYFUNCTION("if(isblank(A7),,googlefinance(A7))"),122.22)</f>
        <v>122.22</v>
      </c>
      <c r="O7" s="17" t="str">
        <f t="shared" si="3"/>
        <v>Completed</v>
      </c>
      <c r="P7" s="37" t="str">
        <f t="shared" si="4"/>
        <v>Profit</v>
      </c>
      <c r="Q7" s="38">
        <f t="shared" si="5"/>
        <v>0.99</v>
      </c>
      <c r="R7" s="17" t="b">
        <f t="shared" si="6"/>
        <v>1</v>
      </c>
      <c r="S7" s="17">
        <f t="shared" si="7"/>
        <v>-0.11</v>
      </c>
      <c r="T7" s="22">
        <f t="shared" si="8"/>
        <v>9</v>
      </c>
      <c r="U7" s="23"/>
      <c r="V7" s="13"/>
      <c r="W7" s="13"/>
      <c r="X7" s="13"/>
      <c r="Y7" s="13"/>
      <c r="Z7" s="13"/>
      <c r="AA7" s="24"/>
    </row>
    <row r="8" ht="13.5" hidden="1" customHeight="1">
      <c r="A8" s="30" t="s">
        <v>39</v>
      </c>
      <c r="B8" s="31">
        <v>15.0</v>
      </c>
      <c r="C8" s="32">
        <v>177.385</v>
      </c>
      <c r="D8" s="32">
        <v>33.333</v>
      </c>
      <c r="E8" s="32">
        <v>1.386</v>
      </c>
      <c r="F8" s="33"/>
      <c r="G8" s="34">
        <v>45132.0</v>
      </c>
      <c r="H8" s="33"/>
      <c r="I8" s="34">
        <v>45138.0</v>
      </c>
      <c r="J8" s="35">
        <f t="shared" si="1"/>
        <v>45132</v>
      </c>
      <c r="K8" s="18">
        <f>IFERROR(__xludf.DUMMYFUNCTION("if(isblank(J8),,index(googlefinance(A8,K$2,J8-1),2,2))"),45.6)</f>
        <v>45.6</v>
      </c>
      <c r="L8" s="36">
        <f t="shared" si="2"/>
        <v>45138</v>
      </c>
      <c r="M8" s="19">
        <f>IFERROR(__xludf.DUMMYFUNCTION("if(isblank(L8),, index(googlefinance(A8,M$2,L8-1),2,2))"),46.51)</f>
        <v>46.51</v>
      </c>
      <c r="N8" s="20">
        <f>IFERROR(__xludf.DUMMYFUNCTION("if(isblank(A8),,googlefinance(A8))"),37.59)</f>
        <v>37.59</v>
      </c>
      <c r="O8" s="17" t="str">
        <f t="shared" si="3"/>
        <v>Completed</v>
      </c>
      <c r="P8" s="42" t="str">
        <f t="shared" si="4"/>
        <v>Loss</v>
      </c>
      <c r="Q8" s="43">
        <f t="shared" si="5"/>
        <v>-19.11</v>
      </c>
      <c r="R8" s="17" t="b">
        <f t="shared" si="6"/>
        <v>0</v>
      </c>
      <c r="S8" s="17">
        <f t="shared" si="7"/>
        <v>0.91</v>
      </c>
      <c r="T8" s="22">
        <f t="shared" si="8"/>
        <v>21</v>
      </c>
      <c r="U8" s="23"/>
      <c r="V8" s="13"/>
      <c r="W8" s="13"/>
      <c r="X8" s="13"/>
      <c r="Y8" s="13"/>
      <c r="Z8" s="13"/>
      <c r="AA8" s="24"/>
    </row>
    <row r="9" ht="13.5" hidden="1" customHeight="1">
      <c r="A9" s="30" t="s">
        <v>40</v>
      </c>
      <c r="B9" s="31">
        <v>15.0</v>
      </c>
      <c r="C9" s="32">
        <v>443.86</v>
      </c>
      <c r="D9" s="32">
        <v>60.0</v>
      </c>
      <c r="E9" s="32">
        <v>3.937</v>
      </c>
      <c r="F9" s="33"/>
      <c r="G9" s="34">
        <v>45133.0</v>
      </c>
      <c r="H9" s="33"/>
      <c r="I9" s="34">
        <v>45156.0</v>
      </c>
      <c r="J9" s="35">
        <f t="shared" si="1"/>
        <v>45133</v>
      </c>
      <c r="K9" s="18">
        <f>IFERROR(__xludf.DUMMYFUNCTION("if(isblank(J9),,index(googlefinance(A9,K$2,J9-1),2,2))"),144.92)</f>
        <v>144.92</v>
      </c>
      <c r="L9" s="36">
        <f t="shared" si="2"/>
        <v>45156</v>
      </c>
      <c r="M9" s="19">
        <f>IFERROR(__xludf.DUMMYFUNCTION("if(isblank(L9),, index(googlefinance(A9,M$2,L9-1),2,2))"),132.24)</f>
        <v>132.24</v>
      </c>
      <c r="N9" s="20">
        <f>IFERROR(__xludf.DUMMYFUNCTION("if(isblank(A9),,googlefinance(A9))"),124.0)</f>
        <v>124</v>
      </c>
      <c r="O9" s="17" t="str">
        <f t="shared" si="3"/>
        <v>Completed</v>
      </c>
      <c r="P9" s="37" t="str">
        <f t="shared" si="4"/>
        <v>Profit</v>
      </c>
      <c r="Q9" s="38">
        <f t="shared" si="5"/>
        <v>76.08</v>
      </c>
      <c r="R9" s="17" t="b">
        <f t="shared" si="6"/>
        <v>1</v>
      </c>
      <c r="S9" s="17">
        <f t="shared" si="7"/>
        <v>-12.68</v>
      </c>
      <c r="T9" s="22">
        <f t="shared" si="8"/>
        <v>6</v>
      </c>
      <c r="U9" s="23"/>
      <c r="V9" s="13"/>
      <c r="W9" s="13"/>
      <c r="X9" s="13"/>
      <c r="Y9" s="13"/>
      <c r="Z9" s="13"/>
      <c r="AA9" s="24"/>
    </row>
    <row r="10" ht="13.5" hidden="1" customHeight="1">
      <c r="A10" s="30" t="s">
        <v>41</v>
      </c>
      <c r="B10" s="31">
        <v>7.0</v>
      </c>
      <c r="C10" s="32">
        <v>58.15</v>
      </c>
      <c r="D10" s="32">
        <v>42.857</v>
      </c>
      <c r="E10" s="32">
        <v>1.871</v>
      </c>
      <c r="F10" s="33"/>
      <c r="G10" s="34">
        <v>45134.0</v>
      </c>
      <c r="H10" s="33"/>
      <c r="I10" s="34">
        <v>45163.0</v>
      </c>
      <c r="J10" s="35">
        <f t="shared" si="1"/>
        <v>45134</v>
      </c>
      <c r="K10" s="18">
        <f>IFERROR(__xludf.DUMMYFUNCTION("if(isblank(J10),,index(googlefinance(A10,K$2,J10-1),2,2))"),54.45)</f>
        <v>54.45</v>
      </c>
      <c r="L10" s="36">
        <f t="shared" si="2"/>
        <v>45163</v>
      </c>
      <c r="M10" s="19">
        <f>IFERROR(__xludf.DUMMYFUNCTION("if(isblank(L10),, index(googlefinance(A10,M$2,L10-1),2,2))"),48.07)</f>
        <v>48.07</v>
      </c>
      <c r="N10" s="20">
        <f>IFERROR(__xludf.DUMMYFUNCTION("if(isblank(A10),,googlefinance(A10))"),45.86)</f>
        <v>45.86</v>
      </c>
      <c r="O10" s="17" t="str">
        <f t="shared" si="3"/>
        <v>Completed</v>
      </c>
      <c r="P10" s="37" t="str">
        <f t="shared" si="4"/>
        <v>Profit</v>
      </c>
      <c r="Q10" s="38">
        <f t="shared" si="5"/>
        <v>114.84</v>
      </c>
      <c r="R10" s="17" t="b">
        <f t="shared" si="6"/>
        <v>1</v>
      </c>
      <c r="S10" s="17">
        <f t="shared" si="7"/>
        <v>-6.38</v>
      </c>
      <c r="T10" s="22">
        <f t="shared" si="8"/>
        <v>18</v>
      </c>
      <c r="U10" s="23"/>
      <c r="V10" s="13"/>
      <c r="W10" s="13"/>
      <c r="X10" s="13"/>
      <c r="Y10" s="13"/>
      <c r="Z10" s="13"/>
      <c r="AA10" s="24"/>
    </row>
    <row r="11" ht="13.5" hidden="1" customHeight="1">
      <c r="A11" s="30" t="s">
        <v>42</v>
      </c>
      <c r="B11" s="31">
        <v>10.0</v>
      </c>
      <c r="C11" s="32">
        <v>24.11</v>
      </c>
      <c r="D11" s="32">
        <v>40.0</v>
      </c>
      <c r="E11" s="32">
        <v>1.28</v>
      </c>
      <c r="F11" s="33"/>
      <c r="G11" s="34">
        <v>45134.0</v>
      </c>
      <c r="H11" s="33"/>
      <c r="I11" s="34">
        <v>45161.0</v>
      </c>
      <c r="J11" s="35">
        <f t="shared" si="1"/>
        <v>45134</v>
      </c>
      <c r="K11" s="18">
        <f>IFERROR(__xludf.DUMMYFUNCTION("if(isblank(J11),,index(googlefinance(A11,K$2,J11-1),2,2))"),73.62)</f>
        <v>73.62</v>
      </c>
      <c r="L11" s="36">
        <f t="shared" si="2"/>
        <v>45161</v>
      </c>
      <c r="M11" s="19">
        <f>IFERROR(__xludf.DUMMYFUNCTION("if(isblank(L11),, index(googlefinance(A11,M$2,L11-1),2,2))"),63.87)</f>
        <v>63.87</v>
      </c>
      <c r="N11" s="20">
        <f>IFERROR(__xludf.DUMMYFUNCTION("if(isblank(A11),,googlefinance(A11))"),58.87)</f>
        <v>58.87</v>
      </c>
      <c r="O11" s="17" t="str">
        <f t="shared" si="3"/>
        <v>Completed</v>
      </c>
      <c r="P11" s="37" t="str">
        <f t="shared" si="4"/>
        <v>Profit</v>
      </c>
      <c r="Q11" s="38">
        <f t="shared" si="5"/>
        <v>126.75</v>
      </c>
      <c r="R11" s="17" t="b">
        <f t="shared" si="6"/>
        <v>1</v>
      </c>
      <c r="S11" s="17">
        <f t="shared" si="7"/>
        <v>-9.75</v>
      </c>
      <c r="T11" s="22">
        <f t="shared" si="8"/>
        <v>13</v>
      </c>
      <c r="U11" s="23"/>
      <c r="V11" s="13"/>
      <c r="W11" s="13"/>
      <c r="X11" s="13"/>
      <c r="Y11" s="13"/>
      <c r="Z11" s="13"/>
      <c r="AA11" s="24"/>
    </row>
    <row r="12" ht="13.5" hidden="1" customHeight="1">
      <c r="A12" s="30" t="s">
        <v>43</v>
      </c>
      <c r="B12" s="31">
        <v>11.0</v>
      </c>
      <c r="C12" s="32">
        <v>296.91</v>
      </c>
      <c r="D12" s="32">
        <v>36.364</v>
      </c>
      <c r="E12" s="32">
        <v>3.592</v>
      </c>
      <c r="F12" s="33"/>
      <c r="G12" s="34">
        <v>45134.0</v>
      </c>
      <c r="H12" s="33"/>
      <c r="I12" s="34">
        <v>45160.0</v>
      </c>
      <c r="J12" s="35">
        <f t="shared" si="1"/>
        <v>45134</v>
      </c>
      <c r="K12" s="18">
        <f>IFERROR(__xludf.DUMMYFUNCTION("if(isblank(J12),,index(googlefinance(A12,K$2,J12-1),2,2))"),61.32)</f>
        <v>61.32</v>
      </c>
      <c r="L12" s="36">
        <f t="shared" si="2"/>
        <v>45160</v>
      </c>
      <c r="M12" s="19">
        <f>IFERROR(__xludf.DUMMYFUNCTION("if(isblank(L12),, index(googlefinance(A12,M$2,L12-1),2,2))"),56.08)</f>
        <v>56.08</v>
      </c>
      <c r="N12" s="20">
        <f>IFERROR(__xludf.DUMMYFUNCTION("if(isblank(A12),,googlefinance(A12))"),50.03)</f>
        <v>50.03</v>
      </c>
      <c r="O12" s="17" t="str">
        <f t="shared" si="3"/>
        <v>Completed</v>
      </c>
      <c r="P12" s="37" t="str">
        <f t="shared" si="4"/>
        <v>Profit</v>
      </c>
      <c r="Q12" s="38">
        <f t="shared" si="5"/>
        <v>83.84</v>
      </c>
      <c r="R12" s="17" t="b">
        <f t="shared" si="6"/>
        <v>1</v>
      </c>
      <c r="S12" s="17">
        <f t="shared" si="7"/>
        <v>-5.24</v>
      </c>
      <c r="T12" s="22">
        <f t="shared" si="8"/>
        <v>16</v>
      </c>
      <c r="U12" s="23"/>
      <c r="V12" s="13"/>
      <c r="W12" s="13"/>
      <c r="X12" s="13"/>
      <c r="Y12" s="13"/>
      <c r="Z12" s="13"/>
      <c r="AA12" s="24"/>
    </row>
    <row r="13" ht="13.5" hidden="1" customHeight="1">
      <c r="A13" s="30" t="s">
        <v>44</v>
      </c>
      <c r="B13" s="31">
        <v>9.0</v>
      </c>
      <c r="C13" s="32">
        <v>209.86</v>
      </c>
      <c r="D13" s="32">
        <v>55.556</v>
      </c>
      <c r="E13" s="32">
        <v>10.729</v>
      </c>
      <c r="F13" s="33"/>
      <c r="G13" s="34">
        <v>45134.0</v>
      </c>
      <c r="H13" s="33"/>
      <c r="I13" s="34">
        <v>45149.0</v>
      </c>
      <c r="J13" s="35">
        <f t="shared" si="1"/>
        <v>45134</v>
      </c>
      <c r="K13" s="18">
        <f>IFERROR(__xludf.DUMMYFUNCTION("if(isblank(J13),,index(googlefinance(A13,K$2,J13-1),2,2))"),202.56)</f>
        <v>202.56</v>
      </c>
      <c r="L13" s="36">
        <f t="shared" si="2"/>
        <v>45149</v>
      </c>
      <c r="M13" s="19">
        <f>IFERROR(__xludf.DUMMYFUNCTION("if(isblank(L13),, index(googlefinance(A13,M$2,L13-1),2,2))"),186.41)</f>
        <v>186.41</v>
      </c>
      <c r="N13" s="20">
        <f>IFERROR(__xludf.DUMMYFUNCTION("if(isblank(A13),,googlefinance(A13))"),211.98)</f>
        <v>211.98</v>
      </c>
      <c r="O13" s="17" t="str">
        <f t="shared" si="3"/>
        <v>Completed</v>
      </c>
      <c r="P13" s="37" t="str">
        <f t="shared" si="4"/>
        <v>Profit</v>
      </c>
      <c r="Q13" s="38">
        <f t="shared" si="5"/>
        <v>64.6</v>
      </c>
      <c r="R13" s="17" t="b">
        <f t="shared" si="6"/>
        <v>1</v>
      </c>
      <c r="S13" s="17">
        <f t="shared" si="7"/>
        <v>-16.15</v>
      </c>
      <c r="T13" s="22">
        <f t="shared" si="8"/>
        <v>4</v>
      </c>
      <c r="U13" s="23"/>
      <c r="V13" s="13"/>
      <c r="W13" s="13"/>
      <c r="X13" s="13"/>
      <c r="Y13" s="13"/>
      <c r="Z13" s="13"/>
      <c r="AA13" s="24"/>
    </row>
    <row r="14" ht="13.5" hidden="1" customHeight="1">
      <c r="A14" s="30" t="s">
        <v>45</v>
      </c>
      <c r="B14" s="31">
        <v>5.0</v>
      </c>
      <c r="C14" s="32">
        <v>635.86</v>
      </c>
      <c r="D14" s="32">
        <v>60.0</v>
      </c>
      <c r="E14" s="32">
        <v>6.215</v>
      </c>
      <c r="F14" s="33"/>
      <c r="G14" s="34">
        <v>45134.0</v>
      </c>
      <c r="H14" s="33"/>
      <c r="I14" s="34">
        <v>45138.0</v>
      </c>
      <c r="J14" s="35">
        <f t="shared" si="1"/>
        <v>45134</v>
      </c>
      <c r="K14" s="18">
        <f>IFERROR(__xludf.DUMMYFUNCTION("if(isblank(J14),,index(googlefinance(A14,K$2,J14-1),2,2))"),62.85)</f>
        <v>62.85</v>
      </c>
      <c r="L14" s="36">
        <f t="shared" si="2"/>
        <v>45138</v>
      </c>
      <c r="M14" s="19">
        <f>IFERROR(__xludf.DUMMYFUNCTION("if(isblank(L14),, index(googlefinance(A14,M$2,L14-1),2,2))"),63.13)</f>
        <v>63.13</v>
      </c>
      <c r="N14" s="20">
        <f>IFERROR(__xludf.DUMMYFUNCTION("if(isblank(A14),,googlefinance(A14))"),60.52)</f>
        <v>60.52</v>
      </c>
      <c r="O14" s="17" t="str">
        <f t="shared" si="3"/>
        <v>Completed</v>
      </c>
      <c r="P14" s="42" t="str">
        <f t="shared" si="4"/>
        <v>Loss</v>
      </c>
      <c r="Q14" s="43">
        <f t="shared" si="5"/>
        <v>-4.2</v>
      </c>
      <c r="R14" s="17" t="b">
        <f t="shared" si="6"/>
        <v>0</v>
      </c>
      <c r="S14" s="17">
        <f t="shared" si="7"/>
        <v>0.28</v>
      </c>
      <c r="T14" s="22">
        <f t="shared" si="8"/>
        <v>15</v>
      </c>
      <c r="U14" s="23"/>
      <c r="V14" s="13"/>
      <c r="W14" s="13"/>
      <c r="X14" s="13"/>
      <c r="Y14" s="13"/>
      <c r="Z14" s="13"/>
      <c r="AA14" s="24"/>
    </row>
    <row r="15" ht="13.5" hidden="1" customHeight="1">
      <c r="A15" s="30" t="s">
        <v>46</v>
      </c>
      <c r="B15" s="31">
        <v>9.0</v>
      </c>
      <c r="C15" s="32">
        <v>114.54</v>
      </c>
      <c r="D15" s="32">
        <v>44.444</v>
      </c>
      <c r="E15" s="32">
        <v>2.623</v>
      </c>
      <c r="F15" s="33"/>
      <c r="G15" s="34">
        <v>45134.0</v>
      </c>
      <c r="H15" s="33"/>
      <c r="I15" s="34">
        <v>45154.0</v>
      </c>
      <c r="J15" s="35">
        <f t="shared" si="1"/>
        <v>45134</v>
      </c>
      <c r="K15" s="18">
        <f>IFERROR(__xludf.DUMMYFUNCTION("if(isblank(J15),,index(googlefinance(A15,K$2,J15-1),2,2))"),64.92)</f>
        <v>64.92</v>
      </c>
      <c r="L15" s="36">
        <f t="shared" si="2"/>
        <v>45154</v>
      </c>
      <c r="M15" s="19">
        <f>IFERROR(__xludf.DUMMYFUNCTION("if(isblank(L15),, index(googlefinance(A15,M$2,L15-1),2,2))"),59.43)</f>
        <v>59.43</v>
      </c>
      <c r="N15" s="20">
        <f>IFERROR(__xludf.DUMMYFUNCTION("if(isblank(A15),,googlefinance(A15))"),59.79)</f>
        <v>59.79</v>
      </c>
      <c r="O15" s="17" t="str">
        <f t="shared" si="3"/>
        <v>Completed</v>
      </c>
      <c r="P15" s="37" t="str">
        <f t="shared" si="4"/>
        <v>Profit</v>
      </c>
      <c r="Q15" s="38">
        <f t="shared" si="5"/>
        <v>82.35</v>
      </c>
      <c r="R15" s="17" t="b">
        <f t="shared" si="6"/>
        <v>1</v>
      </c>
      <c r="S15" s="17">
        <f t="shared" si="7"/>
        <v>-5.49</v>
      </c>
      <c r="T15" s="22">
        <f t="shared" si="8"/>
        <v>15</v>
      </c>
      <c r="U15" s="23"/>
      <c r="V15" s="13"/>
      <c r="W15" s="13"/>
      <c r="X15" s="13"/>
      <c r="Y15" s="13"/>
      <c r="Z15" s="13"/>
      <c r="AA15" s="24"/>
    </row>
    <row r="16" ht="13.5" hidden="1" customHeight="1">
      <c r="A16" s="30" t="s">
        <v>47</v>
      </c>
      <c r="B16" s="31">
        <v>8.0</v>
      </c>
      <c r="C16" s="32">
        <v>75.36</v>
      </c>
      <c r="D16" s="32">
        <v>50.0</v>
      </c>
      <c r="E16" s="32">
        <v>3.193</v>
      </c>
      <c r="F16" s="33"/>
      <c r="G16" s="34">
        <v>45135.0</v>
      </c>
      <c r="H16" s="33"/>
      <c r="I16" s="34">
        <v>45146.0</v>
      </c>
      <c r="J16" s="35">
        <f t="shared" si="1"/>
        <v>45135</v>
      </c>
      <c r="K16" s="18">
        <f>IFERROR(__xludf.DUMMYFUNCTION("if(isblank(J16),,index(googlefinance(A16,K$2,J16-1),2,2))"),183.83)</f>
        <v>183.83</v>
      </c>
      <c r="L16" s="36">
        <f t="shared" si="2"/>
        <v>45146</v>
      </c>
      <c r="M16" s="19">
        <f>IFERROR(__xludf.DUMMYFUNCTION("if(isblank(L16),, index(googlefinance(A16,M$2,L16-1),2,2))"),184.51)</f>
        <v>184.51</v>
      </c>
      <c r="N16" s="20">
        <f>IFERROR(__xludf.DUMMYFUNCTION("if(isblank(A16),,googlefinance(A16))"),215.38)</f>
        <v>215.38</v>
      </c>
      <c r="O16" s="17" t="str">
        <f t="shared" si="3"/>
        <v>Completed</v>
      </c>
      <c r="P16" s="42" t="str">
        <f t="shared" si="4"/>
        <v>Loss</v>
      </c>
      <c r="Q16" s="43">
        <f t="shared" si="5"/>
        <v>-3.4</v>
      </c>
      <c r="R16" s="17" t="b">
        <f t="shared" si="6"/>
        <v>0</v>
      </c>
      <c r="S16" s="17">
        <f t="shared" si="7"/>
        <v>0.68</v>
      </c>
      <c r="T16" s="22">
        <f t="shared" si="8"/>
        <v>5</v>
      </c>
      <c r="U16" s="23"/>
      <c r="V16" s="13"/>
      <c r="W16" s="13"/>
      <c r="X16" s="13"/>
      <c r="Y16" s="13"/>
      <c r="Z16" s="13"/>
      <c r="AA16" s="24"/>
    </row>
    <row r="17" ht="13.5" hidden="1" customHeight="1">
      <c r="A17" s="30" t="s">
        <v>48</v>
      </c>
      <c r="B17" s="31">
        <v>12.0</v>
      </c>
      <c r="C17" s="32">
        <v>23.164</v>
      </c>
      <c r="D17" s="32">
        <v>33.333</v>
      </c>
      <c r="E17" s="32">
        <v>1.13</v>
      </c>
      <c r="F17" s="33"/>
      <c r="G17" s="34">
        <v>45135.0</v>
      </c>
      <c r="H17" s="33"/>
      <c r="I17" s="34">
        <v>45160.0</v>
      </c>
      <c r="J17" s="35">
        <f t="shared" si="1"/>
        <v>45135</v>
      </c>
      <c r="K17" s="18">
        <f>IFERROR(__xludf.DUMMYFUNCTION("if(isblank(J17),,index(googlefinance(A17,K$2,J17-1),2,2))"),41.96)</f>
        <v>41.96</v>
      </c>
      <c r="L17" s="36">
        <f t="shared" si="2"/>
        <v>45160</v>
      </c>
      <c r="M17" s="19">
        <f>IFERROR(__xludf.DUMMYFUNCTION("if(isblank(L17),, index(googlefinance(A17,M$2,L17-1),2,2))"),39.74)</f>
        <v>39.74</v>
      </c>
      <c r="N17" s="20">
        <f>IFERROR(__xludf.DUMMYFUNCTION("if(isblank(A17),,googlefinance(A17))"),34.91)</f>
        <v>34.91</v>
      </c>
      <c r="O17" s="17" t="str">
        <f t="shared" si="3"/>
        <v>Completed</v>
      </c>
      <c r="P17" s="37" t="str">
        <f t="shared" si="4"/>
        <v>Profit</v>
      </c>
      <c r="Q17" s="38">
        <f t="shared" si="5"/>
        <v>51.06</v>
      </c>
      <c r="R17" s="17" t="b">
        <f t="shared" si="6"/>
        <v>1</v>
      </c>
      <c r="S17" s="17">
        <f t="shared" si="7"/>
        <v>-2.22</v>
      </c>
      <c r="T17" s="22">
        <f t="shared" si="8"/>
        <v>23</v>
      </c>
      <c r="U17" s="23"/>
      <c r="V17" s="13"/>
      <c r="W17" s="13"/>
      <c r="X17" s="13"/>
      <c r="Y17" s="13"/>
      <c r="Z17" s="13"/>
      <c r="AA17" s="24"/>
    </row>
    <row r="18" ht="13.5" hidden="1" customHeight="1">
      <c r="A18" s="30" t="s">
        <v>49</v>
      </c>
      <c r="B18" s="31">
        <v>15.0</v>
      </c>
      <c r="C18" s="32">
        <v>79.98</v>
      </c>
      <c r="D18" s="32">
        <v>33.333</v>
      </c>
      <c r="E18" s="32">
        <v>1.558</v>
      </c>
      <c r="F18" s="33"/>
      <c r="G18" s="34">
        <v>45135.0</v>
      </c>
      <c r="H18" s="33"/>
      <c r="I18" s="34">
        <v>45149.0</v>
      </c>
      <c r="J18" s="35">
        <f t="shared" si="1"/>
        <v>45135</v>
      </c>
      <c r="K18" s="18">
        <f>IFERROR(__xludf.DUMMYFUNCTION("if(isblank(J18),,index(googlefinance(A18,K$2,J18-1),2,2))"),39.24)</f>
        <v>39.24</v>
      </c>
      <c r="L18" s="36">
        <f t="shared" si="2"/>
        <v>45149</v>
      </c>
      <c r="M18" s="19">
        <f>IFERROR(__xludf.DUMMYFUNCTION("if(isblank(L18),, index(googlefinance(A18,M$2,L18-1),2,2))"),36.3)</f>
        <v>36.3</v>
      </c>
      <c r="N18" s="20">
        <f>IFERROR(__xludf.DUMMYFUNCTION("if(isblank(A18),,googlefinance(A18))"),37.39)</f>
        <v>37.39</v>
      </c>
      <c r="O18" s="17" t="str">
        <f t="shared" si="3"/>
        <v>Completed</v>
      </c>
      <c r="P18" s="37" t="str">
        <f t="shared" si="4"/>
        <v>Profit</v>
      </c>
      <c r="Q18" s="38">
        <f t="shared" si="5"/>
        <v>73.5</v>
      </c>
      <c r="R18" s="17" t="b">
        <f t="shared" si="6"/>
        <v>1</v>
      </c>
      <c r="S18" s="17">
        <f t="shared" si="7"/>
        <v>-2.94</v>
      </c>
      <c r="T18" s="22">
        <f t="shared" si="8"/>
        <v>25</v>
      </c>
      <c r="U18" s="23"/>
      <c r="V18" s="13"/>
      <c r="W18" s="13"/>
      <c r="X18" s="13"/>
      <c r="Y18" s="13"/>
      <c r="Z18" s="13"/>
      <c r="AA18" s="24"/>
    </row>
    <row r="19" ht="13.5" hidden="1" customHeight="1">
      <c r="A19" s="30" t="s">
        <v>50</v>
      </c>
      <c r="B19" s="31">
        <v>14.0</v>
      </c>
      <c r="C19" s="32">
        <v>77.58</v>
      </c>
      <c r="D19" s="32">
        <v>21.429</v>
      </c>
      <c r="E19" s="32">
        <v>1.301</v>
      </c>
      <c r="F19" s="33"/>
      <c r="G19" s="34">
        <v>45135.0</v>
      </c>
      <c r="H19" s="33"/>
      <c r="I19" s="34">
        <v>45140.0</v>
      </c>
      <c r="J19" s="35">
        <f t="shared" si="1"/>
        <v>45135</v>
      </c>
      <c r="K19" s="18">
        <f>IFERROR(__xludf.DUMMYFUNCTION("if(isblank(J19),,index(googlefinance(A19,K$2,J19-1),2,2))"),111.13)</f>
        <v>111.13</v>
      </c>
      <c r="L19" s="36">
        <f t="shared" si="2"/>
        <v>45140</v>
      </c>
      <c r="M19" s="19">
        <f>IFERROR(__xludf.DUMMYFUNCTION("if(isblank(L19),, index(googlefinance(A19,M$2,L19-1),2,2))"),112.57)</f>
        <v>112.57</v>
      </c>
      <c r="N19" s="20">
        <f>IFERROR(__xludf.DUMMYFUNCTION("if(isblank(A19),,googlefinance(A19))"),125.53)</f>
        <v>125.53</v>
      </c>
      <c r="O19" s="17" t="str">
        <f t="shared" si="3"/>
        <v>Completed</v>
      </c>
      <c r="P19" s="42" t="str">
        <f t="shared" si="4"/>
        <v>Loss</v>
      </c>
      <c r="Q19" s="43">
        <f t="shared" si="5"/>
        <v>-11.52</v>
      </c>
      <c r="R19" s="17" t="b">
        <f t="shared" si="6"/>
        <v>0</v>
      </c>
      <c r="S19" s="17">
        <f t="shared" si="7"/>
        <v>1.44</v>
      </c>
      <c r="T19" s="22">
        <f t="shared" si="8"/>
        <v>8</v>
      </c>
      <c r="U19" s="23"/>
      <c r="V19" s="13"/>
      <c r="W19" s="13"/>
      <c r="X19" s="13"/>
      <c r="Y19" s="13"/>
      <c r="Z19" s="13"/>
      <c r="AA19" s="24"/>
    </row>
    <row r="20" ht="13.5" hidden="1" customHeight="1">
      <c r="A20" s="30" t="s">
        <v>51</v>
      </c>
      <c r="B20" s="31">
        <v>10.0</v>
      </c>
      <c r="C20" s="32">
        <v>222.96</v>
      </c>
      <c r="D20" s="32">
        <v>20.0</v>
      </c>
      <c r="E20" s="32">
        <v>2.118</v>
      </c>
      <c r="F20" s="33"/>
      <c r="G20" s="34">
        <v>45135.0</v>
      </c>
      <c r="H20" s="33"/>
      <c r="I20" s="34">
        <v>45160.0</v>
      </c>
      <c r="J20" s="35">
        <f t="shared" si="1"/>
        <v>45135</v>
      </c>
      <c r="K20" s="18">
        <f>IFERROR(__xludf.DUMMYFUNCTION("if(isblank(J20),,index(googlefinance(A20,K$2,J20-1),2,2))"),92.75)</f>
        <v>92.75</v>
      </c>
      <c r="L20" s="36">
        <f t="shared" si="2"/>
        <v>45160</v>
      </c>
      <c r="M20" s="19">
        <f>IFERROR(__xludf.DUMMYFUNCTION("if(isblank(L20),, index(googlefinance(A20,M$2,L20-1),2,2))"),84.25)</f>
        <v>84.25</v>
      </c>
      <c r="N20" s="20">
        <f>IFERROR(__xludf.DUMMYFUNCTION("if(isblank(A20),,googlefinance(A20))"),86.5)</f>
        <v>86.5</v>
      </c>
      <c r="O20" s="17" t="str">
        <f t="shared" si="3"/>
        <v>Completed</v>
      </c>
      <c r="P20" s="37" t="str">
        <f t="shared" si="4"/>
        <v>Profit</v>
      </c>
      <c r="Q20" s="38">
        <f t="shared" si="5"/>
        <v>85</v>
      </c>
      <c r="R20" s="17" t="b">
        <f t="shared" si="6"/>
        <v>1</v>
      </c>
      <c r="S20" s="17">
        <f t="shared" si="7"/>
        <v>-8.5</v>
      </c>
      <c r="T20" s="22">
        <f t="shared" si="8"/>
        <v>10</v>
      </c>
      <c r="U20" s="23"/>
      <c r="V20" s="13"/>
      <c r="W20" s="13"/>
      <c r="X20" s="13"/>
      <c r="Y20" s="13"/>
      <c r="Z20" s="13"/>
      <c r="AA20" s="24"/>
    </row>
    <row r="21" ht="13.5" hidden="1" customHeight="1">
      <c r="A21" s="30" t="s">
        <v>52</v>
      </c>
      <c r="B21" s="31">
        <v>13.0</v>
      </c>
      <c r="C21" s="32">
        <v>248.03</v>
      </c>
      <c r="D21" s="32">
        <v>53.846</v>
      </c>
      <c r="E21" s="32">
        <v>3.281</v>
      </c>
      <c r="F21" s="33"/>
      <c r="G21" s="34">
        <v>45138.0</v>
      </c>
      <c r="H21" s="33"/>
      <c r="I21" s="34">
        <v>45148.0</v>
      </c>
      <c r="J21" s="35">
        <f t="shared" si="1"/>
        <v>45138</v>
      </c>
      <c r="K21" s="18">
        <f>IFERROR(__xludf.DUMMYFUNCTION("if(isblank(J21),,index(googlefinance(A21,K$2,J21-1),2,2))"),85.58)</f>
        <v>85.58</v>
      </c>
      <c r="L21" s="36">
        <f t="shared" si="2"/>
        <v>45148</v>
      </c>
      <c r="M21" s="19">
        <f>IFERROR(__xludf.DUMMYFUNCTION("if(isblank(L21),, index(googlefinance(A21,M$2,L21-1),2,2))"),84.37)</f>
        <v>84.37</v>
      </c>
      <c r="N21" s="20">
        <f>IFERROR(__xludf.DUMMYFUNCTION("if(isblank(A21),,googlefinance(A21))"),85.19)</f>
        <v>85.19</v>
      </c>
      <c r="O21" s="17" t="str">
        <f t="shared" si="3"/>
        <v>Completed</v>
      </c>
      <c r="P21" s="37" t="str">
        <f t="shared" si="4"/>
        <v>Profit</v>
      </c>
      <c r="Q21" s="38">
        <f t="shared" si="5"/>
        <v>13.31</v>
      </c>
      <c r="R21" s="17" t="b">
        <f t="shared" si="6"/>
        <v>1</v>
      </c>
      <c r="S21" s="17">
        <f t="shared" si="7"/>
        <v>-1.21</v>
      </c>
      <c r="T21" s="22">
        <f t="shared" si="8"/>
        <v>11</v>
      </c>
      <c r="U21" s="23"/>
      <c r="V21" s="13"/>
      <c r="W21" s="13"/>
      <c r="X21" s="13"/>
      <c r="Y21" s="13"/>
      <c r="Z21" s="13"/>
      <c r="AA21" s="24"/>
    </row>
    <row r="22" ht="13.5" hidden="1" customHeight="1">
      <c r="A22" s="30" t="s">
        <v>53</v>
      </c>
      <c r="B22" s="31">
        <v>11.0</v>
      </c>
      <c r="C22" s="32">
        <v>58.04</v>
      </c>
      <c r="D22" s="32">
        <v>45.455</v>
      </c>
      <c r="E22" s="32">
        <v>1.426</v>
      </c>
      <c r="F22" s="33"/>
      <c r="G22" s="34">
        <v>45138.0</v>
      </c>
      <c r="H22" s="33"/>
      <c r="I22" s="34">
        <v>45160.0</v>
      </c>
      <c r="J22" s="35">
        <f t="shared" si="1"/>
        <v>45138</v>
      </c>
      <c r="K22" s="18">
        <f>IFERROR(__xludf.DUMMYFUNCTION("if(isblank(J22),,index(googlefinance(A22,K$2,J22-1),2,2))"),84.61)</f>
        <v>84.61</v>
      </c>
      <c r="L22" s="36">
        <f t="shared" si="2"/>
        <v>45160</v>
      </c>
      <c r="M22" s="19">
        <f>IFERROR(__xludf.DUMMYFUNCTION("if(isblank(L22),, index(googlefinance(A22,M$2,L22-1),2,2))"),64.57)</f>
        <v>64.57</v>
      </c>
      <c r="N22" s="20">
        <f>IFERROR(__xludf.DUMMYFUNCTION("if(isblank(A22),,googlefinance(A22))"),81.19)</f>
        <v>81.19</v>
      </c>
      <c r="O22" s="17" t="str">
        <f t="shared" si="3"/>
        <v>Completed</v>
      </c>
      <c r="P22" s="37" t="str">
        <f t="shared" si="4"/>
        <v>Profit</v>
      </c>
      <c r="Q22" s="38">
        <f t="shared" si="5"/>
        <v>220.44</v>
      </c>
      <c r="R22" s="17" t="b">
        <f t="shared" si="6"/>
        <v>1</v>
      </c>
      <c r="S22" s="17">
        <f t="shared" si="7"/>
        <v>-20.04</v>
      </c>
      <c r="T22" s="22">
        <f t="shared" si="8"/>
        <v>11</v>
      </c>
      <c r="U22" s="23"/>
      <c r="V22" s="13"/>
      <c r="W22" s="13"/>
      <c r="X22" s="13"/>
      <c r="Y22" s="13"/>
      <c r="Z22" s="13"/>
      <c r="AA22" s="24"/>
    </row>
    <row r="23" ht="13.5" hidden="1" customHeight="1">
      <c r="A23" s="30" t="s">
        <v>54</v>
      </c>
      <c r="B23" s="31">
        <v>7.0</v>
      </c>
      <c r="C23" s="32">
        <v>32.79</v>
      </c>
      <c r="D23" s="32">
        <v>28.571</v>
      </c>
      <c r="E23" s="32">
        <v>1.339</v>
      </c>
      <c r="F23" s="33"/>
      <c r="G23" s="34">
        <v>45138.0</v>
      </c>
      <c r="H23" s="33"/>
      <c r="I23" s="34">
        <v>45139.0</v>
      </c>
      <c r="J23" s="35">
        <f t="shared" si="1"/>
        <v>45138</v>
      </c>
      <c r="K23" s="18">
        <f>IFERROR(__xludf.DUMMYFUNCTION("if(isblank(J23),,index(googlefinance(A23,K$2,J23-1),2,2))"),167.57)</f>
        <v>167.57</v>
      </c>
      <c r="L23" s="36">
        <f t="shared" si="2"/>
        <v>45139</v>
      </c>
      <c r="M23" s="19">
        <f>IFERROR(__xludf.DUMMYFUNCTION("if(isblank(L23),, index(googlefinance(A23,M$2,L23-1),2,2))"),167.57)</f>
        <v>167.57</v>
      </c>
      <c r="N23" s="20">
        <f>IFERROR(__xludf.DUMMYFUNCTION("if(isblank(A23),,googlefinance(A23))"),172.48)</f>
        <v>172.48</v>
      </c>
      <c r="O23" s="17" t="str">
        <f t="shared" si="3"/>
        <v>Completed</v>
      </c>
      <c r="P23" s="42" t="str">
        <f t="shared" si="4"/>
        <v>Loss</v>
      </c>
      <c r="Q23" s="21">
        <f t="shared" si="5"/>
        <v>0</v>
      </c>
      <c r="R23" s="17" t="b">
        <f t="shared" si="6"/>
        <v>0</v>
      </c>
      <c r="S23" s="17">
        <f t="shared" si="7"/>
        <v>0</v>
      </c>
      <c r="T23" s="22">
        <f t="shared" si="8"/>
        <v>5</v>
      </c>
      <c r="U23" s="23"/>
      <c r="V23" s="13"/>
      <c r="W23" s="13"/>
      <c r="X23" s="13"/>
      <c r="Y23" s="13"/>
      <c r="Z23" s="13"/>
      <c r="AA23" s="24"/>
    </row>
    <row r="24" ht="13.5" hidden="1" customHeight="1">
      <c r="A24" s="30" t="s">
        <v>55</v>
      </c>
      <c r="B24" s="31">
        <v>8.0</v>
      </c>
      <c r="C24" s="32">
        <v>94.1</v>
      </c>
      <c r="D24" s="32">
        <v>62.5</v>
      </c>
      <c r="E24" s="32">
        <v>3.937</v>
      </c>
      <c r="F24" s="33"/>
      <c r="G24" s="34">
        <v>45138.0</v>
      </c>
      <c r="H24" s="33"/>
      <c r="I24" s="34">
        <v>45145.0</v>
      </c>
      <c r="J24" s="35">
        <f t="shared" si="1"/>
        <v>45138</v>
      </c>
      <c r="K24" s="18">
        <f>IFERROR(__xludf.DUMMYFUNCTION("if(isblank(J24),,index(googlefinance(A24,K$2,J24-1),2,2))"),167.53)</f>
        <v>167.53</v>
      </c>
      <c r="L24" s="36">
        <f t="shared" si="2"/>
        <v>45145</v>
      </c>
      <c r="M24" s="19">
        <f>IFERROR(__xludf.DUMMYFUNCTION("if(isblank(L24),, index(googlefinance(A24,M$2,L24-1),2,2))"),173.1)</f>
        <v>173.1</v>
      </c>
      <c r="N24" s="20">
        <f>IFERROR(__xludf.DUMMYFUNCTION("if(isblank(A24),,googlefinance(A24))"),156.55)</f>
        <v>156.55</v>
      </c>
      <c r="O24" s="17" t="str">
        <f t="shared" si="3"/>
        <v>Completed</v>
      </c>
      <c r="P24" s="42" t="str">
        <f t="shared" si="4"/>
        <v>Loss</v>
      </c>
      <c r="Q24" s="43">
        <f t="shared" si="5"/>
        <v>-27.85</v>
      </c>
      <c r="R24" s="17" t="b">
        <f t="shared" si="6"/>
        <v>0</v>
      </c>
      <c r="S24" s="17">
        <f t="shared" si="7"/>
        <v>5.57</v>
      </c>
      <c r="T24" s="22">
        <f t="shared" si="8"/>
        <v>5</v>
      </c>
      <c r="U24" s="23"/>
      <c r="V24" s="13"/>
      <c r="W24" s="13"/>
      <c r="X24" s="13"/>
      <c r="Y24" s="13"/>
      <c r="Z24" s="13"/>
      <c r="AA24" s="24"/>
    </row>
    <row r="25" ht="13.5" hidden="1" customHeight="1">
      <c r="A25" s="30" t="s">
        <v>56</v>
      </c>
      <c r="B25" s="31">
        <v>8.0</v>
      </c>
      <c r="C25" s="32">
        <v>95.79</v>
      </c>
      <c r="D25" s="32">
        <v>50.0</v>
      </c>
      <c r="E25" s="32">
        <v>2.758</v>
      </c>
      <c r="F25" s="33"/>
      <c r="G25" s="34">
        <v>45138.0</v>
      </c>
      <c r="H25" s="33"/>
      <c r="I25" s="34">
        <v>45161.0</v>
      </c>
      <c r="J25" s="35">
        <f t="shared" si="1"/>
        <v>45138</v>
      </c>
      <c r="K25" s="18">
        <f>IFERROR(__xludf.DUMMYFUNCTION("if(isblank(J25),,index(googlefinance(A25,K$2,J25-1),2,2))"),187.46)</f>
        <v>187.46</v>
      </c>
      <c r="L25" s="36">
        <f t="shared" si="2"/>
        <v>45161</v>
      </c>
      <c r="M25" s="19">
        <f>IFERROR(__xludf.DUMMYFUNCTION("if(isblank(L25),, index(googlefinance(A25,M$2,L25-1),2,2))"),175.7)</f>
        <v>175.7</v>
      </c>
      <c r="N25" s="20">
        <f>IFERROR(__xludf.DUMMYFUNCTION("if(isblank(A25),,googlefinance(A25))"),166.32)</f>
        <v>166.32</v>
      </c>
      <c r="O25" s="17" t="str">
        <f t="shared" si="3"/>
        <v>Completed</v>
      </c>
      <c r="P25" s="37" t="str">
        <f t="shared" si="4"/>
        <v>Profit</v>
      </c>
      <c r="Q25" s="38">
        <f t="shared" si="5"/>
        <v>58.8</v>
      </c>
      <c r="R25" s="17" t="b">
        <f t="shared" si="6"/>
        <v>1</v>
      </c>
      <c r="S25" s="17">
        <f t="shared" si="7"/>
        <v>-11.76</v>
      </c>
      <c r="T25" s="22">
        <f t="shared" si="8"/>
        <v>5</v>
      </c>
      <c r="U25" s="23"/>
      <c r="V25" s="13"/>
      <c r="W25" s="13"/>
      <c r="X25" s="13"/>
      <c r="Y25" s="13"/>
      <c r="Z25" s="13"/>
      <c r="AA25" s="24"/>
    </row>
    <row r="26" ht="13.5" hidden="1" customHeight="1">
      <c r="A26" s="30" t="s">
        <v>57</v>
      </c>
      <c r="B26" s="31">
        <v>12.0</v>
      </c>
      <c r="C26" s="32">
        <v>411.01</v>
      </c>
      <c r="D26" s="32">
        <v>50.0</v>
      </c>
      <c r="E26" s="32">
        <v>3.885</v>
      </c>
      <c r="F26" s="33"/>
      <c r="G26" s="34">
        <v>45138.0</v>
      </c>
      <c r="H26" s="33"/>
      <c r="I26" s="34">
        <v>45140.0</v>
      </c>
      <c r="J26" s="35">
        <f t="shared" si="1"/>
        <v>45138</v>
      </c>
      <c r="K26" s="18">
        <f>IFERROR(__xludf.DUMMYFUNCTION("if(isblank(J26),,index(googlefinance(A26,K$2,J26-1),2,2))"),276.21)</f>
        <v>276.21</v>
      </c>
      <c r="L26" s="36">
        <f t="shared" si="2"/>
        <v>45140</v>
      </c>
      <c r="M26" s="19">
        <f>IFERROR(__xludf.DUMMYFUNCTION("if(isblank(L26),, index(googlefinance(A26,M$2,L26-1),2,2))"),274.4)</f>
        <v>274.4</v>
      </c>
      <c r="N26" s="20">
        <f>IFERROR(__xludf.DUMMYFUNCTION("if(isblank(A26),,googlefinance(A26))"),325.21)</f>
        <v>325.21</v>
      </c>
      <c r="O26" s="17" t="str">
        <f t="shared" si="3"/>
        <v>Completed</v>
      </c>
      <c r="P26" s="37" t="str">
        <f t="shared" si="4"/>
        <v>Profit</v>
      </c>
      <c r="Q26" s="38">
        <f t="shared" si="5"/>
        <v>5.43</v>
      </c>
      <c r="R26" s="17" t="b">
        <f t="shared" si="6"/>
        <v>1</v>
      </c>
      <c r="S26" s="17">
        <f t="shared" si="7"/>
        <v>-1.81</v>
      </c>
      <c r="T26" s="22">
        <f t="shared" si="8"/>
        <v>3</v>
      </c>
      <c r="U26" s="23"/>
      <c r="V26" s="13"/>
      <c r="W26" s="13"/>
      <c r="X26" s="13"/>
      <c r="Y26" s="13"/>
      <c r="Z26" s="13"/>
      <c r="AA26" s="24"/>
    </row>
    <row r="27" ht="13.5" hidden="1" customHeight="1">
      <c r="A27" s="13" t="s">
        <v>58</v>
      </c>
      <c r="B27" s="39">
        <v>10.0</v>
      </c>
      <c r="C27" s="22">
        <v>120.55</v>
      </c>
      <c r="D27" s="22">
        <v>30.0</v>
      </c>
      <c r="E27" s="22">
        <v>1.66</v>
      </c>
      <c r="F27" s="34">
        <v>45139.0</v>
      </c>
      <c r="G27" s="33"/>
      <c r="H27" s="34">
        <v>45140.0</v>
      </c>
      <c r="I27" s="33"/>
      <c r="J27" s="40">
        <f t="shared" si="1"/>
        <v>45139</v>
      </c>
      <c r="K27" s="18">
        <f>IFERROR(__xludf.DUMMYFUNCTION("if(isblank(J27),,index(googlefinance(A27,K$2,J27-1),2,2))"),88.89)</f>
        <v>88.89</v>
      </c>
      <c r="L27" s="41">
        <f t="shared" si="2"/>
        <v>45140</v>
      </c>
      <c r="M27" s="19">
        <f>IFERROR(__xludf.DUMMYFUNCTION("if(isblank(L27),, index(googlefinance(A27,M$2,L27-1),2,2))"),89.03)</f>
        <v>89.03</v>
      </c>
      <c r="N27" s="20">
        <f>IFERROR(__xludf.DUMMYFUNCTION("if(isblank(A27),,googlefinance(A27))"),111.6)</f>
        <v>111.6</v>
      </c>
      <c r="O27" s="17" t="str">
        <f t="shared" si="3"/>
        <v>Completed</v>
      </c>
      <c r="P27" s="37" t="str">
        <f t="shared" si="4"/>
        <v>Profit</v>
      </c>
      <c r="Q27" s="38">
        <f t="shared" si="5"/>
        <v>1.54</v>
      </c>
      <c r="R27" s="17" t="b">
        <f t="shared" si="6"/>
        <v>1</v>
      </c>
      <c r="S27" s="17">
        <f t="shared" si="7"/>
        <v>0.14</v>
      </c>
      <c r="T27" s="22">
        <f t="shared" si="8"/>
        <v>11</v>
      </c>
      <c r="U27" s="23"/>
      <c r="V27" s="13"/>
      <c r="W27" s="13"/>
      <c r="X27" s="13"/>
      <c r="Y27" s="13"/>
      <c r="Z27" s="13"/>
      <c r="AA27" s="24"/>
    </row>
    <row r="28" ht="13.5" hidden="1" customHeight="1">
      <c r="A28" s="13" t="s">
        <v>59</v>
      </c>
      <c r="B28" s="39">
        <v>6.0</v>
      </c>
      <c r="C28" s="22">
        <v>163.28</v>
      </c>
      <c r="D28" s="22">
        <v>66.667</v>
      </c>
      <c r="E28" s="22">
        <v>3.738</v>
      </c>
      <c r="F28" s="33"/>
      <c r="G28" s="34">
        <v>45140.0</v>
      </c>
      <c r="H28" s="33"/>
      <c r="I28" s="34">
        <v>45142.0</v>
      </c>
      <c r="J28" s="35">
        <f t="shared" si="1"/>
        <v>45140</v>
      </c>
      <c r="K28" s="18">
        <f>IFERROR(__xludf.DUMMYFUNCTION("if(isblank(J28),,index(googlefinance(A28,K$2,J28-1),2,2))"),232.12)</f>
        <v>232.12</v>
      </c>
      <c r="L28" s="36">
        <f t="shared" si="2"/>
        <v>45142</v>
      </c>
      <c r="M28" s="19">
        <f>IFERROR(__xludf.DUMMYFUNCTION("if(isblank(L28),, index(googlefinance(A28,M$2,L28-1),2,2))"),230.7)</f>
        <v>230.7</v>
      </c>
      <c r="N28" s="20">
        <f>IFERROR(__xludf.DUMMYFUNCTION("if(isblank(A28),"""",googlefinance(A28))"),283.7)</f>
        <v>283.7</v>
      </c>
      <c r="O28" s="17" t="str">
        <f t="shared" ref="O28:O44" si="9">IF(ISBLANK(J28),"",IF(ISBLANK(L28),"Ongoing","Completed"))</f>
        <v>Completed</v>
      </c>
      <c r="P28" s="37" t="str">
        <f t="shared" si="4"/>
        <v>Profit</v>
      </c>
      <c r="Q28" s="38">
        <f t="shared" si="5"/>
        <v>5.68</v>
      </c>
      <c r="R28" s="17" t="b">
        <f t="shared" si="6"/>
        <v>1</v>
      </c>
      <c r="S28" s="17">
        <f t="shared" ref="S28:S44" si="10">IF(ISBLANK(J28),"",IF(ISBLANK(L28),N28-K28,M28-K28))</f>
        <v>-1.42</v>
      </c>
      <c r="T28" s="22">
        <f t="shared" si="8"/>
        <v>4</v>
      </c>
      <c r="U28" s="23"/>
      <c r="V28" s="13"/>
      <c r="W28" s="13"/>
      <c r="X28" s="13"/>
      <c r="Y28" s="13"/>
      <c r="Z28" s="13"/>
      <c r="AA28" s="24"/>
    </row>
    <row r="29" ht="13.5" hidden="1" customHeight="1">
      <c r="A29" s="13" t="s">
        <v>60</v>
      </c>
      <c r="B29" s="39">
        <v>11.0</v>
      </c>
      <c r="C29" s="22">
        <v>240.087</v>
      </c>
      <c r="D29" s="22">
        <v>45.455</v>
      </c>
      <c r="E29" s="22">
        <v>3.45</v>
      </c>
      <c r="F29" s="33"/>
      <c r="G29" s="34">
        <v>45140.0</v>
      </c>
      <c r="H29" s="33"/>
      <c r="I29" s="34">
        <v>45146.0</v>
      </c>
      <c r="J29" s="35">
        <f t="shared" si="1"/>
        <v>45140</v>
      </c>
      <c r="K29" s="18">
        <f>IFERROR(__xludf.DUMMYFUNCTION("if(isblank(J29),,index(googlefinance(A29,K$2,J29-1),2,2))"),278.54)</f>
        <v>278.54</v>
      </c>
      <c r="L29" s="36">
        <f t="shared" si="2"/>
        <v>45146</v>
      </c>
      <c r="M29" s="19">
        <f>IFERROR(__xludf.DUMMYFUNCTION("if(isblank(L29),, index(googlefinance(A29,M$2,L29-1),2,2))"),275.22)</f>
        <v>275.22</v>
      </c>
      <c r="N29" s="20">
        <f>IFERROR(__xludf.DUMMYFUNCTION("if(isblank(A29),"""",googlefinance(A29))"),240.76)</f>
        <v>240.76</v>
      </c>
      <c r="O29" s="17" t="str">
        <f t="shared" si="9"/>
        <v>Completed</v>
      </c>
      <c r="P29" s="37" t="str">
        <f t="shared" si="4"/>
        <v>Profit</v>
      </c>
      <c r="Q29" s="38">
        <f t="shared" si="5"/>
        <v>9.96</v>
      </c>
      <c r="R29" s="17" t="b">
        <f t="shared" si="6"/>
        <v>1</v>
      </c>
      <c r="S29" s="17">
        <f t="shared" si="10"/>
        <v>-3.32</v>
      </c>
      <c r="T29" s="22">
        <f t="shared" si="8"/>
        <v>3</v>
      </c>
      <c r="U29" s="23"/>
      <c r="V29" s="13"/>
      <c r="W29" s="13"/>
      <c r="X29" s="13"/>
      <c r="Y29" s="13"/>
      <c r="Z29" s="13"/>
      <c r="AA29" s="24"/>
    </row>
    <row r="30" ht="13.5" hidden="1" customHeight="1">
      <c r="A30" s="13" t="s">
        <v>61</v>
      </c>
      <c r="B30" s="39">
        <v>8.0</v>
      </c>
      <c r="C30" s="22">
        <v>200.98</v>
      </c>
      <c r="D30" s="22">
        <v>62.5</v>
      </c>
      <c r="E30" s="22">
        <v>3.462</v>
      </c>
      <c r="F30" s="33"/>
      <c r="G30" s="34">
        <v>45140.0</v>
      </c>
      <c r="H30" s="33"/>
      <c r="I30" s="34">
        <v>45167.0</v>
      </c>
      <c r="J30" s="35">
        <f t="shared" si="1"/>
        <v>45140</v>
      </c>
      <c r="K30" s="18">
        <f>IFERROR(__xludf.DUMMYFUNCTION("if(isblank(J30),,index(googlefinance(A30,K$2,J30-1),2,2))"),31.1)</f>
        <v>31.1</v>
      </c>
      <c r="L30" s="36">
        <f t="shared" si="2"/>
        <v>45167</v>
      </c>
      <c r="M30" s="19">
        <f>IFERROR(__xludf.DUMMYFUNCTION("if(isblank(L30),, index(googlefinance(A30,M$2,L30-1),2,2))"),27.37)</f>
        <v>27.37</v>
      </c>
      <c r="N30" s="20">
        <f>IFERROR(__xludf.DUMMYFUNCTION("if(isblank(A30),"""",googlefinance(A30))"),31.56)</f>
        <v>31.56</v>
      </c>
      <c r="O30" s="17" t="str">
        <f t="shared" si="9"/>
        <v>Completed</v>
      </c>
      <c r="P30" s="37" t="str">
        <f t="shared" si="4"/>
        <v>Profit</v>
      </c>
      <c r="Q30" s="38">
        <f t="shared" si="5"/>
        <v>119.36</v>
      </c>
      <c r="R30" s="17" t="b">
        <f t="shared" si="6"/>
        <v>1</v>
      </c>
      <c r="S30" s="17">
        <f t="shared" si="10"/>
        <v>-3.73</v>
      </c>
      <c r="T30" s="22">
        <f t="shared" si="8"/>
        <v>32</v>
      </c>
      <c r="U30" s="23"/>
      <c r="V30" s="13"/>
      <c r="W30" s="13"/>
      <c r="X30" s="13"/>
      <c r="Y30" s="13"/>
      <c r="Z30" s="13"/>
      <c r="AA30" s="24"/>
    </row>
    <row r="31" ht="13.5" hidden="1" customHeight="1">
      <c r="A31" s="13" t="s">
        <v>62</v>
      </c>
      <c r="B31" s="39">
        <v>7.0</v>
      </c>
      <c r="C31" s="22">
        <v>257.38</v>
      </c>
      <c r="D31" s="22">
        <v>28.571</v>
      </c>
      <c r="E31" s="22">
        <v>3.065</v>
      </c>
      <c r="F31" s="33"/>
      <c r="G31" s="34">
        <v>45140.0</v>
      </c>
      <c r="H31" s="33"/>
      <c r="I31" s="34">
        <v>45156.0</v>
      </c>
      <c r="J31" s="35">
        <f t="shared" si="1"/>
        <v>45140</v>
      </c>
      <c r="K31" s="18">
        <f>IFERROR(__xludf.DUMMYFUNCTION("if(isblank(J31),,index(googlefinance(A31,K$2,J31-1),2,2))"),53.68)</f>
        <v>53.68</v>
      </c>
      <c r="L31" s="36">
        <f t="shared" si="2"/>
        <v>45156</v>
      </c>
      <c r="M31" s="19">
        <f>IFERROR(__xludf.DUMMYFUNCTION("if(isblank(L31),, index(googlefinance(A31,M$2,L31-1),2,2))"),49.06)</f>
        <v>49.06</v>
      </c>
      <c r="N31" s="20">
        <f>IFERROR(__xludf.DUMMYFUNCTION("if(isblank(A31),"""",googlefinance(A31))"),43.46)</f>
        <v>43.46</v>
      </c>
      <c r="O31" s="17" t="str">
        <f t="shared" si="9"/>
        <v>Completed</v>
      </c>
      <c r="P31" s="37" t="str">
        <f t="shared" si="4"/>
        <v>Profit</v>
      </c>
      <c r="Q31" s="38">
        <f t="shared" si="5"/>
        <v>83.16</v>
      </c>
      <c r="R31" s="17" t="b">
        <f t="shared" si="6"/>
        <v>1</v>
      </c>
      <c r="S31" s="17">
        <f t="shared" si="10"/>
        <v>-4.62</v>
      </c>
      <c r="T31" s="22">
        <f t="shared" si="8"/>
        <v>18</v>
      </c>
      <c r="U31" s="23"/>
      <c r="V31" s="13"/>
      <c r="W31" s="13"/>
      <c r="X31" s="13"/>
      <c r="Y31" s="13"/>
      <c r="Z31" s="13"/>
      <c r="AA31" s="24"/>
    </row>
    <row r="32" ht="13.5" hidden="1" customHeight="1">
      <c r="A32" s="13" t="s">
        <v>63</v>
      </c>
      <c r="B32" s="39">
        <v>12.0</v>
      </c>
      <c r="C32" s="22">
        <v>131.94</v>
      </c>
      <c r="D32" s="22">
        <v>33.333</v>
      </c>
      <c r="E32" s="22">
        <v>1.553</v>
      </c>
      <c r="F32" s="33"/>
      <c r="G32" s="34">
        <v>45140.0</v>
      </c>
      <c r="H32" s="33"/>
      <c r="I32" s="34">
        <v>45160.0</v>
      </c>
      <c r="J32" s="35">
        <f t="shared" si="1"/>
        <v>45140</v>
      </c>
      <c r="K32" s="18">
        <f>IFERROR(__xludf.DUMMYFUNCTION("if(isblank(J32),,index(googlefinance(A32,K$2,J32-1),2,2))"),370.78)</f>
        <v>370.78</v>
      </c>
      <c r="L32" s="36">
        <f t="shared" si="2"/>
        <v>45160</v>
      </c>
      <c r="M32" s="19">
        <f>IFERROR(__xludf.DUMMYFUNCTION("if(isblank(L32),, index(googlefinance(A32,M$2,L32-1),2,2))"),283.65)</f>
        <v>283.65</v>
      </c>
      <c r="N32" s="20">
        <f>IFERROR(__xludf.DUMMYFUNCTION("if(isblank(A32),"""",googlefinance(A32))"),190.82)</f>
        <v>190.82</v>
      </c>
      <c r="O32" s="17" t="str">
        <f t="shared" si="9"/>
        <v>Completed</v>
      </c>
      <c r="P32" s="37" t="str">
        <f t="shared" si="4"/>
        <v>Profit</v>
      </c>
      <c r="Q32" s="38">
        <f t="shared" si="5"/>
        <v>174.26</v>
      </c>
      <c r="R32" s="17" t="b">
        <f t="shared" si="6"/>
        <v>1</v>
      </c>
      <c r="S32" s="17">
        <f t="shared" si="10"/>
        <v>-87.13</v>
      </c>
      <c r="T32" s="22">
        <f t="shared" si="8"/>
        <v>2</v>
      </c>
      <c r="U32" s="23"/>
      <c r="V32" s="13"/>
      <c r="W32" s="13"/>
      <c r="X32" s="13"/>
      <c r="Y32" s="13"/>
      <c r="Z32" s="13"/>
      <c r="AA32" s="24"/>
    </row>
    <row r="33" ht="13.5" hidden="1" customHeight="1">
      <c r="A33" s="30" t="s">
        <v>64</v>
      </c>
      <c r="B33" s="31">
        <v>11.0</v>
      </c>
      <c r="C33" s="32">
        <v>135.88</v>
      </c>
      <c r="D33" s="32">
        <v>45.455</v>
      </c>
      <c r="E33" s="32">
        <v>2.27</v>
      </c>
      <c r="F33" s="33"/>
      <c r="G33" s="34">
        <v>45141.0</v>
      </c>
      <c r="H33" s="33"/>
      <c r="I33" s="34">
        <v>45152.0</v>
      </c>
      <c r="J33" s="35">
        <f t="shared" si="1"/>
        <v>45141</v>
      </c>
      <c r="K33" s="18">
        <f>IFERROR(__xludf.DUMMYFUNCTION("if(isblank(J33),,index(googlefinance(A33,K$2,J33-1),2,2))"),299.32)</f>
        <v>299.32</v>
      </c>
      <c r="L33" s="36">
        <f t="shared" si="2"/>
        <v>45152</v>
      </c>
      <c r="M33" s="19">
        <f>IFERROR(__xludf.DUMMYFUNCTION("if(isblank(L33),, index(googlefinance(A33,M$2,L33-1),2,2))"),290.73)</f>
        <v>290.73</v>
      </c>
      <c r="N33" s="20">
        <f>IFERROR(__xludf.DUMMYFUNCTION("if(isblank(A33),"""",googlefinance(A33))"),226.85)</f>
        <v>226.85</v>
      </c>
      <c r="O33" s="17" t="str">
        <f t="shared" si="9"/>
        <v>Completed</v>
      </c>
      <c r="P33" s="37" t="str">
        <f t="shared" si="4"/>
        <v>Profit</v>
      </c>
      <c r="Q33" s="38">
        <f t="shared" si="5"/>
        <v>25.77</v>
      </c>
      <c r="R33" s="17" t="b">
        <f t="shared" si="6"/>
        <v>1</v>
      </c>
      <c r="S33" s="17">
        <f t="shared" si="10"/>
        <v>-8.59</v>
      </c>
      <c r="T33" s="22">
        <f t="shared" si="8"/>
        <v>3</v>
      </c>
      <c r="U33" s="23"/>
      <c r="V33" s="13"/>
      <c r="W33" s="13"/>
      <c r="X33" s="13"/>
      <c r="Y33" s="13"/>
      <c r="Z33" s="13"/>
      <c r="AA33" s="24"/>
    </row>
    <row r="34" ht="13.5" hidden="1" customHeight="1">
      <c r="A34" s="30" t="s">
        <v>65</v>
      </c>
      <c r="B34" s="31">
        <v>12.0</v>
      </c>
      <c r="C34" s="32">
        <v>246.07</v>
      </c>
      <c r="D34" s="32">
        <v>50.0</v>
      </c>
      <c r="E34" s="32">
        <v>2.485</v>
      </c>
      <c r="F34" s="33"/>
      <c r="G34" s="34">
        <v>45141.0</v>
      </c>
      <c r="H34" s="33"/>
      <c r="I34" s="34">
        <v>45145.0</v>
      </c>
      <c r="J34" s="35">
        <f t="shared" si="1"/>
        <v>45141</v>
      </c>
      <c r="K34" s="18">
        <f>IFERROR(__xludf.DUMMYFUNCTION("if(isblank(J34),,index(googlefinance(A34,K$2,J34-1),2,2))"),31.19)</f>
        <v>31.19</v>
      </c>
      <c r="L34" s="36">
        <f t="shared" si="2"/>
        <v>45145</v>
      </c>
      <c r="M34" s="19">
        <f>IFERROR(__xludf.DUMMYFUNCTION("if(isblank(L34),, index(googlefinance(A34,M$2,L34-1),2,2))"),31.88)</f>
        <v>31.88</v>
      </c>
      <c r="N34" s="20">
        <f>IFERROR(__xludf.DUMMYFUNCTION("if(isblank(A34),"""",googlefinance(A34))"),34.09)</f>
        <v>34.09</v>
      </c>
      <c r="O34" s="17" t="str">
        <f t="shared" si="9"/>
        <v>Completed</v>
      </c>
      <c r="P34" s="42" t="str">
        <f t="shared" si="4"/>
        <v>Loss</v>
      </c>
      <c r="Q34" s="43">
        <f t="shared" si="5"/>
        <v>-22.08</v>
      </c>
      <c r="R34" s="17" t="b">
        <f t="shared" si="6"/>
        <v>0</v>
      </c>
      <c r="S34" s="17">
        <f t="shared" si="10"/>
        <v>0.69</v>
      </c>
      <c r="T34" s="22">
        <f t="shared" si="8"/>
        <v>32</v>
      </c>
      <c r="U34" s="23"/>
      <c r="V34" s="13"/>
      <c r="W34" s="13"/>
      <c r="X34" s="13"/>
      <c r="Y34" s="13"/>
      <c r="Z34" s="13"/>
      <c r="AA34" s="24"/>
    </row>
    <row r="35" ht="13.5" hidden="1" customHeight="1">
      <c r="A35" s="30" t="s">
        <v>66</v>
      </c>
      <c r="B35" s="31">
        <v>15.0</v>
      </c>
      <c r="C35" s="32">
        <v>8.22</v>
      </c>
      <c r="D35" s="32">
        <v>13.333</v>
      </c>
      <c r="E35" s="32">
        <v>1.07</v>
      </c>
      <c r="F35" s="33"/>
      <c r="G35" s="34">
        <v>45141.0</v>
      </c>
      <c r="H35" s="33"/>
      <c r="I35" s="34">
        <v>45142.0</v>
      </c>
      <c r="J35" s="35">
        <f t="shared" si="1"/>
        <v>45141</v>
      </c>
      <c r="K35" s="18">
        <f>IFERROR(__xludf.DUMMYFUNCTION("if(isblank(J35),,index(googlefinance(A35,K$2,J35-1),2,2))"),2884.92)</f>
        <v>2884.92</v>
      </c>
      <c r="L35" s="36">
        <f t="shared" si="2"/>
        <v>45142</v>
      </c>
      <c r="M35" s="19">
        <f>IFERROR(__xludf.DUMMYFUNCTION("if(isblank(L35),, index(googlefinance(A35,M$2,L35-1),2,2))"),2839.91)</f>
        <v>2839.91</v>
      </c>
      <c r="N35" s="20">
        <f>IFERROR(__xludf.DUMMYFUNCTION("if(isblank(A35),"""",googlefinance(A35))"),3716.84)</f>
        <v>3716.84</v>
      </c>
      <c r="O35" s="17" t="str">
        <f t="shared" si="9"/>
        <v>Completed</v>
      </c>
      <c r="P35" s="37" t="str">
        <f t="shared" si="4"/>
        <v>Profit</v>
      </c>
      <c r="Q35" s="21">
        <f t="shared" si="5"/>
        <v>0</v>
      </c>
      <c r="R35" s="17" t="b">
        <f t="shared" si="6"/>
        <v>0</v>
      </c>
      <c r="S35" s="17">
        <f t="shared" si="10"/>
        <v>-45.01</v>
      </c>
      <c r="T35" s="22">
        <f t="shared" si="8"/>
        <v>0</v>
      </c>
      <c r="U35" s="23"/>
      <c r="V35" s="13"/>
      <c r="W35" s="13"/>
      <c r="X35" s="13"/>
      <c r="Y35" s="13"/>
      <c r="Z35" s="13"/>
      <c r="AA35" s="24"/>
    </row>
    <row r="36" ht="13.5" hidden="1" customHeight="1">
      <c r="A36" s="30" t="s">
        <v>67</v>
      </c>
      <c r="B36" s="31">
        <v>4.0</v>
      </c>
      <c r="C36" s="32">
        <v>101.86</v>
      </c>
      <c r="D36" s="32">
        <v>75.0</v>
      </c>
      <c r="E36" s="32">
        <v>8.884</v>
      </c>
      <c r="F36" s="33"/>
      <c r="G36" s="34">
        <v>45141.0</v>
      </c>
      <c r="H36" s="33"/>
      <c r="I36" s="34">
        <v>45145.0</v>
      </c>
      <c r="J36" s="35">
        <f t="shared" si="1"/>
        <v>45141</v>
      </c>
      <c r="K36" s="18">
        <f>IFERROR(__xludf.DUMMYFUNCTION("if(isblank(J36),,index(googlefinance(A36,K$2,J36-1),2,2))"),21.81)</f>
        <v>21.81</v>
      </c>
      <c r="L36" s="36">
        <f t="shared" si="2"/>
        <v>45145</v>
      </c>
      <c r="M36" s="19">
        <f>IFERROR(__xludf.DUMMYFUNCTION("if(isblank(L36),, index(googlefinance(A36,M$2,L36-1),2,2))"),21.8)</f>
        <v>21.8</v>
      </c>
      <c r="N36" s="20">
        <f>IFERROR(__xludf.DUMMYFUNCTION("if(isblank(A36),"""",googlefinance(A36))"),18.71)</f>
        <v>18.71</v>
      </c>
      <c r="O36" s="17" t="str">
        <f t="shared" si="9"/>
        <v>Completed</v>
      </c>
      <c r="P36" s="37" t="str">
        <f t="shared" si="4"/>
        <v>Profit</v>
      </c>
      <c r="Q36" s="38">
        <f t="shared" si="5"/>
        <v>0.45</v>
      </c>
      <c r="R36" s="17" t="b">
        <f t="shared" si="6"/>
        <v>1</v>
      </c>
      <c r="S36" s="17">
        <f t="shared" si="10"/>
        <v>-0.01</v>
      </c>
      <c r="T36" s="22">
        <f t="shared" si="8"/>
        <v>45</v>
      </c>
      <c r="U36" s="23"/>
      <c r="V36" s="13"/>
      <c r="W36" s="13"/>
      <c r="X36" s="13"/>
      <c r="Y36" s="13"/>
      <c r="Z36" s="13"/>
      <c r="AA36" s="24"/>
    </row>
    <row r="37" ht="13.5" hidden="1" customHeight="1">
      <c r="A37" s="30" t="s">
        <v>68</v>
      </c>
      <c r="B37" s="31">
        <v>14.0</v>
      </c>
      <c r="C37" s="32">
        <v>182.42</v>
      </c>
      <c r="D37" s="32">
        <v>35.714</v>
      </c>
      <c r="E37" s="32">
        <v>1.589</v>
      </c>
      <c r="F37" s="33"/>
      <c r="G37" s="34">
        <v>45141.0</v>
      </c>
      <c r="H37" s="33"/>
      <c r="I37" s="34">
        <v>45153.0</v>
      </c>
      <c r="J37" s="35">
        <f t="shared" si="1"/>
        <v>45141</v>
      </c>
      <c r="K37" s="18">
        <f>IFERROR(__xludf.DUMMYFUNCTION("if(isblank(J37),,index(googlefinance(A37,K$2,J37-1),2,2))"),229.22)</f>
        <v>229.22</v>
      </c>
      <c r="L37" s="36">
        <f t="shared" si="2"/>
        <v>45153</v>
      </c>
      <c r="M37" s="19">
        <f>IFERROR(__xludf.DUMMYFUNCTION("if(isblank(L37),, index(googlefinance(A37,M$2,L37-1),2,2))"),228.11)</f>
        <v>228.11</v>
      </c>
      <c r="N37" s="20">
        <f>IFERROR(__xludf.DUMMYFUNCTION("if(isblank(A37),"""",googlefinance(A37))"),302.67)</f>
        <v>302.67</v>
      </c>
      <c r="O37" s="17" t="str">
        <f t="shared" si="9"/>
        <v>Completed</v>
      </c>
      <c r="P37" s="37" t="str">
        <f t="shared" si="4"/>
        <v>Profit</v>
      </c>
      <c r="Q37" s="38">
        <f t="shared" si="5"/>
        <v>4.44</v>
      </c>
      <c r="R37" s="17" t="b">
        <f t="shared" si="6"/>
        <v>1</v>
      </c>
      <c r="S37" s="17">
        <f t="shared" si="10"/>
        <v>-1.11</v>
      </c>
      <c r="T37" s="22">
        <f t="shared" si="8"/>
        <v>4</v>
      </c>
      <c r="U37" s="23"/>
      <c r="V37" s="13"/>
      <c r="W37" s="13"/>
      <c r="X37" s="13"/>
      <c r="Y37" s="13"/>
      <c r="Z37" s="13"/>
      <c r="AA37" s="24"/>
    </row>
    <row r="38" ht="13.5" hidden="1" customHeight="1">
      <c r="A38" s="30" t="s">
        <v>69</v>
      </c>
      <c r="B38" s="31">
        <v>10.0</v>
      </c>
      <c r="C38" s="32">
        <v>213.99</v>
      </c>
      <c r="D38" s="32">
        <v>40.0</v>
      </c>
      <c r="E38" s="32">
        <v>2.261</v>
      </c>
      <c r="F38" s="33"/>
      <c r="G38" s="34">
        <v>45142.0</v>
      </c>
      <c r="H38" s="33"/>
      <c r="I38" s="34">
        <v>45167.0</v>
      </c>
      <c r="J38" s="35">
        <f t="shared" si="1"/>
        <v>45142</v>
      </c>
      <c r="K38" s="18">
        <f>IFERROR(__xludf.DUMMYFUNCTION("if(isblank(J38),,index(googlefinance(A38,K$2,J38-1),2,2))"),242.64)</f>
        <v>242.64</v>
      </c>
      <c r="L38" s="36">
        <f t="shared" si="2"/>
        <v>45167</v>
      </c>
      <c r="M38" s="19">
        <f>IFERROR(__xludf.DUMMYFUNCTION("if(isblank(L38),, index(googlefinance(A38,M$2,L38-1),2,2))"),232.62)</f>
        <v>232.62</v>
      </c>
      <c r="N38" s="20">
        <f>IFERROR(__xludf.DUMMYFUNCTION("if(isblank(A38),"""",googlefinance(A38))"),266.48)</f>
        <v>266.48</v>
      </c>
      <c r="O38" s="17" t="str">
        <f t="shared" si="9"/>
        <v>Completed</v>
      </c>
      <c r="P38" s="37" t="str">
        <f t="shared" si="4"/>
        <v>Profit</v>
      </c>
      <c r="Q38" s="38">
        <f t="shared" si="5"/>
        <v>40.08</v>
      </c>
      <c r="R38" s="17" t="b">
        <f t="shared" si="6"/>
        <v>1</v>
      </c>
      <c r="S38" s="17">
        <f t="shared" si="10"/>
        <v>-10.02</v>
      </c>
      <c r="T38" s="22">
        <f t="shared" si="8"/>
        <v>4</v>
      </c>
      <c r="U38" s="23"/>
      <c r="V38" s="13"/>
      <c r="W38" s="13"/>
      <c r="X38" s="13"/>
      <c r="Y38" s="13"/>
      <c r="Z38" s="13"/>
      <c r="AA38" s="24"/>
    </row>
    <row r="39" ht="13.5" hidden="1" customHeight="1">
      <c r="A39" s="30" t="s">
        <v>70</v>
      </c>
      <c r="B39" s="31">
        <v>9.0</v>
      </c>
      <c r="C39" s="32">
        <v>74.16</v>
      </c>
      <c r="D39" s="32">
        <v>33.333</v>
      </c>
      <c r="E39" s="32">
        <v>1.426</v>
      </c>
      <c r="F39" s="33"/>
      <c r="G39" s="34">
        <v>45142.0</v>
      </c>
      <c r="H39" s="33"/>
      <c r="I39" s="34">
        <v>45163.0</v>
      </c>
      <c r="J39" s="35">
        <f t="shared" si="1"/>
        <v>45142</v>
      </c>
      <c r="K39" s="18">
        <f>IFERROR(__xludf.DUMMYFUNCTION("if(isblank(J39),,index(googlefinance(A39,K$2,J39-1),2,2))"),380.75)</f>
        <v>380.75</v>
      </c>
      <c r="L39" s="36">
        <f t="shared" si="2"/>
        <v>45163</v>
      </c>
      <c r="M39" s="19">
        <f>IFERROR(__xludf.DUMMYFUNCTION("if(isblank(L39),, index(googlefinance(A39,M$2,L39-1),2,2))"),377.94)</f>
        <v>377.94</v>
      </c>
      <c r="N39" s="20">
        <f>IFERROR(__xludf.DUMMYFUNCTION("if(isblank(A39),"""",googlefinance(A39))"),431.63)</f>
        <v>431.63</v>
      </c>
      <c r="O39" s="17" t="str">
        <f t="shared" si="9"/>
        <v>Completed</v>
      </c>
      <c r="P39" s="37" t="str">
        <f t="shared" si="4"/>
        <v>Profit</v>
      </c>
      <c r="Q39" s="38">
        <f t="shared" si="5"/>
        <v>5.62</v>
      </c>
      <c r="R39" s="17" t="b">
        <f t="shared" si="6"/>
        <v>1</v>
      </c>
      <c r="S39" s="17">
        <f t="shared" si="10"/>
        <v>-2.81</v>
      </c>
      <c r="T39" s="22">
        <f t="shared" si="8"/>
        <v>2</v>
      </c>
      <c r="U39" s="23"/>
      <c r="V39" s="13"/>
      <c r="W39" s="13"/>
      <c r="X39" s="13"/>
      <c r="Y39" s="13"/>
      <c r="Z39" s="13"/>
      <c r="AA39" s="24"/>
    </row>
    <row r="40" ht="13.5" hidden="1" customHeight="1">
      <c r="A40" s="30" t="s">
        <v>71</v>
      </c>
      <c r="B40" s="31">
        <v>5.0</v>
      </c>
      <c r="C40" s="32">
        <v>186.41</v>
      </c>
      <c r="D40" s="32">
        <v>60.0</v>
      </c>
      <c r="E40" s="32">
        <v>6.275</v>
      </c>
      <c r="F40" s="33"/>
      <c r="G40" s="34">
        <v>45142.0</v>
      </c>
      <c r="H40" s="33"/>
      <c r="I40" s="34">
        <v>45166.0</v>
      </c>
      <c r="J40" s="35">
        <f t="shared" si="1"/>
        <v>45142</v>
      </c>
      <c r="K40" s="18">
        <f>IFERROR(__xludf.DUMMYFUNCTION("if(isblank(J40),,index(googlefinance(A40,K$2,J40-1),2,2))"),107.19)</f>
        <v>107.19</v>
      </c>
      <c r="L40" s="36">
        <f t="shared" si="2"/>
        <v>45166</v>
      </c>
      <c r="M40" s="19">
        <f>IFERROR(__xludf.DUMMYFUNCTION("if(isblank(L40),, index(googlefinance(A40,M$2,L40-1),2,2))"),104.12)</f>
        <v>104.12</v>
      </c>
      <c r="N40" s="20">
        <f>IFERROR(__xludf.DUMMYFUNCTION("if(isblank(A40),"""",googlefinance(A40))"),91.25)</f>
        <v>91.25</v>
      </c>
      <c r="O40" s="17" t="str">
        <f t="shared" si="9"/>
        <v>Completed</v>
      </c>
      <c r="P40" s="37" t="str">
        <f t="shared" si="4"/>
        <v>Profit</v>
      </c>
      <c r="Q40" s="38">
        <f t="shared" si="5"/>
        <v>27.63</v>
      </c>
      <c r="R40" s="17" t="b">
        <f t="shared" si="6"/>
        <v>1</v>
      </c>
      <c r="S40" s="17">
        <f t="shared" si="10"/>
        <v>-3.07</v>
      </c>
      <c r="T40" s="22">
        <f t="shared" si="8"/>
        <v>9</v>
      </c>
      <c r="U40" s="23"/>
      <c r="V40" s="13"/>
      <c r="W40" s="13"/>
      <c r="X40" s="13"/>
      <c r="Y40" s="13"/>
      <c r="Z40" s="13"/>
      <c r="AA40" s="24"/>
    </row>
    <row r="41" ht="13.5" hidden="1" customHeight="1">
      <c r="A41" s="30" t="s">
        <v>72</v>
      </c>
      <c r="B41" s="31">
        <v>9.0</v>
      </c>
      <c r="C41" s="32">
        <v>11.2</v>
      </c>
      <c r="D41" s="32">
        <v>33.333</v>
      </c>
      <c r="E41" s="32">
        <v>1.051</v>
      </c>
      <c r="F41" s="33"/>
      <c r="G41" s="34">
        <v>45142.0</v>
      </c>
      <c r="H41" s="33"/>
      <c r="I41" s="34">
        <v>45148.0</v>
      </c>
      <c r="J41" s="35">
        <f t="shared" si="1"/>
        <v>45142</v>
      </c>
      <c r="K41" s="18">
        <f>IFERROR(__xludf.DUMMYFUNCTION("if(isblank(J41),,index(googlefinance(A41,K$2,J41-1),2,2))"),112.59)</f>
        <v>112.59</v>
      </c>
      <c r="L41" s="36">
        <f t="shared" si="2"/>
        <v>45148</v>
      </c>
      <c r="M41" s="19">
        <f>IFERROR(__xludf.DUMMYFUNCTION("if(isblank(L41),, index(googlefinance(A41,M$2,L41-1),2,2))"),113.03)</f>
        <v>113.03</v>
      </c>
      <c r="N41" s="20">
        <f>IFERROR(__xludf.DUMMYFUNCTION("if(isblank(A41),"""",googlefinance(A41))"),144.08)</f>
        <v>144.08</v>
      </c>
      <c r="O41" s="17" t="str">
        <f t="shared" si="9"/>
        <v>Completed</v>
      </c>
      <c r="P41" s="42" t="str">
        <f t="shared" si="4"/>
        <v>Loss</v>
      </c>
      <c r="Q41" s="43">
        <f t="shared" si="5"/>
        <v>-3.52</v>
      </c>
      <c r="R41" s="17" t="b">
        <f t="shared" si="6"/>
        <v>0</v>
      </c>
      <c r="S41" s="17">
        <f t="shared" si="10"/>
        <v>0.44</v>
      </c>
      <c r="T41" s="22">
        <f t="shared" si="8"/>
        <v>8</v>
      </c>
      <c r="U41" s="23"/>
      <c r="V41" s="13"/>
      <c r="W41" s="13"/>
      <c r="X41" s="13"/>
      <c r="Y41" s="13"/>
      <c r="Z41" s="13"/>
      <c r="AA41" s="24"/>
    </row>
    <row r="42" ht="13.5" hidden="1" customHeight="1">
      <c r="A42" s="13" t="s">
        <v>73</v>
      </c>
      <c r="B42" s="39">
        <v>12.0</v>
      </c>
      <c r="C42" s="22">
        <v>66.82</v>
      </c>
      <c r="D42" s="22">
        <v>33.333</v>
      </c>
      <c r="E42" s="22">
        <v>1.251</v>
      </c>
      <c r="F42" s="33"/>
      <c r="G42" s="34">
        <v>45145.0</v>
      </c>
      <c r="H42" s="33"/>
      <c r="I42" s="34">
        <v>45167.0</v>
      </c>
      <c r="J42" s="35">
        <f t="shared" si="1"/>
        <v>45145</v>
      </c>
      <c r="K42" s="18">
        <f>IFERROR(__xludf.DUMMYFUNCTION("if(isblank(J42),,index(googlefinance(A42,K$2,J42-1),2,2))"),119.66)</f>
        <v>119.66</v>
      </c>
      <c r="L42" s="36">
        <f t="shared" si="2"/>
        <v>45167</v>
      </c>
      <c r="M42" s="19">
        <f>IFERROR(__xludf.DUMMYFUNCTION("if(isblank(L42),, index(googlefinance(A42,M$2,L42-1),2,2))"),111.67)</f>
        <v>111.67</v>
      </c>
      <c r="N42" s="20">
        <f>IFERROR(__xludf.DUMMYFUNCTION("if(isblank(A42),"""",googlefinance(A42))"),149.96)</f>
        <v>149.96</v>
      </c>
      <c r="O42" s="17" t="str">
        <f t="shared" si="9"/>
        <v>Completed</v>
      </c>
      <c r="P42" s="37" t="str">
        <f t="shared" si="4"/>
        <v>Profit</v>
      </c>
      <c r="Q42" s="38">
        <f t="shared" si="5"/>
        <v>63.92</v>
      </c>
      <c r="R42" s="17" t="b">
        <f t="shared" si="6"/>
        <v>1</v>
      </c>
      <c r="S42" s="17">
        <f t="shared" si="10"/>
        <v>-7.99</v>
      </c>
      <c r="T42" s="22">
        <f t="shared" si="8"/>
        <v>8</v>
      </c>
      <c r="U42" s="23"/>
      <c r="V42" s="13"/>
      <c r="W42" s="13"/>
      <c r="X42" s="13"/>
      <c r="Y42" s="13"/>
      <c r="Z42" s="13"/>
      <c r="AA42" s="24"/>
    </row>
    <row r="43" ht="13.5" hidden="1" customHeight="1">
      <c r="A43" s="13" t="s">
        <v>74</v>
      </c>
      <c r="B43" s="39">
        <v>8.0</v>
      </c>
      <c r="C43" s="22">
        <v>51.13</v>
      </c>
      <c r="D43" s="22">
        <v>62.5</v>
      </c>
      <c r="E43" s="22">
        <v>1.525</v>
      </c>
      <c r="F43" s="33"/>
      <c r="G43" s="34">
        <v>45146.0</v>
      </c>
      <c r="H43" s="33"/>
      <c r="I43" s="34">
        <v>45148.0</v>
      </c>
      <c r="J43" s="35">
        <f t="shared" si="1"/>
        <v>45146</v>
      </c>
      <c r="K43" s="18">
        <f>IFERROR(__xludf.DUMMYFUNCTION("if(isblank(J43),,index(googlefinance(A43,K$2,J43-1),2,2))"),80.85)</f>
        <v>80.85</v>
      </c>
      <c r="L43" s="36">
        <f t="shared" si="2"/>
        <v>45148</v>
      </c>
      <c r="M43" s="19">
        <f>IFERROR(__xludf.DUMMYFUNCTION("if(isblank(L43),, index(googlefinance(A43,M$2,L43-1),2,2))"),79.0)</f>
        <v>79</v>
      </c>
      <c r="N43" s="20">
        <f>IFERROR(__xludf.DUMMYFUNCTION("if(isblank(A43),"""",googlefinance(A43))"),79.95)</f>
        <v>79.95</v>
      </c>
      <c r="O43" s="17" t="str">
        <f t="shared" si="9"/>
        <v>Completed</v>
      </c>
      <c r="P43" s="37" t="str">
        <f t="shared" si="4"/>
        <v>Profit</v>
      </c>
      <c r="Q43" s="38">
        <f t="shared" si="5"/>
        <v>22.2</v>
      </c>
      <c r="R43" s="17" t="b">
        <f t="shared" si="6"/>
        <v>1</v>
      </c>
      <c r="S43" s="17">
        <f t="shared" si="10"/>
        <v>-1.85</v>
      </c>
      <c r="T43" s="22">
        <f t="shared" si="8"/>
        <v>12</v>
      </c>
      <c r="U43" s="23"/>
      <c r="V43" s="13"/>
      <c r="W43" s="13"/>
      <c r="X43" s="13"/>
      <c r="Y43" s="13"/>
      <c r="Z43" s="13"/>
      <c r="AA43" s="24"/>
    </row>
    <row r="44" ht="13.5" hidden="1" customHeight="1">
      <c r="A44" s="30" t="s">
        <v>75</v>
      </c>
      <c r="B44" s="31">
        <v>14.0</v>
      </c>
      <c r="C44" s="32">
        <v>270.59</v>
      </c>
      <c r="D44" s="32">
        <v>28.571</v>
      </c>
      <c r="E44" s="32">
        <v>2.043</v>
      </c>
      <c r="F44" s="34">
        <v>45147.0</v>
      </c>
      <c r="G44" s="33"/>
      <c r="H44" s="34">
        <v>45155.0</v>
      </c>
      <c r="I44" s="33"/>
      <c r="J44" s="40">
        <f t="shared" si="1"/>
        <v>45147</v>
      </c>
      <c r="K44" s="18">
        <f>IFERROR(__xludf.DUMMYFUNCTION("if(isblank(J44),,index(googlefinance(A44,K$2,J44-1),2,2))"),175.73)</f>
        <v>175.73</v>
      </c>
      <c r="L44" s="41">
        <f t="shared" si="2"/>
        <v>45155</v>
      </c>
      <c r="M44" s="19">
        <f>IFERROR(__xludf.DUMMYFUNCTION("if(isblank(L44),, index(googlefinance(A44,M$2,L44-1),2,2))"),200.78)</f>
        <v>200.78</v>
      </c>
      <c r="N44" s="20">
        <f>IFERROR(__xludf.DUMMYFUNCTION("if(isblank(A44),"""",googlefinance(A44))"),269.8)</f>
        <v>269.8</v>
      </c>
      <c r="O44" s="17" t="str">
        <f t="shared" si="9"/>
        <v>Completed</v>
      </c>
      <c r="P44" s="37" t="str">
        <f t="shared" si="4"/>
        <v>Profit</v>
      </c>
      <c r="Q44" s="38">
        <f t="shared" si="5"/>
        <v>125.25</v>
      </c>
      <c r="R44" s="17" t="b">
        <f t="shared" si="6"/>
        <v>1</v>
      </c>
      <c r="S44" s="17">
        <f t="shared" si="10"/>
        <v>25.05</v>
      </c>
      <c r="T44" s="22">
        <f t="shared" si="8"/>
        <v>5</v>
      </c>
      <c r="U44" s="23"/>
      <c r="V44" s="13"/>
      <c r="W44" s="13"/>
      <c r="X44" s="13"/>
      <c r="Y44" s="13"/>
      <c r="Z44" s="13"/>
      <c r="AA44" s="24"/>
    </row>
    <row r="45" ht="13.5" hidden="1" customHeight="1">
      <c r="A45" s="30" t="s">
        <v>76</v>
      </c>
      <c r="B45" s="31">
        <v>11.0</v>
      </c>
      <c r="C45" s="32">
        <v>223.54</v>
      </c>
      <c r="D45" s="32">
        <v>45.455</v>
      </c>
      <c r="E45" s="32">
        <v>1.701</v>
      </c>
      <c r="F45" s="33"/>
      <c r="G45" s="34">
        <v>45149.0</v>
      </c>
      <c r="H45" s="33"/>
      <c r="I45" s="34">
        <v>45166.0</v>
      </c>
      <c r="J45" s="35">
        <f t="shared" si="1"/>
        <v>45149</v>
      </c>
      <c r="K45" s="18">
        <f>IFERROR(__xludf.DUMMYFUNCTION("if(isblank(J45),,index(googlefinance(A45,K$2,J45-1),2,2))"),42.15)</f>
        <v>42.15</v>
      </c>
      <c r="L45" s="36">
        <f t="shared" si="2"/>
        <v>45166</v>
      </c>
      <c r="M45" s="19">
        <f>IFERROR(__xludf.DUMMYFUNCTION("if(isblank(L45),, index(googlefinance(A45,M$2,L45-1),2,2))"),41.41)</f>
        <v>41.41</v>
      </c>
      <c r="N45" s="20">
        <f>IFERROR(__xludf.DUMMYFUNCTION("if(isblank(A45),,googlefinance(A45))"),54.0)</f>
        <v>54</v>
      </c>
      <c r="O45" s="17" t="str">
        <f t="shared" ref="O45:O328" si="11">IF(ISBLANK(J45),,IF(ISBLANK(L45),"Ongoing","Completed"))</f>
        <v>Completed</v>
      </c>
      <c r="P45" s="37" t="str">
        <f t="shared" si="4"/>
        <v>Profit</v>
      </c>
      <c r="Q45" s="38">
        <f t="shared" si="5"/>
        <v>17.02</v>
      </c>
      <c r="R45" s="17" t="b">
        <f t="shared" si="6"/>
        <v>1</v>
      </c>
      <c r="S45" s="17">
        <f t="shared" ref="S45:S328" si="12">IF(ISBLANK(J45),,IF(ISBLANK(L45),N45-K45,M45-K45))</f>
        <v>-0.74</v>
      </c>
      <c r="T45" s="22">
        <f t="shared" si="8"/>
        <v>23</v>
      </c>
      <c r="U45" s="23"/>
      <c r="V45" s="13"/>
      <c r="W45" s="13"/>
      <c r="X45" s="13"/>
      <c r="Y45" s="13"/>
      <c r="Z45" s="13"/>
      <c r="AA45" s="24"/>
    </row>
    <row r="46" ht="13.5" hidden="1" customHeight="1">
      <c r="A46" s="30" t="s">
        <v>77</v>
      </c>
      <c r="B46" s="31">
        <v>17.0</v>
      </c>
      <c r="C46" s="32">
        <v>236.46</v>
      </c>
      <c r="D46" s="32">
        <v>41.176</v>
      </c>
      <c r="E46" s="32">
        <v>1.943</v>
      </c>
      <c r="F46" s="34">
        <v>45152.0</v>
      </c>
      <c r="G46" s="33"/>
      <c r="H46" s="34">
        <v>45155.0</v>
      </c>
      <c r="I46" s="33"/>
      <c r="J46" s="40">
        <f t="shared" si="1"/>
        <v>45152</v>
      </c>
      <c r="K46" s="18">
        <f>IFERROR(__xludf.DUMMYFUNCTION("if(isblank(J46),,index(googlefinance(A46,K$2,J46-1),2,2))"),322.26)</f>
        <v>322.26</v>
      </c>
      <c r="L46" s="41">
        <f t="shared" si="2"/>
        <v>45155</v>
      </c>
      <c r="M46" s="19">
        <f>IFERROR(__xludf.DUMMYFUNCTION("if(isblank(L46),, index(googlefinance(A46,M$2,L46-1),2,2))"),321.28)</f>
        <v>321.28</v>
      </c>
      <c r="N46" s="20">
        <f>IFERROR(__xludf.DUMMYFUNCTION("if(isblank(A46),,googlefinance(A46))"),311.24)</f>
        <v>311.24</v>
      </c>
      <c r="O46" s="17" t="str">
        <f t="shared" si="11"/>
        <v>Completed</v>
      </c>
      <c r="P46" s="42" t="str">
        <f t="shared" si="4"/>
        <v>Loss</v>
      </c>
      <c r="Q46" s="43">
        <f t="shared" si="5"/>
        <v>-2.94</v>
      </c>
      <c r="R46" s="17" t="b">
        <f t="shared" si="6"/>
        <v>0</v>
      </c>
      <c r="S46" s="17">
        <f t="shared" si="12"/>
        <v>-0.98</v>
      </c>
      <c r="T46" s="22">
        <f t="shared" si="8"/>
        <v>3</v>
      </c>
      <c r="U46" s="23"/>
      <c r="V46" s="13"/>
      <c r="W46" s="13"/>
      <c r="X46" s="13"/>
      <c r="Y46" s="13"/>
      <c r="Z46" s="13"/>
      <c r="AA46" s="24"/>
    </row>
    <row r="47" ht="13.5" hidden="1" customHeight="1">
      <c r="A47" s="30" t="s">
        <v>37</v>
      </c>
      <c r="B47" s="31">
        <v>11.0</v>
      </c>
      <c r="C47" s="32">
        <v>81.893</v>
      </c>
      <c r="D47" s="32">
        <v>27.273</v>
      </c>
      <c r="E47" s="32">
        <v>1.481</v>
      </c>
      <c r="F47" s="33"/>
      <c r="G47" s="34">
        <v>45153.0</v>
      </c>
      <c r="H47" s="33"/>
      <c r="I47" s="34">
        <v>45167.0</v>
      </c>
      <c r="J47" s="35">
        <f t="shared" si="1"/>
        <v>45153</v>
      </c>
      <c r="K47" s="18">
        <f>IFERROR(__xludf.DUMMYFUNCTION("if(isblank(J47),,index(googlefinance(A47,K$2,J47-1),2,2))"),63.8)</f>
        <v>63.8</v>
      </c>
      <c r="L47" s="36">
        <f t="shared" si="2"/>
        <v>45167</v>
      </c>
      <c r="M47" s="19">
        <f>IFERROR(__xludf.DUMMYFUNCTION("if(isblank(L47),, index(googlefinance(A47,M$2,L47-1),2,2))"),61.28)</f>
        <v>61.28</v>
      </c>
      <c r="N47" s="20">
        <f>IFERROR(__xludf.DUMMYFUNCTION("if(isblank(A47),,googlefinance(A47))"),82.61)</f>
        <v>82.61</v>
      </c>
      <c r="O47" s="17" t="str">
        <f t="shared" si="11"/>
        <v>Completed</v>
      </c>
      <c r="P47" s="37" t="str">
        <f t="shared" si="4"/>
        <v>Profit</v>
      </c>
      <c r="Q47" s="38">
        <f t="shared" si="5"/>
        <v>37.8</v>
      </c>
      <c r="R47" s="17" t="b">
        <f t="shared" si="6"/>
        <v>1</v>
      </c>
      <c r="S47" s="17">
        <f t="shared" si="12"/>
        <v>-2.52</v>
      </c>
      <c r="T47" s="22">
        <f t="shared" si="8"/>
        <v>15</v>
      </c>
      <c r="U47" s="23"/>
      <c r="V47" s="13"/>
      <c r="W47" s="13"/>
      <c r="X47" s="13"/>
      <c r="Y47" s="13"/>
      <c r="Z47" s="13"/>
      <c r="AA47" s="24"/>
    </row>
    <row r="48" ht="13.5" hidden="1" customHeight="1">
      <c r="A48" s="30" t="s">
        <v>77</v>
      </c>
      <c r="B48" s="31">
        <v>17.0</v>
      </c>
      <c r="C48" s="32">
        <v>236.46</v>
      </c>
      <c r="D48" s="32">
        <v>41.176</v>
      </c>
      <c r="E48" s="32">
        <v>1.943</v>
      </c>
      <c r="F48" s="34">
        <v>45154.0</v>
      </c>
      <c r="G48" s="33"/>
      <c r="H48" s="34">
        <v>45155.0</v>
      </c>
      <c r="I48" s="33"/>
      <c r="J48" s="40">
        <f t="shared" si="1"/>
        <v>45154</v>
      </c>
      <c r="K48" s="18">
        <f>IFERROR(__xludf.DUMMYFUNCTION("if(isblank(J48),,index(googlefinance(A48,K$2,J48-1),2,2))"),317.55)</f>
        <v>317.55</v>
      </c>
      <c r="L48" s="41">
        <f t="shared" si="2"/>
        <v>45155</v>
      </c>
      <c r="M48" s="19">
        <f>IFERROR(__xludf.DUMMYFUNCTION("if(isblank(L48),, index(googlefinance(A48,M$2,L48-1),2,2))"),321.28)</f>
        <v>321.28</v>
      </c>
      <c r="N48" s="20">
        <f>IFERROR(__xludf.DUMMYFUNCTION("if(isblank(A48),,googlefinance(A48))"),311.24)</f>
        <v>311.24</v>
      </c>
      <c r="O48" s="17" t="str">
        <f t="shared" si="11"/>
        <v>Completed</v>
      </c>
      <c r="P48" s="37" t="str">
        <f t="shared" si="4"/>
        <v>Profit</v>
      </c>
      <c r="Q48" s="38">
        <f t="shared" si="5"/>
        <v>11.19</v>
      </c>
      <c r="R48" s="17" t="b">
        <f t="shared" si="6"/>
        <v>1</v>
      </c>
      <c r="S48" s="17">
        <f t="shared" si="12"/>
        <v>3.73</v>
      </c>
      <c r="T48" s="22">
        <f t="shared" si="8"/>
        <v>3</v>
      </c>
      <c r="U48" s="23"/>
      <c r="V48" s="13"/>
      <c r="W48" s="13"/>
      <c r="X48" s="13"/>
      <c r="Y48" s="13"/>
      <c r="Z48" s="13"/>
      <c r="AA48" s="24"/>
    </row>
    <row r="49" ht="13.5" hidden="1" customHeight="1">
      <c r="A49" s="30" t="s">
        <v>78</v>
      </c>
      <c r="B49" s="31">
        <v>7.0</v>
      </c>
      <c r="C49" s="32">
        <v>103.4</v>
      </c>
      <c r="D49" s="32">
        <v>42.857</v>
      </c>
      <c r="E49" s="32">
        <v>1.976</v>
      </c>
      <c r="F49" s="33"/>
      <c r="G49" s="34">
        <v>45154.0</v>
      </c>
      <c r="H49" s="33"/>
      <c r="I49" s="34">
        <v>45156.0</v>
      </c>
      <c r="J49" s="35">
        <f t="shared" si="1"/>
        <v>45154</v>
      </c>
      <c r="K49" s="18">
        <f>IFERROR(__xludf.DUMMYFUNCTION("if(isblank(J49),,index(googlefinance(A49,K$2,J49-1),2,2))"),108.16)</f>
        <v>108.16</v>
      </c>
      <c r="L49" s="36">
        <f t="shared" si="2"/>
        <v>45156</v>
      </c>
      <c r="M49" s="19">
        <f>IFERROR(__xludf.DUMMYFUNCTION("if(isblank(L49),, index(googlefinance(A49,M$2,L49-1),2,2))"),108.4)</f>
        <v>108.4</v>
      </c>
      <c r="N49" s="20">
        <f>IFERROR(__xludf.DUMMYFUNCTION("if(isblank(A49),,googlefinance(A49))"),103.73)</f>
        <v>103.73</v>
      </c>
      <c r="O49" s="17" t="str">
        <f t="shared" si="11"/>
        <v>Completed</v>
      </c>
      <c r="P49" s="42" t="str">
        <f t="shared" si="4"/>
        <v>Loss</v>
      </c>
      <c r="Q49" s="43">
        <f t="shared" si="5"/>
        <v>-2.16</v>
      </c>
      <c r="R49" s="17" t="b">
        <f t="shared" si="6"/>
        <v>0</v>
      </c>
      <c r="S49" s="17">
        <f t="shared" si="12"/>
        <v>0.24</v>
      </c>
      <c r="T49" s="22">
        <f t="shared" si="8"/>
        <v>9</v>
      </c>
      <c r="U49" s="23"/>
      <c r="V49" s="13"/>
      <c r="W49" s="13"/>
      <c r="X49" s="13"/>
      <c r="Y49" s="13"/>
      <c r="Z49" s="13"/>
      <c r="AA49" s="24"/>
    </row>
    <row r="50" ht="13.5" hidden="1" customHeight="1">
      <c r="A50" s="30" t="s">
        <v>79</v>
      </c>
      <c r="B50" s="31">
        <v>9.0</v>
      </c>
      <c r="C50" s="32">
        <v>13.44</v>
      </c>
      <c r="D50" s="32">
        <v>55.556</v>
      </c>
      <c r="E50" s="32">
        <v>1.185</v>
      </c>
      <c r="F50" s="33"/>
      <c r="G50" s="34">
        <v>45155.0</v>
      </c>
      <c r="H50" s="33"/>
      <c r="I50" s="34">
        <v>45166.0</v>
      </c>
      <c r="J50" s="35">
        <f t="shared" si="1"/>
        <v>45155</v>
      </c>
      <c r="K50" s="18">
        <f>IFERROR(__xludf.DUMMYFUNCTION("if(isblank(J50),,index(googlefinance(A50,K$2,J50-1),2,2))"),223.59)</f>
        <v>223.59</v>
      </c>
      <c r="L50" s="36">
        <f t="shared" si="2"/>
        <v>45166</v>
      </c>
      <c r="M50" s="19">
        <f>IFERROR(__xludf.DUMMYFUNCTION("if(isblank(L50),, index(googlefinance(A50,M$2,L50-1),2,2))"),225.35)</f>
        <v>225.35</v>
      </c>
      <c r="N50" s="20">
        <f>IFERROR(__xludf.DUMMYFUNCTION("if(isblank(A50),,googlefinance(A50))"),269.44)</f>
        <v>269.44</v>
      </c>
      <c r="O50" s="17" t="str">
        <f t="shared" si="11"/>
        <v>Completed</v>
      </c>
      <c r="P50" s="42" t="str">
        <f t="shared" si="4"/>
        <v>Loss</v>
      </c>
      <c r="Q50" s="43">
        <f t="shared" si="5"/>
        <v>-7.04</v>
      </c>
      <c r="R50" s="17" t="b">
        <f t="shared" si="6"/>
        <v>0</v>
      </c>
      <c r="S50" s="17">
        <f t="shared" si="12"/>
        <v>1.76</v>
      </c>
      <c r="T50" s="22">
        <f t="shared" si="8"/>
        <v>4</v>
      </c>
      <c r="U50" s="23"/>
      <c r="V50" s="13"/>
      <c r="W50" s="13"/>
      <c r="X50" s="13"/>
      <c r="Y50" s="13"/>
      <c r="Z50" s="13"/>
      <c r="AA50" s="24"/>
    </row>
    <row r="51" ht="13.5" hidden="1" customHeight="1">
      <c r="A51" s="30" t="s">
        <v>80</v>
      </c>
      <c r="B51" s="31">
        <v>10.0</v>
      </c>
      <c r="C51" s="32">
        <v>144.06</v>
      </c>
      <c r="D51" s="32">
        <v>10.0</v>
      </c>
      <c r="E51" s="32">
        <v>1.788</v>
      </c>
      <c r="F51" s="33"/>
      <c r="G51" s="34">
        <v>45155.0</v>
      </c>
      <c r="H51" s="33"/>
      <c r="I51" s="34">
        <v>45166.0</v>
      </c>
      <c r="J51" s="35">
        <f t="shared" si="1"/>
        <v>45155</v>
      </c>
      <c r="K51" s="18">
        <f>IFERROR(__xludf.DUMMYFUNCTION("if(isblank(J51),,index(googlefinance(A51,K$2,J51-1),2,2))"),21.59)</f>
        <v>21.59</v>
      </c>
      <c r="L51" s="36">
        <f t="shared" si="2"/>
        <v>45166</v>
      </c>
      <c r="M51" s="19">
        <f>IFERROR(__xludf.DUMMYFUNCTION("if(isblank(L51),, index(googlefinance(A51,M$2,L51-1),2,2))"),21.32)</f>
        <v>21.32</v>
      </c>
      <c r="N51" s="20">
        <f>IFERROR(__xludf.DUMMYFUNCTION("if(isblank(A51),,googlefinance(A51))"),27.41)</f>
        <v>27.41</v>
      </c>
      <c r="O51" s="17" t="str">
        <f t="shared" si="11"/>
        <v>Completed</v>
      </c>
      <c r="P51" s="37" t="str">
        <f t="shared" si="4"/>
        <v>Profit</v>
      </c>
      <c r="Q51" s="38">
        <f t="shared" si="5"/>
        <v>12.42</v>
      </c>
      <c r="R51" s="17" t="b">
        <f t="shared" si="6"/>
        <v>1</v>
      </c>
      <c r="S51" s="17">
        <f t="shared" si="12"/>
        <v>-0.27</v>
      </c>
      <c r="T51" s="22">
        <f t="shared" si="8"/>
        <v>46</v>
      </c>
      <c r="U51" s="23"/>
      <c r="V51" s="13"/>
      <c r="W51" s="13"/>
      <c r="X51" s="13"/>
      <c r="Y51" s="13"/>
      <c r="Z51" s="13"/>
      <c r="AA51" s="24"/>
    </row>
    <row r="52" ht="13.5" hidden="1" customHeight="1">
      <c r="A52" s="30" t="s">
        <v>45</v>
      </c>
      <c r="B52" s="31">
        <v>5.0</v>
      </c>
      <c r="C52" s="32">
        <v>635.86</v>
      </c>
      <c r="D52" s="32">
        <v>60.0</v>
      </c>
      <c r="E52" s="32">
        <v>6.215</v>
      </c>
      <c r="F52" s="33"/>
      <c r="G52" s="34">
        <v>45155.0</v>
      </c>
      <c r="H52" s="33"/>
      <c r="I52" s="34">
        <v>45156.0</v>
      </c>
      <c r="J52" s="35">
        <f t="shared" si="1"/>
        <v>45155</v>
      </c>
      <c r="K52" s="18">
        <f>IFERROR(__xludf.DUMMYFUNCTION("if(isblank(J52),,index(googlefinance(A52,K$2,J52-1),2,2))"),62.55)</f>
        <v>62.55</v>
      </c>
      <c r="L52" s="36">
        <f t="shared" si="2"/>
        <v>45156</v>
      </c>
      <c r="M52" s="19">
        <f>IFERROR(__xludf.DUMMYFUNCTION("if(isblank(L52),, index(googlefinance(A52,M$2,L52-1),2,2))"),63.16)</f>
        <v>63.16</v>
      </c>
      <c r="N52" s="20">
        <f>IFERROR(__xludf.DUMMYFUNCTION("if(isblank(A52),,googlefinance(A52))"),60.52)</f>
        <v>60.52</v>
      </c>
      <c r="O52" s="17" t="str">
        <f t="shared" si="11"/>
        <v>Completed</v>
      </c>
      <c r="P52" s="42" t="str">
        <f t="shared" si="4"/>
        <v>Loss</v>
      </c>
      <c r="Q52" s="43">
        <f t="shared" si="5"/>
        <v>-9.15</v>
      </c>
      <c r="R52" s="17" t="b">
        <f t="shared" si="6"/>
        <v>0</v>
      </c>
      <c r="S52" s="17">
        <f t="shared" si="12"/>
        <v>0.61</v>
      </c>
      <c r="T52" s="22">
        <f t="shared" si="8"/>
        <v>15</v>
      </c>
      <c r="U52" s="23"/>
      <c r="V52" s="13"/>
      <c r="W52" s="13"/>
      <c r="X52" s="13"/>
      <c r="Y52" s="13"/>
      <c r="Z52" s="13"/>
      <c r="AA52" s="24"/>
    </row>
    <row r="53" ht="13.5" hidden="1" customHeight="1">
      <c r="A53" s="30" t="s">
        <v>81</v>
      </c>
      <c r="B53" s="31">
        <v>7.0</v>
      </c>
      <c r="C53" s="32">
        <v>203.73</v>
      </c>
      <c r="D53" s="32">
        <v>42.857</v>
      </c>
      <c r="E53" s="32">
        <v>2.662</v>
      </c>
      <c r="F53" s="33"/>
      <c r="G53" s="34">
        <v>45155.0</v>
      </c>
      <c r="H53" s="33"/>
      <c r="I53" s="34">
        <v>45163.0</v>
      </c>
      <c r="J53" s="35">
        <f t="shared" si="1"/>
        <v>45155</v>
      </c>
      <c r="K53" s="18">
        <f>IFERROR(__xludf.DUMMYFUNCTION("if(isblank(J53),,index(googlefinance(A53,K$2,J53-1),2,2))"),397.49)</f>
        <v>397.49</v>
      </c>
      <c r="L53" s="36">
        <f t="shared" si="2"/>
        <v>45163</v>
      </c>
      <c r="M53" s="19">
        <f>IFERROR(__xludf.DUMMYFUNCTION("if(isblank(L53),, index(googlefinance(A53,M$2,L53-1),2,2))"),391.72)</f>
        <v>391.72</v>
      </c>
      <c r="N53" s="20">
        <f>IFERROR(__xludf.DUMMYFUNCTION("if(isblank(A53),,googlefinance(A53))"),362.05)</f>
        <v>362.05</v>
      </c>
      <c r="O53" s="17" t="str">
        <f t="shared" si="11"/>
        <v>Completed</v>
      </c>
      <c r="P53" s="37" t="str">
        <f t="shared" si="4"/>
        <v>Profit</v>
      </c>
      <c r="Q53" s="38">
        <f t="shared" si="5"/>
        <v>11.54</v>
      </c>
      <c r="R53" s="17" t="b">
        <f t="shared" si="6"/>
        <v>1</v>
      </c>
      <c r="S53" s="17">
        <f t="shared" si="12"/>
        <v>-5.77</v>
      </c>
      <c r="T53" s="22">
        <f t="shared" si="8"/>
        <v>2</v>
      </c>
      <c r="U53" s="23"/>
      <c r="V53" s="13"/>
      <c r="W53" s="13"/>
      <c r="X53" s="13"/>
      <c r="Y53" s="13"/>
      <c r="Z53" s="13"/>
      <c r="AA53" s="24"/>
    </row>
    <row r="54" ht="13.5" hidden="1" customHeight="1">
      <c r="A54" s="30" t="s">
        <v>77</v>
      </c>
      <c r="B54" s="31">
        <v>18.0</v>
      </c>
      <c r="C54" s="32">
        <v>229.62</v>
      </c>
      <c r="D54" s="32">
        <v>38.889</v>
      </c>
      <c r="E54" s="32">
        <v>1.891</v>
      </c>
      <c r="F54" s="34">
        <v>45156.0</v>
      </c>
      <c r="G54" s="33"/>
      <c r="H54" s="34">
        <v>45174.0</v>
      </c>
      <c r="I54" s="33"/>
      <c r="J54" s="40">
        <f t="shared" si="1"/>
        <v>45156</v>
      </c>
      <c r="K54" s="18">
        <f>IFERROR(__xludf.DUMMYFUNCTION("if(isblank(J54),,index(googlefinance(A54,K$2,J54-1),2,2))"),319.0)</f>
        <v>319</v>
      </c>
      <c r="L54" s="41">
        <f t="shared" si="2"/>
        <v>45174</v>
      </c>
      <c r="M54" s="19">
        <f>IFERROR(__xludf.DUMMYFUNCTION("if(isblank(L54),, index(googlefinance(A54,M$2,L54-1),2,2))"),329.45)</f>
        <v>329.45</v>
      </c>
      <c r="N54" s="20">
        <f>IFERROR(__xludf.DUMMYFUNCTION("if(isblank(A54),,googlefinance(A54))"),311.24)</f>
        <v>311.24</v>
      </c>
      <c r="O54" s="17" t="str">
        <f t="shared" si="11"/>
        <v>Completed</v>
      </c>
      <c r="P54" s="37" t="str">
        <f t="shared" si="4"/>
        <v>Profit</v>
      </c>
      <c r="Q54" s="38">
        <f t="shared" si="5"/>
        <v>31.35</v>
      </c>
      <c r="R54" s="17" t="b">
        <f t="shared" si="6"/>
        <v>1</v>
      </c>
      <c r="S54" s="17">
        <f t="shared" si="12"/>
        <v>10.45</v>
      </c>
      <c r="T54" s="22">
        <f t="shared" si="8"/>
        <v>3</v>
      </c>
      <c r="U54" s="23"/>
      <c r="V54" s="13"/>
      <c r="W54" s="13"/>
      <c r="X54" s="13"/>
      <c r="Y54" s="13"/>
      <c r="Z54" s="13"/>
      <c r="AA54" s="24"/>
    </row>
    <row r="55" ht="13.5" hidden="1" customHeight="1">
      <c r="A55" s="30" t="s">
        <v>82</v>
      </c>
      <c r="B55" s="31">
        <v>11.0</v>
      </c>
      <c r="C55" s="32">
        <v>147.97</v>
      </c>
      <c r="D55" s="32">
        <v>45.455</v>
      </c>
      <c r="E55" s="32">
        <v>1.991</v>
      </c>
      <c r="F55" s="34">
        <v>45156.0</v>
      </c>
      <c r="G55" s="33"/>
      <c r="H55" s="34">
        <v>45162.0</v>
      </c>
      <c r="I55" s="33"/>
      <c r="J55" s="40">
        <f t="shared" si="1"/>
        <v>45156</v>
      </c>
      <c r="K55" s="18">
        <f>IFERROR(__xludf.DUMMYFUNCTION("if(isblank(J55),,index(googlefinance(A55,K$2,J55-1),2,2))"),249.18)</f>
        <v>249.18</v>
      </c>
      <c r="L55" s="41">
        <f t="shared" si="2"/>
        <v>45162</v>
      </c>
      <c r="M55" s="19">
        <f>IFERROR(__xludf.DUMMYFUNCTION("if(isblank(L55),, index(googlefinance(A55,M$2,L55-1),2,2))"),250.43)</f>
        <v>250.43</v>
      </c>
      <c r="N55" s="20">
        <f>IFERROR(__xludf.DUMMYFUNCTION("if(isblank(A55),,googlefinance(A55))"),219.04)</f>
        <v>219.04</v>
      </c>
      <c r="O55" s="17" t="str">
        <f t="shared" si="11"/>
        <v>Completed</v>
      </c>
      <c r="P55" s="37" t="str">
        <f t="shared" si="4"/>
        <v>Profit</v>
      </c>
      <c r="Q55" s="38">
        <f t="shared" si="5"/>
        <v>5</v>
      </c>
      <c r="R55" s="17" t="b">
        <f t="shared" si="6"/>
        <v>1</v>
      </c>
      <c r="S55" s="17">
        <f t="shared" si="12"/>
        <v>1.25</v>
      </c>
      <c r="T55" s="22">
        <f t="shared" si="8"/>
        <v>4</v>
      </c>
      <c r="U55" s="23"/>
      <c r="V55" s="13"/>
      <c r="W55" s="13"/>
      <c r="X55" s="13"/>
      <c r="Y55" s="13"/>
      <c r="Z55" s="13"/>
      <c r="AA55" s="24"/>
    </row>
    <row r="56" ht="13.5" hidden="1" customHeight="1">
      <c r="A56" s="30" t="s">
        <v>83</v>
      </c>
      <c r="B56" s="31">
        <v>13.0</v>
      </c>
      <c r="C56" s="32">
        <v>107.36</v>
      </c>
      <c r="D56" s="32">
        <v>38.462</v>
      </c>
      <c r="E56" s="32">
        <v>1.705</v>
      </c>
      <c r="F56" s="34">
        <v>45159.0</v>
      </c>
      <c r="G56" s="33"/>
      <c r="H56" s="34">
        <v>45162.0</v>
      </c>
      <c r="I56" s="33"/>
      <c r="J56" s="40">
        <f t="shared" si="1"/>
        <v>45159</v>
      </c>
      <c r="K56" s="18">
        <f>IFERROR(__xludf.DUMMYFUNCTION("if(isblank(J56),,index(googlefinance(A56,K$2,J56-1),2,2))"),75.23)</f>
        <v>75.23</v>
      </c>
      <c r="L56" s="41">
        <f t="shared" si="2"/>
        <v>45162</v>
      </c>
      <c r="M56" s="19">
        <f>IFERROR(__xludf.DUMMYFUNCTION("if(isblank(L56),, index(googlefinance(A56,M$2,L56-1),2,2))"),75.31)</f>
        <v>75.31</v>
      </c>
      <c r="N56" s="20">
        <f>IFERROR(__xludf.DUMMYFUNCTION("if(isblank(A56),,googlefinance(A56))"),73.79)</f>
        <v>73.79</v>
      </c>
      <c r="O56" s="17" t="str">
        <f t="shared" si="11"/>
        <v>Completed</v>
      </c>
      <c r="P56" s="37" t="str">
        <f t="shared" si="4"/>
        <v>Profit</v>
      </c>
      <c r="Q56" s="38">
        <f t="shared" si="5"/>
        <v>1.04</v>
      </c>
      <c r="R56" s="17" t="b">
        <f t="shared" si="6"/>
        <v>1</v>
      </c>
      <c r="S56" s="17">
        <f t="shared" si="12"/>
        <v>0.08</v>
      </c>
      <c r="T56" s="22">
        <f t="shared" si="8"/>
        <v>13</v>
      </c>
      <c r="U56" s="23"/>
      <c r="V56" s="13"/>
      <c r="W56" s="13"/>
      <c r="X56" s="13"/>
      <c r="Y56" s="13"/>
      <c r="Z56" s="13"/>
      <c r="AA56" s="24"/>
    </row>
    <row r="57" ht="13.5" hidden="1" customHeight="1">
      <c r="A57" s="30" t="s">
        <v>84</v>
      </c>
      <c r="B57" s="31">
        <v>12.0</v>
      </c>
      <c r="C57" s="32">
        <v>265.07</v>
      </c>
      <c r="D57" s="32">
        <v>33.333</v>
      </c>
      <c r="E57" s="32">
        <v>1.821</v>
      </c>
      <c r="F57" s="34">
        <v>45159.0</v>
      </c>
      <c r="G57" s="33"/>
      <c r="H57" s="34">
        <v>45174.0</v>
      </c>
      <c r="I57" s="33"/>
      <c r="J57" s="40">
        <f t="shared" si="1"/>
        <v>45159</v>
      </c>
      <c r="K57" s="18">
        <f>IFERROR(__xludf.DUMMYFUNCTION("if(isblank(J57),,index(googlefinance(A57,K$2,J57-1),2,2))"),111.08)</f>
        <v>111.08</v>
      </c>
      <c r="L57" s="41">
        <f t="shared" si="2"/>
        <v>45174</v>
      </c>
      <c r="M57" s="19">
        <f>IFERROR(__xludf.DUMMYFUNCTION("if(isblank(L57),, index(googlefinance(A57,M$2,L57-1),2,2))"),109.36)</f>
        <v>109.36</v>
      </c>
      <c r="N57" s="20">
        <f>IFERROR(__xludf.DUMMYFUNCTION("if(isblank(A57),,googlefinance(A57))"),88.37)</f>
        <v>88.37</v>
      </c>
      <c r="O57" s="17" t="str">
        <f t="shared" si="11"/>
        <v>Completed</v>
      </c>
      <c r="P57" s="42" t="str">
        <f t="shared" si="4"/>
        <v>Loss</v>
      </c>
      <c r="Q57" s="43">
        <f t="shared" si="5"/>
        <v>-15.48</v>
      </c>
      <c r="R57" s="17" t="b">
        <f t="shared" si="6"/>
        <v>0</v>
      </c>
      <c r="S57" s="17">
        <f t="shared" si="12"/>
        <v>-1.72</v>
      </c>
      <c r="T57" s="22">
        <f t="shared" si="8"/>
        <v>9</v>
      </c>
      <c r="U57" s="23"/>
      <c r="V57" s="13"/>
      <c r="W57" s="13"/>
      <c r="X57" s="13"/>
      <c r="Y57" s="13"/>
      <c r="Z57" s="13"/>
      <c r="AA57" s="24"/>
    </row>
    <row r="58" ht="13.5" hidden="1" customHeight="1">
      <c r="A58" s="30" t="s">
        <v>85</v>
      </c>
      <c r="B58" s="31">
        <v>8.0</v>
      </c>
      <c r="C58" s="32">
        <v>765.02</v>
      </c>
      <c r="D58" s="32">
        <v>87.5</v>
      </c>
      <c r="E58" s="32">
        <v>17.97</v>
      </c>
      <c r="F58" s="34">
        <v>45159.0</v>
      </c>
      <c r="G58" s="33"/>
      <c r="H58" s="34">
        <v>45184.0</v>
      </c>
      <c r="I58" s="33"/>
      <c r="J58" s="40">
        <f t="shared" si="1"/>
        <v>45159</v>
      </c>
      <c r="K58" s="18">
        <f>IFERROR(__xludf.DUMMYFUNCTION("if(isblank(J58),,index(googlefinance(A58,K$2,J58-1),2,2))"),240.81)</f>
        <v>240.81</v>
      </c>
      <c r="L58" s="41">
        <f t="shared" si="2"/>
        <v>45184</v>
      </c>
      <c r="M58" s="19">
        <f>IFERROR(__xludf.DUMMYFUNCTION("if(isblank(L58),, index(googlefinance(A58,M$2,L58-1),2,2))"),245.82)</f>
        <v>245.82</v>
      </c>
      <c r="N58" s="20">
        <f>IFERROR(__xludf.DUMMYFUNCTION("if(isblank(A58),,googlefinance(A58))"),366.41)</f>
        <v>366.41</v>
      </c>
      <c r="O58" s="17" t="str">
        <f t="shared" si="11"/>
        <v>Completed</v>
      </c>
      <c r="P58" s="37" t="str">
        <f t="shared" si="4"/>
        <v>Profit</v>
      </c>
      <c r="Q58" s="38">
        <f t="shared" si="5"/>
        <v>20.04</v>
      </c>
      <c r="R58" s="17" t="b">
        <f t="shared" si="6"/>
        <v>1</v>
      </c>
      <c r="S58" s="17">
        <f t="shared" si="12"/>
        <v>5.01</v>
      </c>
      <c r="T58" s="22">
        <f t="shared" si="8"/>
        <v>4</v>
      </c>
      <c r="U58" s="23"/>
      <c r="V58" s="13"/>
      <c r="W58" s="13"/>
      <c r="X58" s="13"/>
      <c r="Y58" s="13"/>
      <c r="Z58" s="13"/>
      <c r="AA58" s="24"/>
    </row>
    <row r="59" ht="13.5" hidden="1" customHeight="1">
      <c r="A59" s="30" t="s">
        <v>86</v>
      </c>
      <c r="B59" s="31">
        <v>4.0</v>
      </c>
      <c r="C59" s="32">
        <v>8.11</v>
      </c>
      <c r="D59" s="32">
        <v>25.0</v>
      </c>
      <c r="E59" s="32">
        <v>1.197</v>
      </c>
      <c r="F59" s="34">
        <v>45160.0</v>
      </c>
      <c r="G59" s="33"/>
      <c r="H59" s="34">
        <v>45163.0</v>
      </c>
      <c r="I59" s="33"/>
      <c r="J59" s="40">
        <f t="shared" si="1"/>
        <v>45160</v>
      </c>
      <c r="K59" s="18">
        <f>IFERROR(__xludf.DUMMYFUNCTION("if(isblank(J59),,index(googlefinance(A59,K$2,J59-1),2,2))"),433.69)</f>
        <v>433.69</v>
      </c>
      <c r="L59" s="41">
        <f t="shared" si="2"/>
        <v>45163</v>
      </c>
      <c r="M59" s="19">
        <f>IFERROR(__xludf.DUMMYFUNCTION("if(isblank(L59),, index(googlefinance(A59,M$2,L59-1),2,2))"),432.18)</f>
        <v>432.18</v>
      </c>
      <c r="N59" s="20">
        <f>IFERROR(__xludf.DUMMYFUNCTION("if(isblank(A59),,googlefinance(A59))"),450.96)</f>
        <v>450.96</v>
      </c>
      <c r="O59" s="17" t="str">
        <f t="shared" si="11"/>
        <v>Completed</v>
      </c>
      <c r="P59" s="42" t="str">
        <f t="shared" si="4"/>
        <v>Loss</v>
      </c>
      <c r="Q59" s="43">
        <f t="shared" si="5"/>
        <v>-3.02</v>
      </c>
      <c r="R59" s="17" t="b">
        <f t="shared" si="6"/>
        <v>0</v>
      </c>
      <c r="S59" s="17">
        <f t="shared" si="12"/>
        <v>-1.51</v>
      </c>
      <c r="T59" s="22">
        <f t="shared" si="8"/>
        <v>2</v>
      </c>
      <c r="U59" s="23"/>
      <c r="V59" s="13"/>
      <c r="W59" s="13"/>
      <c r="X59" s="13"/>
      <c r="Y59" s="13"/>
      <c r="Z59" s="13"/>
      <c r="AA59" s="24"/>
    </row>
    <row r="60" ht="13.5" hidden="1" customHeight="1">
      <c r="A60" s="30" t="s">
        <v>66</v>
      </c>
      <c r="B60" s="31">
        <v>16.0</v>
      </c>
      <c r="C60" s="32">
        <v>8.22</v>
      </c>
      <c r="D60" s="32">
        <v>12.5</v>
      </c>
      <c r="E60" s="32">
        <v>1.07</v>
      </c>
      <c r="F60" s="33"/>
      <c r="G60" s="34">
        <v>45160.0</v>
      </c>
      <c r="H60" s="33"/>
      <c r="I60" s="34">
        <v>45168.0</v>
      </c>
      <c r="J60" s="35">
        <f t="shared" si="1"/>
        <v>45160</v>
      </c>
      <c r="K60" s="18">
        <f>IFERROR(__xludf.DUMMYFUNCTION("if(isblank(J60),,index(googlefinance(A60,K$2,J60-1),2,2))"),3052.0)</f>
        <v>3052</v>
      </c>
      <c r="L60" s="36">
        <f t="shared" si="2"/>
        <v>45168</v>
      </c>
      <c r="M60" s="19">
        <f>IFERROR(__xludf.DUMMYFUNCTION("if(isblank(L60),, index(googlefinance(A60,M$2,L60-1),2,2))"),3110.86)</f>
        <v>3110.86</v>
      </c>
      <c r="N60" s="20">
        <f>IFERROR(__xludf.DUMMYFUNCTION("if(isblank(A60),,googlefinance(A60))"),3716.84)</f>
        <v>3716.84</v>
      </c>
      <c r="O60" s="17" t="str">
        <f t="shared" si="11"/>
        <v>Completed</v>
      </c>
      <c r="P60" s="42" t="str">
        <f t="shared" si="4"/>
        <v>Loss</v>
      </c>
      <c r="Q60" s="21">
        <f t="shared" si="5"/>
        <v>0</v>
      </c>
      <c r="R60" s="17" t="b">
        <f t="shared" si="6"/>
        <v>0</v>
      </c>
      <c r="S60" s="17">
        <f t="shared" si="12"/>
        <v>58.86</v>
      </c>
      <c r="T60" s="22">
        <f t="shared" si="8"/>
        <v>0</v>
      </c>
      <c r="U60" s="23"/>
      <c r="V60" s="13"/>
      <c r="W60" s="13"/>
      <c r="X60" s="13"/>
      <c r="Y60" s="13"/>
      <c r="Z60" s="13"/>
      <c r="AA60" s="24"/>
    </row>
    <row r="61" ht="13.5" hidden="1" customHeight="1">
      <c r="A61" s="30" t="s">
        <v>36</v>
      </c>
      <c r="B61" s="31">
        <v>11.0</v>
      </c>
      <c r="C61" s="32">
        <v>95.0</v>
      </c>
      <c r="D61" s="32">
        <v>45.455</v>
      </c>
      <c r="E61" s="32">
        <v>1.57</v>
      </c>
      <c r="F61" s="34">
        <v>45161.0</v>
      </c>
      <c r="G61" s="33"/>
      <c r="H61" s="34">
        <v>45177.0</v>
      </c>
      <c r="I61" s="33"/>
      <c r="J61" s="40">
        <f t="shared" si="1"/>
        <v>45161</v>
      </c>
      <c r="K61" s="18">
        <f>IFERROR(__xludf.DUMMYFUNCTION("if(isblank(J61),,index(googlefinance(A61,K$2,J61-1),2,2))"),225.51)</f>
        <v>225.51</v>
      </c>
      <c r="L61" s="41">
        <f t="shared" si="2"/>
        <v>45177</v>
      </c>
      <c r="M61" s="19">
        <f>IFERROR(__xludf.DUMMYFUNCTION("if(isblank(L61),, index(googlefinance(A61,M$2,L61-1),2,2))"),241.46)</f>
        <v>241.46</v>
      </c>
      <c r="N61" s="20">
        <f>IFERROR(__xludf.DUMMYFUNCTION("if(isblank(A61),,googlefinance(A61))"),290.3)</f>
        <v>290.3</v>
      </c>
      <c r="O61" s="17" t="str">
        <f t="shared" si="11"/>
        <v>Completed</v>
      </c>
      <c r="P61" s="37" t="str">
        <f t="shared" si="4"/>
        <v>Profit</v>
      </c>
      <c r="Q61" s="38">
        <f t="shared" si="5"/>
        <v>63.8</v>
      </c>
      <c r="R61" s="17" t="b">
        <f t="shared" si="6"/>
        <v>1</v>
      </c>
      <c r="S61" s="17">
        <f t="shared" si="12"/>
        <v>15.95</v>
      </c>
      <c r="T61" s="22">
        <f t="shared" si="8"/>
        <v>4</v>
      </c>
      <c r="U61" s="23"/>
      <c r="V61" s="13"/>
      <c r="W61" s="13"/>
      <c r="X61" s="13"/>
      <c r="Y61" s="13"/>
      <c r="Z61" s="13"/>
      <c r="AA61" s="24"/>
    </row>
    <row r="62" ht="13.5" hidden="1" customHeight="1">
      <c r="A62" s="30" t="s">
        <v>87</v>
      </c>
      <c r="B62" s="31">
        <v>16.0</v>
      </c>
      <c r="C62" s="32">
        <v>393.195</v>
      </c>
      <c r="D62" s="32">
        <v>50.0</v>
      </c>
      <c r="E62" s="32">
        <v>2.532</v>
      </c>
      <c r="F62" s="33"/>
      <c r="G62" s="34">
        <v>45162.0</v>
      </c>
      <c r="H62" s="33"/>
      <c r="I62" s="34">
        <v>45167.0</v>
      </c>
      <c r="J62" s="35">
        <f t="shared" si="1"/>
        <v>45162</v>
      </c>
      <c r="K62" s="18">
        <f>IFERROR(__xludf.DUMMYFUNCTION("if(isblank(J62),,index(googlefinance(A62,K$2,J62-1),2,2))"),189.83)</f>
        <v>189.83</v>
      </c>
      <c r="L62" s="36">
        <f t="shared" si="2"/>
        <v>45167</v>
      </c>
      <c r="M62" s="19">
        <f>IFERROR(__xludf.DUMMYFUNCTION("if(isblank(L62),, index(googlefinance(A62,M$2,L62-1),2,2))"),181.96)</f>
        <v>181.96</v>
      </c>
      <c r="N62" s="20">
        <f>IFERROR(__xludf.DUMMYFUNCTION("if(isblank(A62),,googlefinance(A62))"),261.75)</f>
        <v>261.75</v>
      </c>
      <c r="O62" s="17" t="str">
        <f t="shared" si="11"/>
        <v>Completed</v>
      </c>
      <c r="P62" s="37" t="str">
        <f t="shared" si="4"/>
        <v>Profit</v>
      </c>
      <c r="Q62" s="38">
        <f t="shared" si="5"/>
        <v>39.35</v>
      </c>
      <c r="R62" s="17" t="b">
        <f t="shared" si="6"/>
        <v>1</v>
      </c>
      <c r="S62" s="17">
        <f t="shared" si="12"/>
        <v>-7.87</v>
      </c>
      <c r="T62" s="22">
        <f t="shared" si="8"/>
        <v>5</v>
      </c>
      <c r="U62" s="23"/>
      <c r="V62" s="13"/>
      <c r="W62" s="13"/>
      <c r="X62" s="13"/>
      <c r="Y62" s="13"/>
      <c r="Z62" s="13"/>
      <c r="AA62" s="24"/>
    </row>
    <row r="63" ht="13.5" hidden="1" customHeight="1">
      <c r="A63" s="30" t="s">
        <v>88</v>
      </c>
      <c r="B63" s="31">
        <v>11.0</v>
      </c>
      <c r="C63" s="32">
        <v>126.36</v>
      </c>
      <c r="D63" s="32">
        <v>36.364</v>
      </c>
      <c r="E63" s="32">
        <v>2.108</v>
      </c>
      <c r="F63" s="34">
        <v>45163.0</v>
      </c>
      <c r="G63" s="33"/>
      <c r="H63" s="34">
        <v>45174.0</v>
      </c>
      <c r="I63" s="33"/>
      <c r="J63" s="40">
        <f t="shared" si="1"/>
        <v>45163</v>
      </c>
      <c r="K63" s="18">
        <f>IFERROR(__xludf.DUMMYFUNCTION("if(isblank(J63),,index(googlefinance(A63,K$2,J63-1),2,2))"),94.08)</f>
        <v>94.08</v>
      </c>
      <c r="L63" s="41">
        <f t="shared" si="2"/>
        <v>45174</v>
      </c>
      <c r="M63" s="19">
        <f>IFERROR(__xludf.DUMMYFUNCTION("if(isblank(L63),, index(googlefinance(A63,M$2,L63-1),2,2))"),94.51)</f>
        <v>94.51</v>
      </c>
      <c r="N63" s="20">
        <f>IFERROR(__xludf.DUMMYFUNCTION("if(isblank(A63),,googlefinance(A63))"),89.65)</f>
        <v>89.65</v>
      </c>
      <c r="O63" s="17" t="str">
        <f t="shared" si="11"/>
        <v>Completed</v>
      </c>
      <c r="P63" s="37" t="str">
        <f t="shared" si="4"/>
        <v>Profit</v>
      </c>
      <c r="Q63" s="38">
        <f t="shared" si="5"/>
        <v>4.3</v>
      </c>
      <c r="R63" s="17" t="b">
        <f t="shared" si="6"/>
        <v>1</v>
      </c>
      <c r="S63" s="17">
        <f t="shared" si="12"/>
        <v>0.43</v>
      </c>
      <c r="T63" s="22">
        <f t="shared" si="8"/>
        <v>10</v>
      </c>
      <c r="U63" s="23"/>
      <c r="V63" s="13"/>
      <c r="W63" s="13"/>
      <c r="X63" s="13"/>
      <c r="Y63" s="13"/>
      <c r="Z63" s="13"/>
      <c r="AA63" s="24"/>
    </row>
    <row r="64" ht="13.5" hidden="1" customHeight="1">
      <c r="A64" s="30" t="s">
        <v>89</v>
      </c>
      <c r="B64" s="31">
        <v>13.0</v>
      </c>
      <c r="C64" s="32">
        <v>191.58</v>
      </c>
      <c r="D64" s="32">
        <v>30.769</v>
      </c>
      <c r="E64" s="32">
        <v>2.184</v>
      </c>
      <c r="F64" s="34">
        <v>45166.0</v>
      </c>
      <c r="G64" s="33"/>
      <c r="H64" s="34">
        <v>45169.0</v>
      </c>
      <c r="I64" s="33"/>
      <c r="J64" s="40">
        <f t="shared" si="1"/>
        <v>45166</v>
      </c>
      <c r="K64" s="18">
        <f>IFERROR(__xludf.DUMMYFUNCTION("if(isblank(J64),,index(googlefinance(A64,K$2,J64-1),2,2))"),89.74)</f>
        <v>89.74</v>
      </c>
      <c r="L64" s="41">
        <f t="shared" si="2"/>
        <v>45169</v>
      </c>
      <c r="M64" s="19">
        <f>IFERROR(__xludf.DUMMYFUNCTION("if(isblank(L64),, index(googlefinance(A64,M$2,L64-1),2,2))"),88.04)</f>
        <v>88.04</v>
      </c>
      <c r="N64" s="20">
        <f>IFERROR(__xludf.DUMMYFUNCTION("if(isblank(A64),,googlefinance(A64))"),104.45)</f>
        <v>104.45</v>
      </c>
      <c r="O64" s="17" t="str">
        <f t="shared" si="11"/>
        <v>Completed</v>
      </c>
      <c r="P64" s="42" t="str">
        <f t="shared" si="4"/>
        <v>Loss</v>
      </c>
      <c r="Q64" s="43">
        <f t="shared" si="5"/>
        <v>-18.7</v>
      </c>
      <c r="R64" s="17" t="b">
        <f t="shared" si="6"/>
        <v>0</v>
      </c>
      <c r="S64" s="17">
        <f t="shared" si="12"/>
        <v>-1.7</v>
      </c>
      <c r="T64" s="22">
        <f t="shared" si="8"/>
        <v>11</v>
      </c>
      <c r="U64" s="23"/>
      <c r="V64" s="13"/>
      <c r="W64" s="13"/>
      <c r="X64" s="13"/>
      <c r="Y64" s="13"/>
      <c r="Z64" s="13"/>
      <c r="AA64" s="24"/>
    </row>
    <row r="65" ht="13.5" hidden="1" customHeight="1">
      <c r="A65" s="30" t="s">
        <v>90</v>
      </c>
      <c r="B65" s="31">
        <v>7.0</v>
      </c>
      <c r="C65" s="32">
        <v>78.96</v>
      </c>
      <c r="D65" s="32">
        <v>42.857</v>
      </c>
      <c r="E65" s="32">
        <v>2.664</v>
      </c>
      <c r="F65" s="34">
        <v>45166.0</v>
      </c>
      <c r="G65" s="33"/>
      <c r="H65" s="34">
        <v>45175.0</v>
      </c>
      <c r="I65" s="33"/>
      <c r="J65" s="40">
        <f t="shared" si="1"/>
        <v>45166</v>
      </c>
      <c r="K65" s="18">
        <f>IFERROR(__xludf.DUMMYFUNCTION("if(isblank(J65),,index(googlefinance(A65,K$2,J65-1),2,2))"),94.44)</f>
        <v>94.44</v>
      </c>
      <c r="L65" s="41">
        <f t="shared" si="2"/>
        <v>45175</v>
      </c>
      <c r="M65" s="19">
        <f>IFERROR(__xludf.DUMMYFUNCTION("if(isblank(L65),, index(googlefinance(A65,M$2,L65-1),2,2))"),95.17)</f>
        <v>95.17</v>
      </c>
      <c r="N65" s="20">
        <f>IFERROR(__xludf.DUMMYFUNCTION("if(isblank(A65),,googlefinance(A65))"),97.78)</f>
        <v>97.78</v>
      </c>
      <c r="O65" s="17" t="str">
        <f t="shared" si="11"/>
        <v>Completed</v>
      </c>
      <c r="P65" s="37" t="str">
        <f t="shared" si="4"/>
        <v>Profit</v>
      </c>
      <c r="Q65" s="38">
        <f t="shared" si="5"/>
        <v>7.3</v>
      </c>
      <c r="R65" s="17" t="b">
        <f t="shared" si="6"/>
        <v>1</v>
      </c>
      <c r="S65" s="17">
        <f t="shared" si="12"/>
        <v>0.73</v>
      </c>
      <c r="T65" s="22">
        <f t="shared" si="8"/>
        <v>10</v>
      </c>
      <c r="U65" s="23"/>
      <c r="V65" s="13"/>
      <c r="W65" s="13"/>
      <c r="X65" s="13"/>
      <c r="Y65" s="13"/>
      <c r="Z65" s="13"/>
      <c r="AA65" s="24"/>
    </row>
    <row r="66" ht="13.5" hidden="1" customHeight="1">
      <c r="A66" s="30" t="s">
        <v>91</v>
      </c>
      <c r="B66" s="31">
        <v>10.0</v>
      </c>
      <c r="C66" s="32">
        <v>111.25</v>
      </c>
      <c r="D66" s="32">
        <v>50.0</v>
      </c>
      <c r="E66" s="32">
        <v>2.119</v>
      </c>
      <c r="F66" s="34">
        <v>45166.0</v>
      </c>
      <c r="G66" s="33"/>
      <c r="H66" s="34">
        <v>45175.0</v>
      </c>
      <c r="I66" s="33"/>
      <c r="J66" s="40">
        <f t="shared" si="1"/>
        <v>45166</v>
      </c>
      <c r="K66" s="18">
        <f>IFERROR(__xludf.DUMMYFUNCTION("if(isblank(J66),,index(googlefinance(A66,K$2,J66-1),2,2))"),43.97)</f>
        <v>43.97</v>
      </c>
      <c r="L66" s="41">
        <f t="shared" si="2"/>
        <v>45175</v>
      </c>
      <c r="M66" s="19">
        <f>IFERROR(__xludf.DUMMYFUNCTION("if(isblank(L66),, index(googlefinance(A66,M$2,L66-1),2,2))"),44.09)</f>
        <v>44.09</v>
      </c>
      <c r="N66" s="20">
        <f>IFERROR(__xludf.DUMMYFUNCTION("if(isblank(A66),,googlefinance(A66))"),40.18)</f>
        <v>40.18</v>
      </c>
      <c r="O66" s="17" t="str">
        <f t="shared" si="11"/>
        <v>Completed</v>
      </c>
      <c r="P66" s="37" t="str">
        <f t="shared" si="4"/>
        <v>Profit</v>
      </c>
      <c r="Q66" s="38">
        <f t="shared" si="5"/>
        <v>2.64</v>
      </c>
      <c r="R66" s="17" t="b">
        <f t="shared" si="6"/>
        <v>1</v>
      </c>
      <c r="S66" s="17">
        <f t="shared" si="12"/>
        <v>0.12</v>
      </c>
      <c r="T66" s="22">
        <f t="shared" si="8"/>
        <v>22</v>
      </c>
      <c r="U66" s="23"/>
      <c r="V66" s="13"/>
      <c r="W66" s="13"/>
      <c r="X66" s="13"/>
      <c r="Y66" s="13"/>
      <c r="Z66" s="13"/>
      <c r="AA66" s="24"/>
    </row>
    <row r="67" ht="13.5" hidden="1" customHeight="1">
      <c r="A67" s="30" t="s">
        <v>92</v>
      </c>
      <c r="B67" s="31">
        <v>9.0</v>
      </c>
      <c r="C67" s="32">
        <v>2.05</v>
      </c>
      <c r="D67" s="32">
        <v>33.333</v>
      </c>
      <c r="E67" s="32">
        <v>1.016</v>
      </c>
      <c r="F67" s="34">
        <v>45167.0</v>
      </c>
      <c r="G67" s="33"/>
      <c r="H67" s="34">
        <v>45174.0</v>
      </c>
      <c r="I67" s="33"/>
      <c r="J67" s="40">
        <f t="shared" si="1"/>
        <v>45167</v>
      </c>
      <c r="K67" s="18">
        <f>IFERROR(__xludf.DUMMYFUNCTION("if(isblank(J67),,index(googlefinance(A67,K$2,J67-1),2,2))"),99.63)</f>
        <v>99.63</v>
      </c>
      <c r="L67" s="41">
        <f t="shared" si="2"/>
        <v>45174</v>
      </c>
      <c r="M67" s="19">
        <f>IFERROR(__xludf.DUMMYFUNCTION("if(isblank(L67),, index(googlefinance(A67,M$2,L67-1),2,2))"),100.32)</f>
        <v>100.32</v>
      </c>
      <c r="N67" s="20">
        <f>IFERROR(__xludf.DUMMYFUNCTION("if(isblank(A67),,googlefinance(A67))"),103.51)</f>
        <v>103.51</v>
      </c>
      <c r="O67" s="17" t="str">
        <f t="shared" si="11"/>
        <v>Completed</v>
      </c>
      <c r="P67" s="37" t="str">
        <f t="shared" si="4"/>
        <v>Profit</v>
      </c>
      <c r="Q67" s="38">
        <f t="shared" si="5"/>
        <v>6.9</v>
      </c>
      <c r="R67" s="17" t="b">
        <f t="shared" si="6"/>
        <v>1</v>
      </c>
      <c r="S67" s="17">
        <f t="shared" si="12"/>
        <v>0.69</v>
      </c>
      <c r="T67" s="22">
        <f t="shared" si="8"/>
        <v>10</v>
      </c>
      <c r="U67" s="23"/>
      <c r="V67" s="13"/>
      <c r="W67" s="13"/>
      <c r="X67" s="13"/>
      <c r="Y67" s="13"/>
      <c r="Z67" s="13"/>
      <c r="AA67" s="24"/>
    </row>
    <row r="68" ht="13.5" hidden="1" customHeight="1">
      <c r="A68" s="30" t="s">
        <v>56</v>
      </c>
      <c r="B68" s="31">
        <v>9.0</v>
      </c>
      <c r="C68" s="32">
        <v>142.49</v>
      </c>
      <c r="D68" s="32">
        <v>55.556</v>
      </c>
      <c r="E68" s="32">
        <v>3.614</v>
      </c>
      <c r="F68" s="34">
        <v>45167.0</v>
      </c>
      <c r="G68" s="33"/>
      <c r="H68" s="34">
        <v>45169.0</v>
      </c>
      <c r="I68" s="33"/>
      <c r="J68" s="40">
        <f t="shared" si="1"/>
        <v>45167</v>
      </c>
      <c r="K68" s="18">
        <f>IFERROR(__xludf.DUMMYFUNCTION("if(isblank(J68),,index(googlefinance(A68,K$2,J68-1),2,2))"),180.25)</f>
        <v>180.25</v>
      </c>
      <c r="L68" s="41">
        <f t="shared" si="2"/>
        <v>45169</v>
      </c>
      <c r="M68" s="19">
        <f>IFERROR(__xludf.DUMMYFUNCTION("if(isblank(L68),, index(googlefinance(A68,M$2,L68-1),2,2))"),181.08)</f>
        <v>181.08</v>
      </c>
      <c r="N68" s="20">
        <f>IFERROR(__xludf.DUMMYFUNCTION("if(isblank(A68),,googlefinance(A68))"),166.32)</f>
        <v>166.32</v>
      </c>
      <c r="O68" s="17" t="str">
        <f t="shared" si="11"/>
        <v>Completed</v>
      </c>
      <c r="P68" s="37" t="str">
        <f t="shared" si="4"/>
        <v>Profit</v>
      </c>
      <c r="Q68" s="38">
        <f t="shared" si="5"/>
        <v>4.15</v>
      </c>
      <c r="R68" s="17" t="b">
        <f t="shared" si="6"/>
        <v>1</v>
      </c>
      <c r="S68" s="17">
        <f t="shared" si="12"/>
        <v>0.83</v>
      </c>
      <c r="T68" s="22">
        <f t="shared" si="8"/>
        <v>5</v>
      </c>
      <c r="U68" s="23"/>
      <c r="V68" s="13"/>
      <c r="W68" s="13"/>
      <c r="X68" s="13"/>
      <c r="Y68" s="13"/>
      <c r="Z68" s="13"/>
      <c r="AA68" s="24"/>
    </row>
    <row r="69" ht="13.5" hidden="1" customHeight="1">
      <c r="A69" s="30" t="s">
        <v>93</v>
      </c>
      <c r="B69" s="31">
        <v>8.0</v>
      </c>
      <c r="C69" s="32">
        <v>246.85</v>
      </c>
      <c r="D69" s="32">
        <v>25.0</v>
      </c>
      <c r="E69" s="32">
        <v>2.629</v>
      </c>
      <c r="F69" s="34">
        <v>45167.0</v>
      </c>
      <c r="G69" s="33"/>
      <c r="H69" s="34">
        <v>45168.0</v>
      </c>
      <c r="I69" s="33"/>
      <c r="J69" s="40">
        <f t="shared" si="1"/>
        <v>45167</v>
      </c>
      <c r="K69" s="18">
        <f>IFERROR(__xludf.DUMMYFUNCTION("if(isblank(J69),,index(googlefinance(A69,K$2,J69-1),2,2))"),98.32)</f>
        <v>98.32</v>
      </c>
      <c r="L69" s="41">
        <f t="shared" si="2"/>
        <v>45168</v>
      </c>
      <c r="M69" s="19">
        <f>IFERROR(__xludf.DUMMYFUNCTION("if(isblank(L69),, index(googlefinance(A69,M$2,L69-1),2,2))"),100.53)</f>
        <v>100.53</v>
      </c>
      <c r="N69" s="20">
        <f>IFERROR(__xludf.DUMMYFUNCTION("if(isblank(A69),,googlefinance(A69))"),116.09)</f>
        <v>116.09</v>
      </c>
      <c r="O69" s="17" t="str">
        <f t="shared" si="11"/>
        <v>Completed</v>
      </c>
      <c r="P69" s="37" t="str">
        <f t="shared" si="4"/>
        <v>Profit</v>
      </c>
      <c r="Q69" s="38">
        <f t="shared" si="5"/>
        <v>22.1</v>
      </c>
      <c r="R69" s="17" t="b">
        <f t="shared" si="6"/>
        <v>1</v>
      </c>
      <c r="S69" s="17">
        <f t="shared" si="12"/>
        <v>2.21</v>
      </c>
      <c r="T69" s="22">
        <f t="shared" si="8"/>
        <v>10</v>
      </c>
      <c r="U69" s="23"/>
      <c r="V69" s="13"/>
      <c r="W69" s="13"/>
      <c r="X69" s="13"/>
      <c r="Y69" s="13"/>
      <c r="Z69" s="13"/>
      <c r="AA69" s="24"/>
    </row>
    <row r="70" ht="13.5" hidden="1" customHeight="1">
      <c r="A70" s="30" t="s">
        <v>94</v>
      </c>
      <c r="B70" s="31">
        <v>8.0</v>
      </c>
      <c r="C70" s="32">
        <v>103.29</v>
      </c>
      <c r="D70" s="32">
        <v>50.0</v>
      </c>
      <c r="E70" s="32">
        <v>1.469</v>
      </c>
      <c r="F70" s="34">
        <v>45168.0</v>
      </c>
      <c r="G70" s="33"/>
      <c r="H70" s="34">
        <v>45174.0</v>
      </c>
      <c r="I70" s="33"/>
      <c r="J70" s="40">
        <f t="shared" si="1"/>
        <v>45168</v>
      </c>
      <c r="K70" s="18">
        <f>IFERROR(__xludf.DUMMYFUNCTION("if(isblank(J70),,index(googlefinance(A70,K$2,J70-1),2,2))"),26.52)</f>
        <v>26.52</v>
      </c>
      <c r="L70" s="41">
        <f t="shared" si="2"/>
        <v>45174</v>
      </c>
      <c r="M70" s="19">
        <f>IFERROR(__xludf.DUMMYFUNCTION("if(isblank(L70),, index(googlefinance(A70,M$2,L70-1),2,2))"),26.13)</f>
        <v>26.13</v>
      </c>
      <c r="N70" s="20">
        <f>IFERROR(__xludf.DUMMYFUNCTION("if(isblank(A70),,googlefinance(A70))"),27.27)</f>
        <v>27.27</v>
      </c>
      <c r="O70" s="17" t="str">
        <f t="shared" si="11"/>
        <v>Completed</v>
      </c>
      <c r="P70" s="42" t="str">
        <f t="shared" si="4"/>
        <v>Loss</v>
      </c>
      <c r="Q70" s="43">
        <f t="shared" si="5"/>
        <v>-14.43</v>
      </c>
      <c r="R70" s="17" t="b">
        <f t="shared" si="6"/>
        <v>0</v>
      </c>
      <c r="S70" s="17">
        <f t="shared" si="12"/>
        <v>-0.39</v>
      </c>
      <c r="T70" s="22">
        <f t="shared" si="8"/>
        <v>37</v>
      </c>
      <c r="U70" s="23"/>
      <c r="V70" s="13"/>
      <c r="W70" s="13"/>
      <c r="X70" s="13"/>
      <c r="Y70" s="13"/>
      <c r="Z70" s="13"/>
      <c r="AA70" s="24"/>
    </row>
    <row r="71" ht="13.5" hidden="1" customHeight="1">
      <c r="A71" s="30" t="s">
        <v>95</v>
      </c>
      <c r="B71" s="31">
        <v>9.0</v>
      </c>
      <c r="C71" s="32">
        <v>2.8</v>
      </c>
      <c r="D71" s="32">
        <v>22.222</v>
      </c>
      <c r="E71" s="32">
        <v>1.023</v>
      </c>
      <c r="F71" s="34">
        <v>45168.0</v>
      </c>
      <c r="G71" s="33"/>
      <c r="H71" s="34">
        <v>45174.0</v>
      </c>
      <c r="I71" s="33"/>
      <c r="J71" s="40">
        <f t="shared" si="1"/>
        <v>45168</v>
      </c>
      <c r="K71" s="18">
        <f>IFERROR(__xludf.DUMMYFUNCTION("if(isblank(J71),,index(googlefinance(A71,K$2,J71-1),2,2))"),55.72)</f>
        <v>55.72</v>
      </c>
      <c r="L71" s="41">
        <f t="shared" si="2"/>
        <v>45174</v>
      </c>
      <c r="M71" s="19">
        <f>IFERROR(__xludf.DUMMYFUNCTION("if(isblank(L71),, index(googlefinance(A71,M$2,L71-1),2,2))"),55.64)</f>
        <v>55.64</v>
      </c>
      <c r="N71" s="20">
        <f>IFERROR(__xludf.DUMMYFUNCTION("if(isblank(A71),,googlefinance(A71))"),63.65)</f>
        <v>63.65</v>
      </c>
      <c r="O71" s="17" t="str">
        <f t="shared" si="11"/>
        <v>Completed</v>
      </c>
      <c r="P71" s="42" t="str">
        <f t="shared" si="4"/>
        <v>Loss</v>
      </c>
      <c r="Q71" s="43">
        <f t="shared" si="5"/>
        <v>-1.36</v>
      </c>
      <c r="R71" s="17" t="b">
        <f t="shared" si="6"/>
        <v>0</v>
      </c>
      <c r="S71" s="17">
        <f t="shared" si="12"/>
        <v>-0.08</v>
      </c>
      <c r="T71" s="22">
        <f t="shared" si="8"/>
        <v>17</v>
      </c>
      <c r="U71" s="23"/>
      <c r="V71" s="13"/>
      <c r="W71" s="13"/>
      <c r="X71" s="13"/>
      <c r="Y71" s="13"/>
      <c r="Z71" s="13"/>
      <c r="AA71" s="24"/>
    </row>
    <row r="72" ht="13.5" hidden="1" customHeight="1">
      <c r="A72" s="30" t="s">
        <v>96</v>
      </c>
      <c r="B72" s="31">
        <v>11.0</v>
      </c>
      <c r="C72" s="32">
        <v>229.87</v>
      </c>
      <c r="D72" s="32">
        <v>54.545</v>
      </c>
      <c r="E72" s="32">
        <v>2.3</v>
      </c>
      <c r="F72" s="34">
        <v>45169.0</v>
      </c>
      <c r="G72" s="33"/>
      <c r="H72" s="34">
        <v>45174.0</v>
      </c>
      <c r="I72" s="33"/>
      <c r="J72" s="40">
        <f t="shared" si="1"/>
        <v>45169</v>
      </c>
      <c r="K72" s="18">
        <f>IFERROR(__xludf.DUMMYFUNCTION("if(isblank(J72),,index(googlefinance(A72,K$2,J72-1),2,2))"),75.93)</f>
        <v>75.93</v>
      </c>
      <c r="L72" s="41">
        <f t="shared" si="2"/>
        <v>45174</v>
      </c>
      <c r="M72" s="19">
        <f>IFERROR(__xludf.DUMMYFUNCTION("if(isblank(L72),, index(googlefinance(A72,M$2,L72-1),2,2))"),73.95)</f>
        <v>73.95</v>
      </c>
      <c r="N72" s="20">
        <f>IFERROR(__xludf.DUMMYFUNCTION("if(isblank(A72),,googlefinance(A72))"),73.75)</f>
        <v>73.75</v>
      </c>
      <c r="O72" s="17" t="str">
        <f t="shared" si="11"/>
        <v>Completed</v>
      </c>
      <c r="P72" s="42" t="str">
        <f t="shared" si="4"/>
        <v>Loss</v>
      </c>
      <c r="Q72" s="43">
        <f t="shared" si="5"/>
        <v>-25.74</v>
      </c>
      <c r="R72" s="17" t="b">
        <f t="shared" si="6"/>
        <v>0</v>
      </c>
      <c r="S72" s="17">
        <f t="shared" si="12"/>
        <v>-1.98</v>
      </c>
      <c r="T72" s="22">
        <f t="shared" si="8"/>
        <v>13</v>
      </c>
      <c r="U72" s="23"/>
      <c r="V72" s="13"/>
      <c r="W72" s="13"/>
      <c r="X72" s="13"/>
      <c r="Y72" s="13"/>
      <c r="Z72" s="13"/>
      <c r="AA72" s="24"/>
    </row>
    <row r="73" ht="13.5" hidden="1" customHeight="1">
      <c r="A73" s="30" t="s">
        <v>97</v>
      </c>
      <c r="B73" s="31">
        <v>7.0</v>
      </c>
      <c r="C73" s="32">
        <v>157.17</v>
      </c>
      <c r="D73" s="32">
        <v>57.143</v>
      </c>
      <c r="E73" s="32">
        <v>1.901</v>
      </c>
      <c r="F73" s="34">
        <v>45169.0</v>
      </c>
      <c r="G73" s="33"/>
      <c r="H73" s="34">
        <v>45174.0</v>
      </c>
      <c r="I73" s="33"/>
      <c r="J73" s="40">
        <f t="shared" si="1"/>
        <v>45169</v>
      </c>
      <c r="K73" s="18">
        <f>IFERROR(__xludf.DUMMYFUNCTION("if(isblank(J73),,index(googlefinance(A73,K$2,J73-1),2,2))"),54.91)</f>
        <v>54.91</v>
      </c>
      <c r="L73" s="41">
        <f t="shared" si="2"/>
        <v>45174</v>
      </c>
      <c r="M73" s="19">
        <f>IFERROR(__xludf.DUMMYFUNCTION("if(isblank(L73),, index(googlefinance(A73,M$2,L73-1),2,2))"),52.61)</f>
        <v>52.61</v>
      </c>
      <c r="N73" s="20">
        <f>IFERROR(__xludf.DUMMYFUNCTION("if(isblank(A73),,googlefinance(A73))"),55.25)</f>
        <v>55.25</v>
      </c>
      <c r="O73" s="17" t="str">
        <f t="shared" si="11"/>
        <v>Completed</v>
      </c>
      <c r="P73" s="42" t="str">
        <f t="shared" si="4"/>
        <v>Loss</v>
      </c>
      <c r="Q73" s="43">
        <f t="shared" si="5"/>
        <v>-41.4</v>
      </c>
      <c r="R73" s="17" t="b">
        <f t="shared" si="6"/>
        <v>0</v>
      </c>
      <c r="S73" s="17">
        <f t="shared" si="12"/>
        <v>-2.3</v>
      </c>
      <c r="T73" s="22">
        <f t="shared" si="8"/>
        <v>18</v>
      </c>
      <c r="U73" s="23"/>
      <c r="V73" s="13"/>
      <c r="W73" s="13"/>
      <c r="X73" s="13"/>
      <c r="Y73" s="13"/>
      <c r="Z73" s="13"/>
      <c r="AA73" s="24"/>
    </row>
    <row r="74" ht="13.5" hidden="1" customHeight="1">
      <c r="A74" s="30" t="s">
        <v>98</v>
      </c>
      <c r="B74" s="31">
        <v>8.0</v>
      </c>
      <c r="C74" s="32">
        <v>246.79</v>
      </c>
      <c r="D74" s="32">
        <v>50.0</v>
      </c>
      <c r="E74" s="32">
        <v>3.112</v>
      </c>
      <c r="F74" s="33"/>
      <c r="G74" s="34">
        <v>45170.0</v>
      </c>
      <c r="H74" s="33"/>
      <c r="I74" s="34">
        <v>45176.0</v>
      </c>
      <c r="J74" s="35">
        <f t="shared" si="1"/>
        <v>45170</v>
      </c>
      <c r="K74" s="18">
        <f>IFERROR(__xludf.DUMMYFUNCTION("if(isblank(J74),,index(googlefinance(A74,K$2,J74-1),2,2))"),310.12)</f>
        <v>310.12</v>
      </c>
      <c r="L74" s="36">
        <f t="shared" si="2"/>
        <v>45176</v>
      </c>
      <c r="M74" s="19">
        <f>IFERROR(__xludf.DUMMYFUNCTION("if(isblank(L74),, index(googlefinance(A74,M$2,L74-1),2,2))"),310.82)</f>
        <v>310.82</v>
      </c>
      <c r="N74" s="20">
        <f>IFERROR(__xludf.DUMMYFUNCTION("if(isblank(A74),,googlefinance(A74))"),401.72)</f>
        <v>401.72</v>
      </c>
      <c r="O74" s="17" t="str">
        <f t="shared" si="11"/>
        <v>Completed</v>
      </c>
      <c r="P74" s="42" t="str">
        <f t="shared" si="4"/>
        <v>Loss</v>
      </c>
      <c r="Q74" s="43">
        <f t="shared" si="5"/>
        <v>-2.1</v>
      </c>
      <c r="R74" s="17" t="b">
        <f t="shared" si="6"/>
        <v>0</v>
      </c>
      <c r="S74" s="17">
        <f t="shared" si="12"/>
        <v>0.7</v>
      </c>
      <c r="T74" s="22">
        <f t="shared" si="8"/>
        <v>3</v>
      </c>
      <c r="U74" s="23"/>
      <c r="V74" s="13"/>
      <c r="W74" s="13"/>
      <c r="X74" s="13"/>
      <c r="Y74" s="13"/>
      <c r="Z74" s="13"/>
      <c r="AA74" s="24"/>
    </row>
    <row r="75" ht="13.5" hidden="1" customHeight="1">
      <c r="A75" s="30" t="s">
        <v>73</v>
      </c>
      <c r="B75" s="31">
        <v>13.0</v>
      </c>
      <c r="C75" s="32">
        <v>115.86</v>
      </c>
      <c r="D75" s="32">
        <v>38.462</v>
      </c>
      <c r="E75" s="32">
        <v>1.435</v>
      </c>
      <c r="F75" s="34">
        <v>45170.0</v>
      </c>
      <c r="G75" s="33"/>
      <c r="H75" s="34">
        <v>45187.0</v>
      </c>
      <c r="I75" s="33"/>
      <c r="J75" s="40">
        <f t="shared" si="1"/>
        <v>45170</v>
      </c>
      <c r="K75" s="18">
        <f>IFERROR(__xludf.DUMMYFUNCTION("if(isblank(J75),,index(googlefinance(A75,K$2,J75-1),2,2))"),113.49)</f>
        <v>113.49</v>
      </c>
      <c r="L75" s="41">
        <f t="shared" si="2"/>
        <v>45187</v>
      </c>
      <c r="M75" s="19">
        <f>IFERROR(__xludf.DUMMYFUNCTION("if(isblank(L75),, index(googlefinance(A75,M$2,L75-1),2,2))"),114.25)</f>
        <v>114.25</v>
      </c>
      <c r="N75" s="20">
        <f>IFERROR(__xludf.DUMMYFUNCTION("if(isblank(A75),,googlefinance(A75))"),149.96)</f>
        <v>149.96</v>
      </c>
      <c r="O75" s="17" t="str">
        <f t="shared" si="11"/>
        <v>Completed</v>
      </c>
      <c r="P75" s="37" t="str">
        <f t="shared" si="4"/>
        <v>Profit</v>
      </c>
      <c r="Q75" s="38">
        <f t="shared" si="5"/>
        <v>6.08</v>
      </c>
      <c r="R75" s="17" t="b">
        <f t="shared" si="6"/>
        <v>1</v>
      </c>
      <c r="S75" s="17">
        <f t="shared" si="12"/>
        <v>0.76</v>
      </c>
      <c r="T75" s="22">
        <f t="shared" si="8"/>
        <v>8</v>
      </c>
      <c r="U75" s="23"/>
      <c r="V75" s="13"/>
      <c r="W75" s="13"/>
      <c r="X75" s="13"/>
      <c r="Y75" s="13"/>
      <c r="Z75" s="13"/>
      <c r="AA75" s="24"/>
    </row>
    <row r="76" ht="13.5" hidden="1" customHeight="1">
      <c r="A76" s="30" t="s">
        <v>99</v>
      </c>
      <c r="B76" s="31">
        <v>4.0</v>
      </c>
      <c r="C76" s="32">
        <v>77.25</v>
      </c>
      <c r="D76" s="32">
        <v>25.0</v>
      </c>
      <c r="E76" s="32">
        <v>2.046</v>
      </c>
      <c r="F76" s="33"/>
      <c r="G76" s="34">
        <v>45175.0</v>
      </c>
      <c r="H76" s="33"/>
      <c r="I76" s="34">
        <v>45180.0</v>
      </c>
      <c r="J76" s="35">
        <f t="shared" si="1"/>
        <v>45175</v>
      </c>
      <c r="K76" s="18">
        <f>IFERROR(__xludf.DUMMYFUNCTION("if(isblank(J76),,index(googlefinance(A76,K$2,J76-1),2,2))"),113.09)</f>
        <v>113.09</v>
      </c>
      <c r="L76" s="36">
        <f t="shared" si="2"/>
        <v>45180</v>
      </c>
      <c r="M76" s="19">
        <f>IFERROR(__xludf.DUMMYFUNCTION("if(isblank(L76),, index(googlefinance(A76,M$2,L76-1),2,2))"),114.87)</f>
        <v>114.87</v>
      </c>
      <c r="N76" s="20">
        <f>IFERROR(__xludf.DUMMYFUNCTION("if(isblank(A76),,googlefinance(A76))"),91.68)</f>
        <v>91.68</v>
      </c>
      <c r="O76" s="17" t="str">
        <f t="shared" si="11"/>
        <v>Completed</v>
      </c>
      <c r="P76" s="42" t="str">
        <f t="shared" si="4"/>
        <v>Loss</v>
      </c>
      <c r="Q76" s="43">
        <f t="shared" si="5"/>
        <v>-14.24</v>
      </c>
      <c r="R76" s="17" t="b">
        <f t="shared" si="6"/>
        <v>0</v>
      </c>
      <c r="S76" s="17">
        <f t="shared" si="12"/>
        <v>1.78</v>
      </c>
      <c r="T76" s="22">
        <f t="shared" si="8"/>
        <v>8</v>
      </c>
      <c r="U76" s="23"/>
      <c r="V76" s="13"/>
      <c r="W76" s="13"/>
      <c r="X76" s="13"/>
      <c r="Y76" s="13"/>
      <c r="Z76" s="13"/>
      <c r="AA76" s="24"/>
    </row>
    <row r="77" ht="13.5" hidden="1" customHeight="1">
      <c r="A77" s="30" t="s">
        <v>100</v>
      </c>
      <c r="B77" s="31">
        <v>10.0</v>
      </c>
      <c r="C77" s="32">
        <v>345.79</v>
      </c>
      <c r="D77" s="32">
        <v>50.0</v>
      </c>
      <c r="E77" s="32">
        <v>3.902</v>
      </c>
      <c r="F77" s="33"/>
      <c r="G77" s="34">
        <v>45175.0</v>
      </c>
      <c r="H77" s="33"/>
      <c r="I77" s="34">
        <v>45181.0</v>
      </c>
      <c r="J77" s="35">
        <f t="shared" si="1"/>
        <v>45175</v>
      </c>
      <c r="K77" s="18">
        <f>IFERROR(__xludf.DUMMYFUNCTION("if(isblank(J77),,index(googlefinance(A77,K$2,J77-1),2,2))"),114.64)</f>
        <v>114.64</v>
      </c>
      <c r="L77" s="36">
        <f t="shared" si="2"/>
        <v>45181</v>
      </c>
      <c r="M77" s="19">
        <f>IFERROR(__xludf.DUMMYFUNCTION("if(isblank(L77),, index(googlefinance(A77,M$2,L77-1),2,2))"),115.03)</f>
        <v>115.03</v>
      </c>
      <c r="N77" s="20">
        <f>IFERROR(__xludf.DUMMYFUNCTION("if(isblank(A77),,googlefinance(A77))"),137.12)</f>
        <v>137.12</v>
      </c>
      <c r="O77" s="17" t="str">
        <f t="shared" si="11"/>
        <v>Completed</v>
      </c>
      <c r="P77" s="42" t="str">
        <f t="shared" si="4"/>
        <v>Loss</v>
      </c>
      <c r="Q77" s="43">
        <f t="shared" si="5"/>
        <v>-3.12</v>
      </c>
      <c r="R77" s="17" t="b">
        <f t="shared" si="6"/>
        <v>0</v>
      </c>
      <c r="S77" s="17">
        <f t="shared" si="12"/>
        <v>0.39</v>
      </c>
      <c r="T77" s="22">
        <f t="shared" si="8"/>
        <v>8</v>
      </c>
      <c r="U77" s="23"/>
      <c r="V77" s="13"/>
      <c r="W77" s="13"/>
      <c r="X77" s="13"/>
      <c r="Y77" s="13"/>
      <c r="Z77" s="13"/>
      <c r="AA77" s="24"/>
    </row>
    <row r="78" ht="13.5" hidden="1" customHeight="1">
      <c r="A78" s="30" t="s">
        <v>101</v>
      </c>
      <c r="B78" s="31">
        <v>12.0</v>
      </c>
      <c r="C78" s="32">
        <v>179.49</v>
      </c>
      <c r="D78" s="32">
        <v>50.0</v>
      </c>
      <c r="E78" s="32">
        <v>2.651</v>
      </c>
      <c r="F78" s="33"/>
      <c r="G78" s="34">
        <v>45177.0</v>
      </c>
      <c r="H78" s="33"/>
      <c r="I78" s="34">
        <v>45183.0</v>
      </c>
      <c r="J78" s="35">
        <f t="shared" si="1"/>
        <v>45177</v>
      </c>
      <c r="K78" s="18">
        <f>IFERROR(__xludf.DUMMYFUNCTION("if(isblank(J78),,index(googlefinance(A78,K$2,J78-1),2,2))"),410.01)</f>
        <v>410.01</v>
      </c>
      <c r="L78" s="36">
        <f t="shared" si="2"/>
        <v>45183</v>
      </c>
      <c r="M78" s="19">
        <f>IFERROR(__xludf.DUMMYFUNCTION("if(isblank(L78),, index(googlefinance(A78,M$2,L78-1),2,2))"),409.35)</f>
        <v>409.35</v>
      </c>
      <c r="N78" s="20">
        <f>IFERROR(__xludf.DUMMYFUNCTION("if(isblank(A78),,googlefinance(A78))"),432.26)</f>
        <v>432.26</v>
      </c>
      <c r="O78" s="17" t="str">
        <f t="shared" si="11"/>
        <v>Completed</v>
      </c>
      <c r="P78" s="37" t="str">
        <f t="shared" si="4"/>
        <v>Profit</v>
      </c>
      <c r="Q78" s="38">
        <f t="shared" si="5"/>
        <v>1.32</v>
      </c>
      <c r="R78" s="17" t="b">
        <f t="shared" si="6"/>
        <v>1</v>
      </c>
      <c r="S78" s="17">
        <f t="shared" si="12"/>
        <v>-0.66</v>
      </c>
      <c r="T78" s="22">
        <f t="shared" si="8"/>
        <v>2</v>
      </c>
      <c r="U78" s="23"/>
      <c r="V78" s="13"/>
      <c r="W78" s="13"/>
      <c r="X78" s="13"/>
      <c r="Y78" s="13"/>
      <c r="Z78" s="13"/>
      <c r="AA78" s="24"/>
    </row>
    <row r="79" ht="13.5" hidden="1" customHeight="1">
      <c r="A79" s="30" t="s">
        <v>102</v>
      </c>
      <c r="B79" s="31">
        <v>9.0</v>
      </c>
      <c r="C79" s="32">
        <v>39.09</v>
      </c>
      <c r="D79" s="32">
        <v>33.333</v>
      </c>
      <c r="E79" s="32">
        <v>1.157</v>
      </c>
      <c r="F79" s="33"/>
      <c r="G79" s="34">
        <v>45181.0</v>
      </c>
      <c r="H79" s="33"/>
      <c r="I79" s="34">
        <v>45194.0</v>
      </c>
      <c r="J79" s="35">
        <f t="shared" si="1"/>
        <v>45181</v>
      </c>
      <c r="K79" s="18">
        <f>IFERROR(__xludf.DUMMYFUNCTION("if(isblank(J79),,index(googlefinance(A79,K$2,J79-1),2,2))"),325.87)</f>
        <v>325.87</v>
      </c>
      <c r="L79" s="36">
        <f t="shared" si="2"/>
        <v>45194</v>
      </c>
      <c r="M79" s="19">
        <f>IFERROR(__xludf.DUMMYFUNCTION("if(isblank(L79),, index(googlefinance(A79,M$2,L79-1),2,2))"),316.99)</f>
        <v>316.99</v>
      </c>
      <c r="N79" s="20">
        <f>IFERROR(__xludf.DUMMYFUNCTION("if(isblank(A79),,googlefinance(A79))"),369.48)</f>
        <v>369.48</v>
      </c>
      <c r="O79" s="17" t="str">
        <f t="shared" si="11"/>
        <v>Completed</v>
      </c>
      <c r="P79" s="37" t="str">
        <f t="shared" si="4"/>
        <v>Profit</v>
      </c>
      <c r="Q79" s="38">
        <f t="shared" si="5"/>
        <v>26.64</v>
      </c>
      <c r="R79" s="17" t="b">
        <f t="shared" si="6"/>
        <v>1</v>
      </c>
      <c r="S79" s="17">
        <f t="shared" si="12"/>
        <v>-8.88</v>
      </c>
      <c r="T79" s="22">
        <f t="shared" si="8"/>
        <v>3</v>
      </c>
      <c r="U79" s="23"/>
      <c r="V79" s="13"/>
      <c r="W79" s="13"/>
      <c r="X79" s="13"/>
      <c r="Y79" s="13"/>
      <c r="Z79" s="13"/>
      <c r="AA79" s="24"/>
    </row>
    <row r="80" ht="13.5" hidden="1" customHeight="1">
      <c r="A80" s="30" t="s">
        <v>103</v>
      </c>
      <c r="B80" s="31">
        <v>11.0</v>
      </c>
      <c r="C80" s="32">
        <v>75.55</v>
      </c>
      <c r="D80" s="32">
        <v>36.364</v>
      </c>
      <c r="E80" s="32">
        <v>1.313</v>
      </c>
      <c r="F80" s="33"/>
      <c r="G80" s="34">
        <v>45181.0</v>
      </c>
      <c r="H80" s="33"/>
      <c r="I80" s="34">
        <v>45201.0</v>
      </c>
      <c r="J80" s="35">
        <f t="shared" si="1"/>
        <v>45181</v>
      </c>
      <c r="K80" s="18">
        <f>IFERROR(__xludf.DUMMYFUNCTION("if(isblank(J80),,index(googlefinance(A80,K$2,J80-1),2,2))"),564.5)</f>
        <v>564.5</v>
      </c>
      <c r="L80" s="36">
        <f t="shared" si="2"/>
        <v>45201</v>
      </c>
      <c r="M80" s="19">
        <f>IFERROR(__xludf.DUMMYFUNCTION("if(isblank(L80),, index(googlefinance(A80,M$2,L80-1),2,2))"),521.13)</f>
        <v>521.13</v>
      </c>
      <c r="N80" s="20">
        <f>IFERROR(__xludf.DUMMYFUNCTION("if(isblank(A80),,googlefinance(A80))"),546.66)</f>
        <v>546.66</v>
      </c>
      <c r="O80" s="17" t="str">
        <f t="shared" si="11"/>
        <v>Completed</v>
      </c>
      <c r="P80" s="37" t="str">
        <f t="shared" si="4"/>
        <v>Profit</v>
      </c>
      <c r="Q80" s="38">
        <f t="shared" si="5"/>
        <v>43.37</v>
      </c>
      <c r="R80" s="17" t="b">
        <f t="shared" si="6"/>
        <v>1</v>
      </c>
      <c r="S80" s="17">
        <f t="shared" si="12"/>
        <v>-43.37</v>
      </c>
      <c r="T80" s="22">
        <f t="shared" si="8"/>
        <v>1</v>
      </c>
      <c r="U80" s="23"/>
      <c r="V80" s="13"/>
      <c r="W80" s="13"/>
      <c r="X80" s="13"/>
      <c r="Y80" s="13"/>
      <c r="Z80" s="13"/>
      <c r="AA80" s="24"/>
    </row>
    <row r="81" ht="13.5" hidden="1" customHeight="1">
      <c r="A81" s="30" t="s">
        <v>104</v>
      </c>
      <c r="B81" s="31">
        <v>8.0</v>
      </c>
      <c r="C81" s="32">
        <v>375.94</v>
      </c>
      <c r="D81" s="32">
        <v>62.5</v>
      </c>
      <c r="E81" s="32">
        <v>4.489</v>
      </c>
      <c r="F81" s="34">
        <v>45181.0</v>
      </c>
      <c r="G81" s="33"/>
      <c r="H81" s="34">
        <v>45189.0</v>
      </c>
      <c r="I81" s="33"/>
      <c r="J81" s="40">
        <f t="shared" si="1"/>
        <v>45181</v>
      </c>
      <c r="K81" s="18">
        <f>IFERROR(__xludf.DUMMYFUNCTION("if(isblank(J81),,index(googlefinance(A81,K$2,J81-1),2,2))"),147.33)</f>
        <v>147.33</v>
      </c>
      <c r="L81" s="41">
        <f t="shared" si="2"/>
        <v>45189</v>
      </c>
      <c r="M81" s="19">
        <f>IFERROR(__xludf.DUMMYFUNCTION("if(isblank(L81),, index(googlefinance(A81,M$2,L81-1),2,2))"),141.85)</f>
        <v>141.85</v>
      </c>
      <c r="N81" s="20">
        <f>IFERROR(__xludf.DUMMYFUNCTION("if(isblank(A81),,googlefinance(A81))"),152.51)</f>
        <v>152.51</v>
      </c>
      <c r="O81" s="17" t="str">
        <f t="shared" si="11"/>
        <v>Completed</v>
      </c>
      <c r="P81" s="42" t="str">
        <f t="shared" si="4"/>
        <v>Loss</v>
      </c>
      <c r="Q81" s="43">
        <f t="shared" si="5"/>
        <v>-32.88</v>
      </c>
      <c r="R81" s="17" t="b">
        <f t="shared" si="6"/>
        <v>0</v>
      </c>
      <c r="S81" s="17">
        <f t="shared" si="12"/>
        <v>-5.48</v>
      </c>
      <c r="T81" s="22">
        <f t="shared" si="8"/>
        <v>6</v>
      </c>
      <c r="U81" s="23"/>
      <c r="V81" s="13"/>
      <c r="W81" s="13"/>
      <c r="X81" s="13"/>
      <c r="Y81" s="13"/>
      <c r="Z81" s="13"/>
      <c r="AA81" s="24"/>
    </row>
    <row r="82" ht="13.5" hidden="1" customHeight="1">
      <c r="A82" s="30" t="s">
        <v>105</v>
      </c>
      <c r="B82" s="31">
        <v>10.0</v>
      </c>
      <c r="C82" s="32">
        <v>150.38</v>
      </c>
      <c r="D82" s="32">
        <v>30.0</v>
      </c>
      <c r="E82" s="32">
        <v>2.201</v>
      </c>
      <c r="F82" s="34">
        <v>45183.0</v>
      </c>
      <c r="G82" s="33"/>
      <c r="H82" s="34">
        <v>45188.0</v>
      </c>
      <c r="I82" s="33"/>
      <c r="J82" s="40">
        <f t="shared" si="1"/>
        <v>45183</v>
      </c>
      <c r="K82" s="18">
        <f>IFERROR(__xludf.DUMMYFUNCTION("if(isblank(J82),,index(googlefinance(A82,K$2,J82-1),2,2))"),212.13)</f>
        <v>212.13</v>
      </c>
      <c r="L82" s="41">
        <f t="shared" si="2"/>
        <v>45188</v>
      </c>
      <c r="M82" s="19">
        <f>IFERROR(__xludf.DUMMYFUNCTION("if(isblank(L82),, index(googlefinance(A82,M$2,L82-1),2,2))"),213.15)</f>
        <v>213.15</v>
      </c>
      <c r="N82" s="20">
        <f>IFERROR(__xludf.DUMMYFUNCTION("if(isblank(A82),,googlefinance(A82))"),246.59)</f>
        <v>246.59</v>
      </c>
      <c r="O82" s="17" t="str">
        <f t="shared" si="11"/>
        <v>Completed</v>
      </c>
      <c r="P82" s="37" t="str">
        <f t="shared" si="4"/>
        <v>Profit</v>
      </c>
      <c r="Q82" s="38">
        <f t="shared" si="5"/>
        <v>4.08</v>
      </c>
      <c r="R82" s="17" t="b">
        <f t="shared" si="6"/>
        <v>1</v>
      </c>
      <c r="S82" s="17">
        <f t="shared" si="12"/>
        <v>1.02</v>
      </c>
      <c r="T82" s="22">
        <f t="shared" si="8"/>
        <v>4</v>
      </c>
      <c r="U82" s="23"/>
      <c r="V82" s="13"/>
      <c r="W82" s="13"/>
      <c r="X82" s="13"/>
      <c r="Y82" s="13"/>
      <c r="Z82" s="13"/>
      <c r="AA82" s="24"/>
    </row>
    <row r="83" ht="13.5" hidden="1" customHeight="1">
      <c r="A83" s="30" t="s">
        <v>106</v>
      </c>
      <c r="B83" s="31">
        <v>11.0</v>
      </c>
      <c r="C83" s="32">
        <v>48.77</v>
      </c>
      <c r="D83" s="32">
        <v>45.455</v>
      </c>
      <c r="E83" s="32">
        <v>1.267</v>
      </c>
      <c r="F83" s="34">
        <v>45183.0</v>
      </c>
      <c r="G83" s="33"/>
      <c r="H83" s="34">
        <v>45186.0</v>
      </c>
      <c r="I83" s="33"/>
      <c r="J83" s="40">
        <f t="shared" si="1"/>
        <v>45183</v>
      </c>
      <c r="K83" s="18">
        <f>IFERROR(__xludf.DUMMYFUNCTION("if(isblank(J83),,index(googlefinance(A83,K$2,J83-1),2,2))"),212.33)</f>
        <v>212.33</v>
      </c>
      <c r="L83" s="41">
        <f t="shared" si="2"/>
        <v>45186</v>
      </c>
      <c r="M83" s="19">
        <f>IFERROR(__xludf.DUMMYFUNCTION("if(isblank(L83),, index(googlefinance(A83,M$2,L83-1),2,2))"),215.1)</f>
        <v>215.1</v>
      </c>
      <c r="N83" s="20">
        <f>IFERROR(__xludf.DUMMYFUNCTION("if(isblank(A83),,googlefinance(A83))"),206.8)</f>
        <v>206.8</v>
      </c>
      <c r="O83" s="17" t="str">
        <f t="shared" si="11"/>
        <v>Completed</v>
      </c>
      <c r="P83" s="37" t="str">
        <f t="shared" si="4"/>
        <v>Profit</v>
      </c>
      <c r="Q83" s="38">
        <f t="shared" si="5"/>
        <v>11.08</v>
      </c>
      <c r="R83" s="17" t="b">
        <f t="shared" si="6"/>
        <v>1</v>
      </c>
      <c r="S83" s="17">
        <f t="shared" si="12"/>
        <v>2.77</v>
      </c>
      <c r="T83" s="22">
        <f t="shared" si="8"/>
        <v>4</v>
      </c>
      <c r="U83" s="23"/>
      <c r="V83" s="13"/>
      <c r="W83" s="13"/>
      <c r="X83" s="13"/>
      <c r="Y83" s="13"/>
      <c r="Z83" s="13"/>
      <c r="AA83" s="24"/>
    </row>
    <row r="84" ht="13.5" hidden="1" customHeight="1">
      <c r="A84" s="30" t="s">
        <v>107</v>
      </c>
      <c r="B84" s="31">
        <v>10.0</v>
      </c>
      <c r="C84" s="32">
        <v>178.26</v>
      </c>
      <c r="D84" s="32">
        <v>40.0</v>
      </c>
      <c r="E84" s="32">
        <v>1.979</v>
      </c>
      <c r="F84" s="33"/>
      <c r="G84" s="34">
        <v>45184.0</v>
      </c>
      <c r="H84" s="33"/>
      <c r="I84" s="34">
        <v>45198.0</v>
      </c>
      <c r="J84" s="35">
        <f t="shared" si="1"/>
        <v>45184</v>
      </c>
      <c r="K84" s="18">
        <f>IFERROR(__xludf.DUMMYFUNCTION("if(isblank(J84),,index(googlefinance(A84,K$2,J84-1),2,2))"),38.67)</f>
        <v>38.67</v>
      </c>
      <c r="L84" s="36">
        <f t="shared" si="2"/>
        <v>45198</v>
      </c>
      <c r="M84" s="19">
        <f>IFERROR(__xludf.DUMMYFUNCTION("if(isblank(L84),, index(googlefinance(A84,M$2,L84-1),2,2))"),35.18)</f>
        <v>35.18</v>
      </c>
      <c r="N84" s="20">
        <f>IFERROR(__xludf.DUMMYFUNCTION("if(isblank(A84),,googlefinance(A84))"),43.51)</f>
        <v>43.51</v>
      </c>
      <c r="O84" s="17" t="str">
        <f t="shared" si="11"/>
        <v>Completed</v>
      </c>
      <c r="P84" s="37" t="str">
        <f t="shared" si="4"/>
        <v>Profit</v>
      </c>
      <c r="Q84" s="38">
        <f t="shared" si="5"/>
        <v>87.25</v>
      </c>
      <c r="R84" s="17" t="b">
        <f t="shared" si="6"/>
        <v>1</v>
      </c>
      <c r="S84" s="17">
        <f t="shared" si="12"/>
        <v>-3.49</v>
      </c>
      <c r="T84" s="22">
        <f t="shared" si="8"/>
        <v>25</v>
      </c>
      <c r="U84" s="23"/>
      <c r="V84" s="13"/>
      <c r="W84" s="13"/>
      <c r="X84" s="13"/>
      <c r="Y84" s="13"/>
      <c r="Z84" s="13"/>
      <c r="AA84" s="24"/>
    </row>
    <row r="85" ht="13.5" hidden="1" customHeight="1">
      <c r="A85" s="30" t="s">
        <v>45</v>
      </c>
      <c r="B85" s="31">
        <v>7.0</v>
      </c>
      <c r="C85" s="32">
        <v>621.3</v>
      </c>
      <c r="D85" s="32">
        <v>42.857</v>
      </c>
      <c r="E85" s="32">
        <v>5.552</v>
      </c>
      <c r="F85" s="33"/>
      <c r="G85" s="34">
        <v>45188.0</v>
      </c>
      <c r="H85" s="33"/>
      <c r="I85" s="34">
        <v>45196.0</v>
      </c>
      <c r="J85" s="35">
        <f t="shared" si="1"/>
        <v>45188</v>
      </c>
      <c r="K85" s="18">
        <f>IFERROR(__xludf.DUMMYFUNCTION("if(isblank(J85),,index(googlefinance(A85,K$2,J85-1),2,2))"),66.32)</f>
        <v>66.32</v>
      </c>
      <c r="L85" s="36">
        <f t="shared" si="2"/>
        <v>45196</v>
      </c>
      <c r="M85" s="19">
        <f>IFERROR(__xludf.DUMMYFUNCTION("if(isblank(L85),, index(googlefinance(A85,M$2,L85-1),2,2))"),63.15)</f>
        <v>63.15</v>
      </c>
      <c r="N85" s="20">
        <f>IFERROR(__xludf.DUMMYFUNCTION("if(isblank(A85),,googlefinance(A85))"),60.52)</f>
        <v>60.52</v>
      </c>
      <c r="O85" s="17" t="str">
        <f t="shared" si="11"/>
        <v>Completed</v>
      </c>
      <c r="P85" s="37" t="str">
        <f t="shared" si="4"/>
        <v>Profit</v>
      </c>
      <c r="Q85" s="38">
        <f t="shared" si="5"/>
        <v>47.55</v>
      </c>
      <c r="R85" s="17" t="b">
        <f t="shared" si="6"/>
        <v>1</v>
      </c>
      <c r="S85" s="17">
        <f t="shared" si="12"/>
        <v>-3.17</v>
      </c>
      <c r="T85" s="22">
        <f t="shared" si="8"/>
        <v>15</v>
      </c>
      <c r="U85" s="23"/>
      <c r="V85" s="13"/>
      <c r="W85" s="13"/>
      <c r="X85" s="13"/>
      <c r="Y85" s="13"/>
      <c r="Z85" s="13"/>
      <c r="AA85" s="24"/>
    </row>
    <row r="86" ht="13.5" hidden="1" customHeight="1">
      <c r="A86" s="30" t="s">
        <v>108</v>
      </c>
      <c r="B86" s="31">
        <v>12.0</v>
      </c>
      <c r="C86" s="32">
        <v>108.61</v>
      </c>
      <c r="D86" s="32">
        <v>50.0</v>
      </c>
      <c r="E86" s="32">
        <v>2.915</v>
      </c>
      <c r="F86" s="33"/>
      <c r="G86" s="34">
        <v>45189.0</v>
      </c>
      <c r="H86" s="33"/>
      <c r="I86" s="34">
        <v>45194.0</v>
      </c>
      <c r="J86" s="35">
        <f t="shared" si="1"/>
        <v>45189</v>
      </c>
      <c r="K86" s="18">
        <f>IFERROR(__xludf.DUMMYFUNCTION("if(isblank(J86),,index(googlefinance(A86,K$2,J86-1),2,2))"),39.19)</f>
        <v>39.19</v>
      </c>
      <c r="L86" s="36">
        <f t="shared" si="2"/>
        <v>45194</v>
      </c>
      <c r="M86" s="19">
        <f>IFERROR(__xludf.DUMMYFUNCTION("if(isblank(L86),, index(googlefinance(A86,M$2,L86-1),2,2))"),39.19)</f>
        <v>39.19</v>
      </c>
      <c r="N86" s="20">
        <f>IFERROR(__xludf.DUMMYFUNCTION("if(isblank(A86),,googlefinance(A86))"),51.9)</f>
        <v>51.9</v>
      </c>
      <c r="O86" s="17" t="str">
        <f t="shared" si="11"/>
        <v>Completed</v>
      </c>
      <c r="P86" s="42" t="str">
        <f t="shared" si="4"/>
        <v>Loss</v>
      </c>
      <c r="Q86" s="21">
        <f t="shared" si="5"/>
        <v>0</v>
      </c>
      <c r="R86" s="17" t="b">
        <f t="shared" si="6"/>
        <v>0</v>
      </c>
      <c r="S86" s="17">
        <f t="shared" si="12"/>
        <v>0</v>
      </c>
      <c r="T86" s="22">
        <f t="shared" si="8"/>
        <v>25</v>
      </c>
      <c r="U86" s="23"/>
      <c r="V86" s="13"/>
      <c r="W86" s="13"/>
      <c r="X86" s="13"/>
      <c r="Y86" s="13"/>
      <c r="Z86" s="13"/>
      <c r="AA86" s="24"/>
    </row>
    <row r="87" ht="13.5" hidden="1" customHeight="1">
      <c r="A87" s="30" t="s">
        <v>109</v>
      </c>
      <c r="B87" s="31">
        <v>12.0</v>
      </c>
      <c r="C87" s="32">
        <v>356.9</v>
      </c>
      <c r="D87" s="32">
        <v>41.667</v>
      </c>
      <c r="E87" s="32">
        <v>2.496</v>
      </c>
      <c r="F87" s="33"/>
      <c r="G87" s="34">
        <v>45189.0</v>
      </c>
      <c r="H87" s="33"/>
      <c r="I87" s="34">
        <v>45195.0</v>
      </c>
      <c r="J87" s="35">
        <f t="shared" si="1"/>
        <v>45189</v>
      </c>
      <c r="K87" s="18">
        <f>IFERROR(__xludf.DUMMYFUNCTION("if(isblank(J87),,index(googlefinance(A87,K$2,J87-1),2,2))"),60.43)</f>
        <v>60.43</v>
      </c>
      <c r="L87" s="36">
        <f t="shared" si="2"/>
        <v>45195</v>
      </c>
      <c r="M87" s="19">
        <f>IFERROR(__xludf.DUMMYFUNCTION("if(isblank(L87),, index(googlefinance(A87,M$2,L87-1),2,2))"),59.84)</f>
        <v>59.84</v>
      </c>
      <c r="N87" s="20">
        <f>IFERROR(__xludf.DUMMYFUNCTION("if(isblank(A87),,googlefinance(A87))"),48.57)</f>
        <v>48.57</v>
      </c>
      <c r="O87" s="17" t="str">
        <f t="shared" si="11"/>
        <v>Completed</v>
      </c>
      <c r="P87" s="37" t="str">
        <f t="shared" si="4"/>
        <v>Profit</v>
      </c>
      <c r="Q87" s="38">
        <f t="shared" si="5"/>
        <v>9.44</v>
      </c>
      <c r="R87" s="17" t="b">
        <f t="shared" si="6"/>
        <v>1</v>
      </c>
      <c r="S87" s="17">
        <f t="shared" si="12"/>
        <v>-0.59</v>
      </c>
      <c r="T87" s="22">
        <f t="shared" si="8"/>
        <v>16</v>
      </c>
      <c r="U87" s="23"/>
      <c r="V87" s="13"/>
      <c r="W87" s="13"/>
      <c r="X87" s="13"/>
      <c r="Y87" s="13"/>
      <c r="Z87" s="13"/>
      <c r="AA87" s="24"/>
    </row>
    <row r="88" ht="13.5" hidden="1" customHeight="1">
      <c r="A88" s="30" t="s">
        <v>110</v>
      </c>
      <c r="B88" s="31">
        <v>12.0</v>
      </c>
      <c r="C88" s="32">
        <v>60.17</v>
      </c>
      <c r="D88" s="32">
        <v>25.0</v>
      </c>
      <c r="E88" s="32">
        <v>1.145</v>
      </c>
      <c r="F88" s="33"/>
      <c r="G88" s="34">
        <v>45190.0</v>
      </c>
      <c r="H88" s="33"/>
      <c r="I88" s="34">
        <v>45197.0</v>
      </c>
      <c r="J88" s="35">
        <f t="shared" si="1"/>
        <v>45190</v>
      </c>
      <c r="K88" s="18">
        <f>IFERROR(__xludf.DUMMYFUNCTION("if(isblank(J88),,index(googlefinance(A88,K$2,J88-1),2,2))"),163.89)</f>
        <v>163.89</v>
      </c>
      <c r="L88" s="36">
        <f t="shared" si="2"/>
        <v>45197</v>
      </c>
      <c r="M88" s="19">
        <f>IFERROR(__xludf.DUMMYFUNCTION("if(isblank(L88),, index(googlefinance(A88,M$2,L88-1),2,2))"),163.04)</f>
        <v>163.04</v>
      </c>
      <c r="N88" s="20">
        <f>IFERROR(__xludf.DUMMYFUNCTION("if(isblank(A88),,googlefinance(A88))"),329.24)</f>
        <v>329.24</v>
      </c>
      <c r="O88" s="17" t="str">
        <f t="shared" si="11"/>
        <v>Completed</v>
      </c>
      <c r="P88" s="37" t="str">
        <f t="shared" si="4"/>
        <v>Profit</v>
      </c>
      <c r="Q88" s="38">
        <f t="shared" si="5"/>
        <v>5.1</v>
      </c>
      <c r="R88" s="17" t="b">
        <f t="shared" si="6"/>
        <v>1</v>
      </c>
      <c r="S88" s="17">
        <f t="shared" si="12"/>
        <v>-0.85</v>
      </c>
      <c r="T88" s="22">
        <f t="shared" si="8"/>
        <v>6</v>
      </c>
      <c r="U88" s="23"/>
      <c r="V88" s="13"/>
      <c r="W88" s="13"/>
      <c r="X88" s="13"/>
      <c r="Y88" s="13"/>
      <c r="Z88" s="13"/>
      <c r="AA88" s="24"/>
    </row>
    <row r="89" ht="13.5" hidden="1" customHeight="1">
      <c r="A89" s="30" t="s">
        <v>111</v>
      </c>
      <c r="B89" s="31">
        <v>15.0</v>
      </c>
      <c r="C89" s="32">
        <v>181.91</v>
      </c>
      <c r="D89" s="32">
        <v>26.667</v>
      </c>
      <c r="E89" s="32">
        <v>1.807</v>
      </c>
      <c r="F89" s="33"/>
      <c r="G89" s="34">
        <v>45190.0</v>
      </c>
      <c r="H89" s="33"/>
      <c r="I89" s="34">
        <v>45196.0</v>
      </c>
      <c r="J89" s="35">
        <f t="shared" si="1"/>
        <v>45190</v>
      </c>
      <c r="K89" s="18">
        <f>IFERROR(__xludf.DUMMYFUNCTION("if(isblank(J89),,index(googlefinance(A89,K$2,J89-1),2,2))"),41.29)</f>
        <v>41.29</v>
      </c>
      <c r="L89" s="36">
        <f t="shared" si="2"/>
        <v>45196</v>
      </c>
      <c r="M89" s="19">
        <f>IFERROR(__xludf.DUMMYFUNCTION("if(isblank(L89),, index(googlefinance(A89,M$2,L89-1),2,2))"),40.79)</f>
        <v>40.79</v>
      </c>
      <c r="N89" s="20">
        <f>IFERROR(__xludf.DUMMYFUNCTION("if(isblank(A89),,googlefinance(A89))"),35.31)</f>
        <v>35.31</v>
      </c>
      <c r="O89" s="17" t="str">
        <f t="shared" si="11"/>
        <v>Completed</v>
      </c>
      <c r="P89" s="37" t="str">
        <f t="shared" si="4"/>
        <v>Profit</v>
      </c>
      <c r="Q89" s="38">
        <f t="shared" si="5"/>
        <v>12</v>
      </c>
      <c r="R89" s="17" t="b">
        <f t="shared" si="6"/>
        <v>1</v>
      </c>
      <c r="S89" s="17">
        <f t="shared" si="12"/>
        <v>-0.5</v>
      </c>
      <c r="T89" s="22">
        <f t="shared" si="8"/>
        <v>24</v>
      </c>
      <c r="U89" s="23"/>
      <c r="V89" s="13"/>
      <c r="W89" s="13"/>
      <c r="X89" s="13"/>
      <c r="Y89" s="13"/>
      <c r="Z89" s="13"/>
      <c r="AA89" s="24"/>
    </row>
    <row r="90" ht="13.5" hidden="1" customHeight="1">
      <c r="A90" s="30" t="s">
        <v>112</v>
      </c>
      <c r="B90" s="31">
        <v>9.0</v>
      </c>
      <c r="C90" s="32">
        <v>33.68</v>
      </c>
      <c r="D90" s="32">
        <v>55.556</v>
      </c>
      <c r="E90" s="32">
        <v>1.336</v>
      </c>
      <c r="F90" s="33"/>
      <c r="G90" s="34">
        <v>45191.0</v>
      </c>
      <c r="H90" s="33"/>
      <c r="I90" s="34">
        <v>45208.0</v>
      </c>
      <c r="J90" s="35">
        <f t="shared" si="1"/>
        <v>45191</v>
      </c>
      <c r="K90" s="18">
        <f>IFERROR(__xludf.DUMMYFUNCTION("if(isblank(J90),,index(googlefinance(A90,K$2,J90-1),2,2))"),96.97)</f>
        <v>96.97</v>
      </c>
      <c r="L90" s="36">
        <f t="shared" si="2"/>
        <v>45208</v>
      </c>
      <c r="M90" s="19">
        <f>IFERROR(__xludf.DUMMYFUNCTION("if(isblank(L90),, index(googlefinance(A90,M$2,L90-1),2,2))"),93.41)</f>
        <v>93.41</v>
      </c>
      <c r="N90" s="20">
        <f>IFERROR(__xludf.DUMMYFUNCTION("if(isblank(A90),,googlefinance(A90))"),107.28)</f>
        <v>107.28</v>
      </c>
      <c r="O90" s="17" t="str">
        <f t="shared" si="11"/>
        <v>Completed</v>
      </c>
      <c r="P90" s="37" t="str">
        <f t="shared" si="4"/>
        <v>Profit</v>
      </c>
      <c r="Q90" s="38">
        <f t="shared" si="5"/>
        <v>35.6</v>
      </c>
      <c r="R90" s="17" t="b">
        <f t="shared" si="6"/>
        <v>1</v>
      </c>
      <c r="S90" s="17">
        <f t="shared" si="12"/>
        <v>-3.56</v>
      </c>
      <c r="T90" s="22">
        <f t="shared" si="8"/>
        <v>10</v>
      </c>
      <c r="U90" s="23"/>
      <c r="V90" s="13"/>
      <c r="W90" s="13"/>
      <c r="X90" s="13"/>
      <c r="Y90" s="13"/>
      <c r="Z90" s="13"/>
      <c r="AA90" s="24"/>
    </row>
    <row r="91" ht="13.5" hidden="1" customHeight="1">
      <c r="A91" s="30" t="s">
        <v>113</v>
      </c>
      <c r="B91" s="31">
        <v>12.0</v>
      </c>
      <c r="C91" s="32">
        <v>7.262</v>
      </c>
      <c r="D91" s="32">
        <v>50.0</v>
      </c>
      <c r="E91" s="32">
        <v>1.049</v>
      </c>
      <c r="F91" s="34">
        <v>45194.0</v>
      </c>
      <c r="G91" s="33"/>
      <c r="H91" s="34">
        <v>45195.0</v>
      </c>
      <c r="I91" s="33"/>
      <c r="J91" s="40">
        <f t="shared" si="1"/>
        <v>45194</v>
      </c>
      <c r="K91" s="18">
        <f>IFERROR(__xludf.DUMMYFUNCTION("if(isblank(J91),,index(googlefinance(A91,K$2,J91-1),2,2))"),176.08)</f>
        <v>176.08</v>
      </c>
      <c r="L91" s="41">
        <f t="shared" si="2"/>
        <v>45195</v>
      </c>
      <c r="M91" s="19">
        <f>IFERROR(__xludf.DUMMYFUNCTION("if(isblank(L91),, index(googlefinance(A91,M$2,L91-1),2,2))"),176.08)</f>
        <v>176.08</v>
      </c>
      <c r="N91" s="20">
        <f>IFERROR(__xludf.DUMMYFUNCTION("if(isblank(A91),,googlefinance(A91))"),182.31)</f>
        <v>182.31</v>
      </c>
      <c r="O91" s="17" t="str">
        <f t="shared" si="11"/>
        <v>Completed</v>
      </c>
      <c r="P91" s="42" t="str">
        <f t="shared" si="4"/>
        <v>Loss</v>
      </c>
      <c r="Q91" s="21">
        <f t="shared" si="5"/>
        <v>0</v>
      </c>
      <c r="R91" s="17" t="b">
        <f t="shared" si="6"/>
        <v>0</v>
      </c>
      <c r="S91" s="17">
        <f t="shared" si="12"/>
        <v>0</v>
      </c>
      <c r="T91" s="22">
        <f t="shared" si="8"/>
        <v>5</v>
      </c>
      <c r="U91" s="23"/>
      <c r="V91" s="13"/>
      <c r="W91" s="13"/>
      <c r="X91" s="13"/>
      <c r="Y91" s="13"/>
      <c r="Z91" s="13"/>
      <c r="AA91" s="24"/>
    </row>
    <row r="92" ht="13.5" hidden="1" customHeight="1">
      <c r="A92" s="30" t="s">
        <v>37</v>
      </c>
      <c r="B92" s="31">
        <v>13.0</v>
      </c>
      <c r="C92" s="32">
        <v>85.6</v>
      </c>
      <c r="D92" s="32">
        <v>23.077</v>
      </c>
      <c r="E92" s="32">
        <v>1.471</v>
      </c>
      <c r="F92" s="33"/>
      <c r="G92" s="34">
        <v>45196.0</v>
      </c>
      <c r="H92" s="33"/>
      <c r="I92" s="34">
        <v>45203.0</v>
      </c>
      <c r="J92" s="35">
        <f>IF(ISBLANK(G92),,IF(COUNTA(G92)=0,#REF!,G92))</f>
        <v>45196</v>
      </c>
      <c r="K92" s="18">
        <f>IFERROR(__xludf.DUMMYFUNCTION("if(isblank(J92),,index(googlefinance(A92,K$2,J92-1),2,2))"),64.43)</f>
        <v>64.43</v>
      </c>
      <c r="L92" s="36">
        <f t="shared" si="2"/>
        <v>45203</v>
      </c>
      <c r="M92" s="19">
        <f>IFERROR(__xludf.DUMMYFUNCTION("if(isblank(L92),, index(googlefinance(A92,M$2,L92-1),2,2))"),62.44)</f>
        <v>62.44</v>
      </c>
      <c r="N92" s="20">
        <f>IFERROR(__xludf.DUMMYFUNCTION("if(isblank(A92),,googlefinance(A92))"),82.61)</f>
        <v>82.61</v>
      </c>
      <c r="O92" s="17" t="str">
        <f t="shared" si="11"/>
        <v>Completed</v>
      </c>
      <c r="P92" s="37" t="str">
        <f t="shared" si="4"/>
        <v>Profit</v>
      </c>
      <c r="Q92" s="38">
        <f t="shared" si="5"/>
        <v>29.85</v>
      </c>
      <c r="R92" s="17" t="b">
        <f t="shared" si="6"/>
        <v>1</v>
      </c>
      <c r="S92" s="17">
        <f t="shared" si="12"/>
        <v>-1.99</v>
      </c>
      <c r="T92" s="22">
        <f t="shared" si="8"/>
        <v>15</v>
      </c>
      <c r="U92" s="23"/>
      <c r="V92" s="13"/>
      <c r="W92" s="13"/>
      <c r="X92" s="13"/>
      <c r="Y92" s="13"/>
      <c r="Z92" s="13"/>
      <c r="AA92" s="24"/>
    </row>
    <row r="93" ht="13.5" hidden="1" customHeight="1">
      <c r="A93" s="30" t="s">
        <v>114</v>
      </c>
      <c r="B93" s="31">
        <v>11.0</v>
      </c>
      <c r="C93" s="32">
        <v>162.25</v>
      </c>
      <c r="D93" s="32">
        <v>27.273</v>
      </c>
      <c r="E93" s="32">
        <v>1.655</v>
      </c>
      <c r="F93" s="34">
        <v>45197.0</v>
      </c>
      <c r="G93" s="33"/>
      <c r="H93" s="34">
        <v>45201.0</v>
      </c>
      <c r="I93" s="33"/>
      <c r="J93" s="40">
        <f t="shared" ref="J93:J123" si="13">IF(ISBLANK(F93:G93),,IF(COUNTA(F93)=0,G93,F93))</f>
        <v>45197</v>
      </c>
      <c r="K93" s="18">
        <f>IFERROR(__xludf.DUMMYFUNCTION("if(isblank(J93),,index(googlefinance(A93,K$2,J93-1),2,2))"),193.88)</f>
        <v>193.88</v>
      </c>
      <c r="L93" s="41">
        <f t="shared" si="2"/>
        <v>45201</v>
      </c>
      <c r="M93" s="19">
        <f>IFERROR(__xludf.DUMMYFUNCTION("if(isblank(L93),, index(googlefinance(A93,M$2,L93-1),2,2))"),193.75)</f>
        <v>193.75</v>
      </c>
      <c r="N93" s="20">
        <f>IFERROR(__xludf.DUMMYFUNCTION("if(isblank(A93),,googlefinance(A93))"),241.63)</f>
        <v>241.63</v>
      </c>
      <c r="O93" s="17" t="str">
        <f t="shared" si="11"/>
        <v>Completed</v>
      </c>
      <c r="P93" s="42" t="str">
        <f t="shared" si="4"/>
        <v>Loss</v>
      </c>
      <c r="Q93" s="43">
        <f t="shared" si="5"/>
        <v>-0.65</v>
      </c>
      <c r="R93" s="17" t="b">
        <f t="shared" si="6"/>
        <v>0</v>
      </c>
      <c r="S93" s="17">
        <f t="shared" si="12"/>
        <v>-0.13</v>
      </c>
      <c r="T93" s="22">
        <f t="shared" si="8"/>
        <v>5</v>
      </c>
      <c r="U93" s="23"/>
      <c r="V93" s="13"/>
      <c r="W93" s="13"/>
      <c r="X93" s="13"/>
      <c r="Y93" s="13"/>
      <c r="Z93" s="13"/>
      <c r="AA93" s="24"/>
    </row>
    <row r="94" ht="13.5" hidden="1" customHeight="1">
      <c r="A94" s="30" t="s">
        <v>115</v>
      </c>
      <c r="B94" s="31">
        <v>12.0</v>
      </c>
      <c r="C94" s="32">
        <v>387.62</v>
      </c>
      <c r="D94" s="32">
        <v>41.667</v>
      </c>
      <c r="E94" s="32">
        <v>3.387</v>
      </c>
      <c r="F94" s="34">
        <v>45197.0</v>
      </c>
      <c r="G94" s="33"/>
      <c r="H94" s="34">
        <v>45202.0</v>
      </c>
      <c r="I94" s="33"/>
      <c r="J94" s="40">
        <f t="shared" si="13"/>
        <v>45197</v>
      </c>
      <c r="K94" s="18">
        <f>IFERROR(__xludf.DUMMYFUNCTION("if(isblank(J94),,index(googlefinance(A94,K$2,J94-1),2,2))"),200.47)</f>
        <v>200.47</v>
      </c>
      <c r="L94" s="41">
        <f t="shared" si="2"/>
        <v>45202</v>
      </c>
      <c r="M94" s="19">
        <f>IFERROR(__xludf.DUMMYFUNCTION("if(isblank(L94),, index(googlefinance(A94,M$2,L94-1),2,2))"),202.34)</f>
        <v>202.34</v>
      </c>
      <c r="N94" s="20">
        <f>IFERROR(__xludf.DUMMYFUNCTION("if(isblank(A94),,googlefinance(A94))"),194.24)</f>
        <v>194.24</v>
      </c>
      <c r="O94" s="17" t="str">
        <f t="shared" si="11"/>
        <v>Completed</v>
      </c>
      <c r="P94" s="37" t="str">
        <f t="shared" si="4"/>
        <v>Profit</v>
      </c>
      <c r="Q94" s="38">
        <f t="shared" si="5"/>
        <v>7.48</v>
      </c>
      <c r="R94" s="17" t="b">
        <f t="shared" si="6"/>
        <v>1</v>
      </c>
      <c r="S94" s="17">
        <f t="shared" si="12"/>
        <v>1.87</v>
      </c>
      <c r="T94" s="22">
        <f t="shared" si="8"/>
        <v>4</v>
      </c>
      <c r="U94" s="23"/>
      <c r="V94" s="13"/>
      <c r="W94" s="13"/>
      <c r="X94" s="13"/>
      <c r="Y94" s="13"/>
      <c r="Z94" s="13"/>
      <c r="AA94" s="24"/>
    </row>
    <row r="95" ht="13.5" hidden="1" customHeight="1">
      <c r="A95" s="13" t="s">
        <v>116</v>
      </c>
      <c r="B95" s="39">
        <v>10.0</v>
      </c>
      <c r="C95" s="22">
        <v>311.94</v>
      </c>
      <c r="D95" s="22">
        <v>60.0</v>
      </c>
      <c r="E95" s="22">
        <v>5.412</v>
      </c>
      <c r="F95" s="33"/>
      <c r="G95" s="34">
        <v>45198.0</v>
      </c>
      <c r="H95" s="33"/>
      <c r="I95" s="34">
        <v>45210.0</v>
      </c>
      <c r="J95" s="35">
        <f t="shared" si="13"/>
        <v>45198</v>
      </c>
      <c r="K95" s="18">
        <f>IFERROR(__xludf.DUMMYFUNCTION("if(isblank(J95),,index(googlefinance(A95,K$2,J95-1),2,2))"),152.25)</f>
        <v>152.25</v>
      </c>
      <c r="L95" s="36">
        <f t="shared" si="2"/>
        <v>45210</v>
      </c>
      <c r="M95" s="19">
        <f>IFERROR(__xludf.DUMMYFUNCTION("if(isblank(L95),, index(googlefinance(A95,M$2,L95-1),2,2))"),148.89)</f>
        <v>148.89</v>
      </c>
      <c r="N95" s="20">
        <f>IFERROR(__xludf.DUMMYFUNCTION("if(isblank(A95),,googlefinance(A95))"),177.49)</f>
        <v>177.49</v>
      </c>
      <c r="O95" s="17" t="str">
        <f t="shared" si="11"/>
        <v>Completed</v>
      </c>
      <c r="P95" s="37" t="str">
        <f t="shared" si="4"/>
        <v>Profit</v>
      </c>
      <c r="Q95" s="38">
        <f t="shared" si="5"/>
        <v>20.16</v>
      </c>
      <c r="R95" s="17" t="b">
        <f t="shared" si="6"/>
        <v>1</v>
      </c>
      <c r="S95" s="17">
        <f t="shared" si="12"/>
        <v>-3.36</v>
      </c>
      <c r="T95" s="22">
        <f t="shared" si="8"/>
        <v>6</v>
      </c>
      <c r="U95" s="23"/>
      <c r="V95" s="13"/>
      <c r="W95" s="13"/>
      <c r="X95" s="13"/>
      <c r="Y95" s="13"/>
      <c r="Z95" s="13"/>
      <c r="AA95" s="24"/>
    </row>
    <row r="96" ht="13.5" hidden="1" customHeight="1">
      <c r="A96" s="13" t="s">
        <v>98</v>
      </c>
      <c r="B96" s="39">
        <v>11.0</v>
      </c>
      <c r="C96" s="22">
        <v>213.94</v>
      </c>
      <c r="D96" s="22">
        <v>36.364</v>
      </c>
      <c r="E96" s="22">
        <v>2.429</v>
      </c>
      <c r="F96" s="33"/>
      <c r="G96" s="34">
        <v>45198.0</v>
      </c>
      <c r="H96" s="33"/>
      <c r="I96" s="34">
        <v>45204.0</v>
      </c>
      <c r="J96" s="35">
        <f t="shared" si="13"/>
        <v>45198</v>
      </c>
      <c r="K96" s="18">
        <f>IFERROR(__xludf.DUMMYFUNCTION("if(isblank(J96),,index(googlefinance(A96,K$2,J96-1),2,2))"),333.32)</f>
        <v>333.32</v>
      </c>
      <c r="L96" s="36">
        <f t="shared" si="2"/>
        <v>45204</v>
      </c>
      <c r="M96" s="19">
        <f>IFERROR(__xludf.DUMMYFUNCTION("if(isblank(L96),, index(googlefinance(A96,M$2,L96-1),2,2))"),328.0)</f>
        <v>328</v>
      </c>
      <c r="N96" s="20">
        <f>IFERROR(__xludf.DUMMYFUNCTION("if(isblank(A96),,googlefinance(A96))"),401.72)</f>
        <v>401.72</v>
      </c>
      <c r="O96" s="17" t="str">
        <f t="shared" si="11"/>
        <v>Completed</v>
      </c>
      <c r="P96" s="37" t="str">
        <f t="shared" si="4"/>
        <v>Profit</v>
      </c>
      <c r="Q96" s="38">
        <f t="shared" si="5"/>
        <v>15.96</v>
      </c>
      <c r="R96" s="17" t="b">
        <f t="shared" si="6"/>
        <v>1</v>
      </c>
      <c r="S96" s="17">
        <f t="shared" si="12"/>
        <v>-5.32</v>
      </c>
      <c r="T96" s="22">
        <f t="shared" si="8"/>
        <v>3</v>
      </c>
      <c r="U96" s="23"/>
      <c r="V96" s="13"/>
      <c r="W96" s="13"/>
      <c r="X96" s="13"/>
      <c r="Y96" s="13"/>
      <c r="Z96" s="13"/>
      <c r="AA96" s="24"/>
    </row>
    <row r="97" ht="13.5" hidden="1" customHeight="1">
      <c r="A97" s="13" t="s">
        <v>117</v>
      </c>
      <c r="B97" s="39">
        <v>14.0</v>
      </c>
      <c r="C97" s="22">
        <v>28.44</v>
      </c>
      <c r="D97" s="22">
        <v>35.714</v>
      </c>
      <c r="E97" s="22">
        <v>1.149</v>
      </c>
      <c r="F97" s="34">
        <v>45198.0</v>
      </c>
      <c r="G97" s="33"/>
      <c r="H97" s="34">
        <v>45219.0</v>
      </c>
      <c r="I97" s="33"/>
      <c r="J97" s="40">
        <f t="shared" si="13"/>
        <v>45198</v>
      </c>
      <c r="K97" s="18">
        <f>IFERROR(__xludf.DUMMYFUNCTION("if(isblank(J97),,index(googlefinance(A97,K$2,J97-1),2,2))"),117.12)</f>
        <v>117.12</v>
      </c>
      <c r="L97" s="41">
        <f t="shared" si="2"/>
        <v>45219</v>
      </c>
      <c r="M97" s="19">
        <f>IFERROR(__xludf.DUMMYFUNCTION("if(isblank(L97),, index(googlefinance(A97,M$2,L97-1),2,2))"),118.19)</f>
        <v>118.19</v>
      </c>
      <c r="N97" s="20">
        <f>IFERROR(__xludf.DUMMYFUNCTION("if(isblank(A97),,googlefinance(A97))"),123.38)</f>
        <v>123.38</v>
      </c>
      <c r="O97" s="17" t="str">
        <f t="shared" si="11"/>
        <v>Completed</v>
      </c>
      <c r="P97" s="37" t="str">
        <f t="shared" si="4"/>
        <v>Profit</v>
      </c>
      <c r="Q97" s="38">
        <f t="shared" si="5"/>
        <v>8.56</v>
      </c>
      <c r="R97" s="17" t="b">
        <f t="shared" si="6"/>
        <v>1</v>
      </c>
      <c r="S97" s="17">
        <f t="shared" si="12"/>
        <v>1.07</v>
      </c>
      <c r="T97" s="22">
        <f t="shared" si="8"/>
        <v>8</v>
      </c>
      <c r="U97" s="23"/>
      <c r="V97" s="13"/>
      <c r="W97" s="13"/>
      <c r="X97" s="13"/>
      <c r="Y97" s="13"/>
      <c r="Z97" s="13"/>
      <c r="AA97" s="24"/>
    </row>
    <row r="98" ht="13.5" hidden="1" customHeight="1">
      <c r="A98" s="13" t="s">
        <v>118</v>
      </c>
      <c r="B98" s="39">
        <v>12.0</v>
      </c>
      <c r="C98" s="22">
        <v>250.63</v>
      </c>
      <c r="D98" s="22">
        <v>25.0</v>
      </c>
      <c r="E98" s="22">
        <v>2.261</v>
      </c>
      <c r="F98" s="34">
        <v>45198.0</v>
      </c>
      <c r="G98" s="33"/>
      <c r="H98" s="34">
        <v>45203.0</v>
      </c>
      <c r="I98" s="33"/>
      <c r="J98" s="40">
        <f t="shared" si="13"/>
        <v>45198</v>
      </c>
      <c r="K98" s="18">
        <f>IFERROR(__xludf.DUMMYFUNCTION("if(isblank(J98),,index(googlefinance(A98,K$2,J98-1),2,2))"),52.41)</f>
        <v>52.41</v>
      </c>
      <c r="L98" s="41">
        <f t="shared" si="2"/>
        <v>45203</v>
      </c>
      <c r="M98" s="19">
        <f>IFERROR(__xludf.DUMMYFUNCTION("if(isblank(L98),, index(googlefinance(A98,M$2,L98-1),2,2))"),51.75)</f>
        <v>51.75</v>
      </c>
      <c r="N98" s="20">
        <f>IFERROR(__xludf.DUMMYFUNCTION("if(isblank(A98),,googlefinance(A98))"),60.29)</f>
        <v>60.29</v>
      </c>
      <c r="O98" s="17" t="str">
        <f t="shared" si="11"/>
        <v>Completed</v>
      </c>
      <c r="P98" s="42" t="str">
        <f t="shared" si="4"/>
        <v>Loss</v>
      </c>
      <c r="Q98" s="43">
        <f t="shared" si="5"/>
        <v>-12.54</v>
      </c>
      <c r="R98" s="17" t="b">
        <f t="shared" si="6"/>
        <v>0</v>
      </c>
      <c r="S98" s="17">
        <f t="shared" si="12"/>
        <v>-0.66</v>
      </c>
      <c r="T98" s="22">
        <f t="shared" si="8"/>
        <v>19</v>
      </c>
      <c r="U98" s="23"/>
      <c r="V98" s="13"/>
      <c r="W98" s="13"/>
      <c r="X98" s="13"/>
      <c r="Y98" s="13"/>
      <c r="Z98" s="13"/>
      <c r="AA98" s="24"/>
    </row>
    <row r="99" ht="13.5" hidden="1" customHeight="1">
      <c r="A99" s="13" t="s">
        <v>119</v>
      </c>
      <c r="B99" s="39">
        <v>9.0</v>
      </c>
      <c r="C99" s="22">
        <v>408.84</v>
      </c>
      <c r="D99" s="22">
        <v>44.444</v>
      </c>
      <c r="E99" s="22">
        <v>4.472</v>
      </c>
      <c r="F99" s="33"/>
      <c r="G99" s="34">
        <v>45202.0</v>
      </c>
      <c r="H99" s="33"/>
      <c r="I99" s="34">
        <v>45208.0</v>
      </c>
      <c r="J99" s="35">
        <f t="shared" si="13"/>
        <v>45202</v>
      </c>
      <c r="K99" s="18">
        <f>IFERROR(__xludf.DUMMYFUNCTION("if(isblank(J99),,index(googlefinance(A99,K$2,J99-1),2,2))"),166.54)</f>
        <v>166.54</v>
      </c>
      <c r="L99" s="36">
        <f t="shared" si="2"/>
        <v>45208</v>
      </c>
      <c r="M99" s="19">
        <f>IFERROR(__xludf.DUMMYFUNCTION("if(isblank(L99),, index(googlefinance(A99,M$2,L99-1),2,2))"),166.72)</f>
        <v>166.72</v>
      </c>
      <c r="N99" s="20">
        <f>IFERROR(__xludf.DUMMYFUNCTION("if(isblank(A99),,googlefinance(A99))"),154.63)</f>
        <v>154.63</v>
      </c>
      <c r="O99" s="17" t="str">
        <f t="shared" si="11"/>
        <v>Completed</v>
      </c>
      <c r="P99" s="42" t="str">
        <f t="shared" si="4"/>
        <v>Loss</v>
      </c>
      <c r="Q99" s="43">
        <f t="shared" si="5"/>
        <v>-1.08</v>
      </c>
      <c r="R99" s="17" t="b">
        <f t="shared" si="6"/>
        <v>0</v>
      </c>
      <c r="S99" s="17">
        <f t="shared" si="12"/>
        <v>0.18</v>
      </c>
      <c r="T99" s="22">
        <f t="shared" si="8"/>
        <v>6</v>
      </c>
      <c r="U99" s="23"/>
      <c r="V99" s="13"/>
      <c r="W99" s="13"/>
      <c r="X99" s="13"/>
      <c r="Y99" s="13"/>
      <c r="Z99" s="13"/>
      <c r="AA99" s="24"/>
    </row>
    <row r="100" ht="13.5" hidden="1" customHeight="1">
      <c r="A100" s="13" t="s">
        <v>46</v>
      </c>
      <c r="B100" s="39">
        <v>10.0</v>
      </c>
      <c r="C100" s="22">
        <v>114.54</v>
      </c>
      <c r="D100" s="22">
        <v>40.0</v>
      </c>
      <c r="E100" s="22">
        <v>2.623</v>
      </c>
      <c r="F100" s="34">
        <v>45203.0</v>
      </c>
      <c r="G100" s="33"/>
      <c r="H100" s="34">
        <v>45219.0</v>
      </c>
      <c r="I100" s="33"/>
      <c r="J100" s="40">
        <f t="shared" si="13"/>
        <v>45203</v>
      </c>
      <c r="K100" s="18">
        <f>IFERROR(__xludf.DUMMYFUNCTION("if(isblank(J100),,index(googlefinance(A100,K$2,J100-1),2,2))"),55.53)</f>
        <v>55.53</v>
      </c>
      <c r="L100" s="41">
        <f t="shared" si="2"/>
        <v>45219</v>
      </c>
      <c r="M100" s="19">
        <f>IFERROR(__xludf.DUMMYFUNCTION("if(isblank(L100),, index(googlefinance(A100,M$2,L100-1),2,2))"),59.83)</f>
        <v>59.83</v>
      </c>
      <c r="N100" s="20">
        <f>IFERROR(__xludf.DUMMYFUNCTION("if(isblank(A100),,googlefinance(A100))"),59.79)</f>
        <v>59.79</v>
      </c>
      <c r="O100" s="17" t="str">
        <f t="shared" si="11"/>
        <v>Completed</v>
      </c>
      <c r="P100" s="37" t="str">
        <f t="shared" si="4"/>
        <v>Profit</v>
      </c>
      <c r="Q100" s="38">
        <f t="shared" si="5"/>
        <v>77.4</v>
      </c>
      <c r="R100" s="17" t="b">
        <f t="shared" si="6"/>
        <v>1</v>
      </c>
      <c r="S100" s="17">
        <f t="shared" si="12"/>
        <v>4.3</v>
      </c>
      <c r="T100" s="22">
        <f t="shared" si="8"/>
        <v>18</v>
      </c>
      <c r="U100" s="23"/>
      <c r="V100" s="13"/>
      <c r="W100" s="13"/>
      <c r="X100" s="13"/>
      <c r="Y100" s="13"/>
      <c r="Z100" s="13"/>
      <c r="AA100" s="24"/>
    </row>
    <row r="101" ht="13.5" hidden="1" customHeight="1">
      <c r="A101" s="13" t="s">
        <v>120</v>
      </c>
      <c r="B101" s="39">
        <v>13.0</v>
      </c>
      <c r="C101" s="22">
        <v>139.17</v>
      </c>
      <c r="D101" s="22">
        <v>38.462</v>
      </c>
      <c r="E101" s="22">
        <v>1.479</v>
      </c>
      <c r="F101" s="34">
        <v>45208.0</v>
      </c>
      <c r="G101" s="33"/>
      <c r="H101" s="34">
        <v>45212.0</v>
      </c>
      <c r="I101" s="33"/>
      <c r="J101" s="40">
        <f t="shared" si="13"/>
        <v>45208</v>
      </c>
      <c r="K101" s="18">
        <f>IFERROR(__xludf.DUMMYFUNCTION("if(isblank(J101),,index(googlefinance(A101,K$2,J101-1),2,2))"),207.22)</f>
        <v>207.22</v>
      </c>
      <c r="L101" s="41">
        <f t="shared" si="2"/>
        <v>45212</v>
      </c>
      <c r="M101" s="19">
        <f>IFERROR(__xludf.DUMMYFUNCTION("if(isblank(L101),, index(googlefinance(A101,M$2,L101-1),2,2))"),205.68)</f>
        <v>205.68</v>
      </c>
      <c r="N101" s="20">
        <f>IFERROR(__xludf.DUMMYFUNCTION("if(isblank(A101),,googlefinance(A101))"),289.72)</f>
        <v>289.72</v>
      </c>
      <c r="O101" s="17" t="str">
        <f t="shared" si="11"/>
        <v>Completed</v>
      </c>
      <c r="P101" s="42" t="str">
        <f t="shared" si="4"/>
        <v>Loss</v>
      </c>
      <c r="Q101" s="43">
        <f t="shared" si="5"/>
        <v>-6.16</v>
      </c>
      <c r="R101" s="17" t="b">
        <f t="shared" si="6"/>
        <v>0</v>
      </c>
      <c r="S101" s="17">
        <f t="shared" si="12"/>
        <v>-1.54</v>
      </c>
      <c r="T101" s="22">
        <f t="shared" si="8"/>
        <v>4</v>
      </c>
      <c r="U101" s="23"/>
      <c r="V101" s="13"/>
      <c r="W101" s="13"/>
      <c r="X101" s="13"/>
      <c r="Y101" s="13"/>
      <c r="Z101" s="13"/>
      <c r="AA101" s="24"/>
    </row>
    <row r="102" ht="13.5" hidden="1" customHeight="1">
      <c r="A102" s="13" t="s">
        <v>44</v>
      </c>
      <c r="B102" s="39">
        <v>10.0</v>
      </c>
      <c r="C102" s="22">
        <v>196.0</v>
      </c>
      <c r="D102" s="22">
        <v>50.0</v>
      </c>
      <c r="E102" s="22">
        <v>6.532</v>
      </c>
      <c r="F102" s="34">
        <v>45208.0</v>
      </c>
      <c r="G102" s="33"/>
      <c r="H102" s="34">
        <v>45219.0</v>
      </c>
      <c r="I102" s="33"/>
      <c r="J102" s="40">
        <f t="shared" si="13"/>
        <v>45208</v>
      </c>
      <c r="K102" s="18">
        <f>IFERROR(__xludf.DUMMYFUNCTION("if(isblank(J102),,index(googlefinance(A102,K$2,J102-1),2,2))"),180.21)</f>
        <v>180.21</v>
      </c>
      <c r="L102" s="41">
        <f t="shared" si="2"/>
        <v>45219</v>
      </c>
      <c r="M102" s="19">
        <f>IFERROR(__xludf.DUMMYFUNCTION("if(isblank(L102),, index(googlefinance(A102,M$2,L102-1),2,2))"),177.9)</f>
        <v>177.9</v>
      </c>
      <c r="N102" s="20">
        <f>IFERROR(__xludf.DUMMYFUNCTION("if(isblank(A102),,googlefinance(A102))"),211.98)</f>
        <v>211.98</v>
      </c>
      <c r="O102" s="17" t="str">
        <f t="shared" si="11"/>
        <v>Completed</v>
      </c>
      <c r="P102" s="42" t="str">
        <f t="shared" si="4"/>
        <v>Loss</v>
      </c>
      <c r="Q102" s="43">
        <f t="shared" si="5"/>
        <v>-11.55</v>
      </c>
      <c r="R102" s="17" t="b">
        <f t="shared" si="6"/>
        <v>0</v>
      </c>
      <c r="S102" s="17">
        <f t="shared" si="12"/>
        <v>-2.31</v>
      </c>
      <c r="T102" s="22">
        <f t="shared" si="8"/>
        <v>5</v>
      </c>
      <c r="U102" s="23"/>
      <c r="V102" s="13"/>
      <c r="W102" s="13"/>
      <c r="X102" s="13"/>
      <c r="Y102" s="13"/>
      <c r="Z102" s="13"/>
      <c r="AA102" s="24"/>
    </row>
    <row r="103" ht="13.5" hidden="1" customHeight="1">
      <c r="A103" s="13" t="s">
        <v>91</v>
      </c>
      <c r="B103" s="39">
        <v>12.0</v>
      </c>
      <c r="C103" s="22">
        <v>101.13</v>
      </c>
      <c r="D103" s="22">
        <v>41.667</v>
      </c>
      <c r="E103" s="22">
        <v>1.923</v>
      </c>
      <c r="F103" s="34">
        <v>45208.0</v>
      </c>
      <c r="G103" s="33"/>
      <c r="H103" s="34">
        <v>45218.0</v>
      </c>
      <c r="I103" s="33"/>
      <c r="J103" s="40">
        <f t="shared" si="13"/>
        <v>45208</v>
      </c>
      <c r="K103" s="18">
        <f>IFERROR(__xludf.DUMMYFUNCTION("if(isblank(J103),,index(googlefinance(A103,K$2,J103-1),2,2))"),42.7)</f>
        <v>42.7</v>
      </c>
      <c r="L103" s="41">
        <f t="shared" si="2"/>
        <v>45218</v>
      </c>
      <c r="M103" s="19">
        <f>IFERROR(__xludf.DUMMYFUNCTION("if(isblank(L103),, index(googlefinance(A103,M$2,L103-1),2,2))"),43.12)</f>
        <v>43.12</v>
      </c>
      <c r="N103" s="20">
        <f>IFERROR(__xludf.DUMMYFUNCTION("if(isblank(A103),,googlefinance(A103))"),40.18)</f>
        <v>40.18</v>
      </c>
      <c r="O103" s="17" t="str">
        <f t="shared" si="11"/>
        <v>Completed</v>
      </c>
      <c r="P103" s="37" t="str">
        <f t="shared" si="4"/>
        <v>Profit</v>
      </c>
      <c r="Q103" s="38">
        <f t="shared" si="5"/>
        <v>9.66</v>
      </c>
      <c r="R103" s="17" t="b">
        <f t="shared" si="6"/>
        <v>1</v>
      </c>
      <c r="S103" s="17">
        <f t="shared" si="12"/>
        <v>0.42</v>
      </c>
      <c r="T103" s="22">
        <f t="shared" si="8"/>
        <v>23</v>
      </c>
      <c r="U103" s="23"/>
      <c r="V103" s="13"/>
      <c r="W103" s="13"/>
      <c r="X103" s="13"/>
      <c r="Y103" s="13"/>
      <c r="Z103" s="13"/>
      <c r="AA103" s="24"/>
    </row>
    <row r="104" ht="13.5" hidden="1" customHeight="1">
      <c r="A104" s="13" t="s">
        <v>121</v>
      </c>
      <c r="B104" s="39">
        <v>9.0</v>
      </c>
      <c r="C104" s="22">
        <v>169.535</v>
      </c>
      <c r="D104" s="22">
        <v>44.444</v>
      </c>
      <c r="E104" s="22">
        <v>3.177</v>
      </c>
      <c r="F104" s="34">
        <v>45208.0</v>
      </c>
      <c r="G104" s="33"/>
      <c r="H104" s="34">
        <v>45217.0</v>
      </c>
      <c r="I104" s="33"/>
      <c r="J104" s="40">
        <f t="shared" si="13"/>
        <v>45208</v>
      </c>
      <c r="K104" s="18">
        <f>IFERROR(__xludf.DUMMYFUNCTION("if(isblank(J104),,index(googlefinance(A104,K$2,J104-1),2,2))"),104.5)</f>
        <v>104.5</v>
      </c>
      <c r="L104" s="41">
        <f t="shared" si="2"/>
        <v>45217</v>
      </c>
      <c r="M104" s="19">
        <f>IFERROR(__xludf.DUMMYFUNCTION("if(isblank(L104),, index(googlefinance(A104,M$2,L104-1),2,2))"),104.17)</f>
        <v>104.17</v>
      </c>
      <c r="N104" s="20">
        <f>IFERROR(__xludf.DUMMYFUNCTION("if(isblank(A104),,googlefinance(A104))"),127.79)</f>
        <v>127.79</v>
      </c>
      <c r="O104" s="17" t="str">
        <f t="shared" si="11"/>
        <v>Completed</v>
      </c>
      <c r="P104" s="42" t="str">
        <f t="shared" si="4"/>
        <v>Loss</v>
      </c>
      <c r="Q104" s="43">
        <f t="shared" si="5"/>
        <v>-2.97</v>
      </c>
      <c r="R104" s="17" t="b">
        <f t="shared" si="6"/>
        <v>0</v>
      </c>
      <c r="S104" s="17">
        <f t="shared" si="12"/>
        <v>-0.33</v>
      </c>
      <c r="T104" s="22">
        <f t="shared" si="8"/>
        <v>9</v>
      </c>
      <c r="U104" s="23"/>
      <c r="V104" s="13"/>
      <c r="W104" s="13"/>
      <c r="X104" s="13"/>
      <c r="Y104" s="13"/>
      <c r="Z104" s="13"/>
      <c r="AA104" s="24"/>
    </row>
    <row r="105" ht="13.5" hidden="1" customHeight="1">
      <c r="A105" s="13" t="s">
        <v>35</v>
      </c>
      <c r="B105" s="39">
        <v>13.0</v>
      </c>
      <c r="C105" s="22">
        <v>132.82</v>
      </c>
      <c r="D105" s="22">
        <v>53.846</v>
      </c>
      <c r="E105" s="22">
        <v>1.966</v>
      </c>
      <c r="F105" s="34">
        <v>45209.0</v>
      </c>
      <c r="G105" s="33"/>
      <c r="H105" s="34">
        <v>45257.0</v>
      </c>
      <c r="I105" s="33"/>
      <c r="J105" s="40">
        <f t="shared" si="13"/>
        <v>45209</v>
      </c>
      <c r="K105" s="18">
        <f>IFERROR(__xludf.DUMMYFUNCTION("if(isblank(J105),,index(googlefinance(A105,K$2,J105-1),2,2))"),27.59)</f>
        <v>27.59</v>
      </c>
      <c r="L105" s="41">
        <f t="shared" si="2"/>
        <v>45257</v>
      </c>
      <c r="M105" s="19">
        <f>IFERROR(__xludf.DUMMYFUNCTION("if(isblank(L105),, index(googlefinance(A105,M$2,L105-1),2,2))"),28.19)</f>
        <v>28.19</v>
      </c>
      <c r="N105" s="20">
        <f>IFERROR(__xludf.DUMMYFUNCTION("if(isblank(A105),,googlefinance(A105))"),27.21)</f>
        <v>27.21</v>
      </c>
      <c r="O105" s="17" t="str">
        <f t="shared" si="11"/>
        <v>Completed</v>
      </c>
      <c r="P105" s="37" t="str">
        <f t="shared" si="4"/>
        <v>Profit</v>
      </c>
      <c r="Q105" s="38">
        <f t="shared" si="5"/>
        <v>21.6</v>
      </c>
      <c r="R105" s="17" t="b">
        <f t="shared" si="6"/>
        <v>1</v>
      </c>
      <c r="S105" s="17">
        <f t="shared" si="12"/>
        <v>0.6</v>
      </c>
      <c r="T105" s="22">
        <f t="shared" si="8"/>
        <v>36</v>
      </c>
      <c r="U105" s="23"/>
      <c r="V105" s="13"/>
      <c r="W105" s="13"/>
      <c r="X105" s="13"/>
      <c r="Y105" s="13"/>
      <c r="Z105" s="13"/>
      <c r="AA105" s="24"/>
    </row>
    <row r="106" ht="13.5" hidden="1" customHeight="1">
      <c r="A106" s="13" t="s">
        <v>122</v>
      </c>
      <c r="B106" s="39">
        <v>9.0</v>
      </c>
      <c r="C106" s="22">
        <v>61.58</v>
      </c>
      <c r="D106" s="22">
        <v>44.444</v>
      </c>
      <c r="E106" s="22">
        <v>1.377</v>
      </c>
      <c r="F106" s="34">
        <v>45209.0</v>
      </c>
      <c r="G106" s="33"/>
      <c r="H106" s="34">
        <v>45217.0</v>
      </c>
      <c r="I106" s="33"/>
      <c r="J106" s="40">
        <f t="shared" si="13"/>
        <v>45209</v>
      </c>
      <c r="K106" s="18">
        <f>IFERROR(__xludf.DUMMYFUNCTION("if(isblank(J106),,index(googlefinance(A106,K$2,J106-1),2,2))"),93.18)</f>
        <v>93.18</v>
      </c>
      <c r="L106" s="41">
        <f t="shared" si="2"/>
        <v>45217</v>
      </c>
      <c r="M106" s="19">
        <f>IFERROR(__xludf.DUMMYFUNCTION("if(isblank(L106),, index(googlefinance(A106,M$2,L106-1),2,2))"),93.4)</f>
        <v>93.4</v>
      </c>
      <c r="N106" s="20">
        <f>IFERROR(__xludf.DUMMYFUNCTION("if(isblank(A106),,googlefinance(A106))"),108.22)</f>
        <v>108.22</v>
      </c>
      <c r="O106" s="17" t="str">
        <f t="shared" si="11"/>
        <v>Completed</v>
      </c>
      <c r="P106" s="37" t="str">
        <f t="shared" si="4"/>
        <v>Profit</v>
      </c>
      <c r="Q106" s="38">
        <f t="shared" si="5"/>
        <v>2.2</v>
      </c>
      <c r="R106" s="17" t="b">
        <f t="shared" si="6"/>
        <v>1</v>
      </c>
      <c r="S106" s="17">
        <f t="shared" si="12"/>
        <v>0.22</v>
      </c>
      <c r="T106" s="22">
        <f t="shared" si="8"/>
        <v>10</v>
      </c>
      <c r="U106" s="23"/>
      <c r="V106" s="13"/>
      <c r="W106" s="13"/>
      <c r="X106" s="13"/>
      <c r="Y106" s="13"/>
      <c r="Z106" s="13"/>
      <c r="AA106" s="24"/>
    </row>
    <row r="107" ht="13.5" hidden="1" customHeight="1">
      <c r="A107" s="13" t="s">
        <v>123</v>
      </c>
      <c r="B107" s="39">
        <v>9.0</v>
      </c>
      <c r="C107" s="22">
        <v>187.86</v>
      </c>
      <c r="D107" s="22">
        <v>55.556</v>
      </c>
      <c r="E107" s="22">
        <v>3.621</v>
      </c>
      <c r="F107" s="34">
        <v>45209.0</v>
      </c>
      <c r="G107" s="33"/>
      <c r="H107" s="34">
        <v>45218.0</v>
      </c>
      <c r="I107" s="33"/>
      <c r="J107" s="40">
        <f t="shared" si="13"/>
        <v>45209</v>
      </c>
      <c r="K107" s="18">
        <f>IFERROR(__xludf.DUMMYFUNCTION("if(isblank(J107),,index(googlefinance(A107,K$2,J107-1),2,2))"),44.09)</f>
        <v>44.09</v>
      </c>
      <c r="L107" s="41">
        <f t="shared" si="2"/>
        <v>45218</v>
      </c>
      <c r="M107" s="19">
        <f>IFERROR(__xludf.DUMMYFUNCTION("if(isblank(L107),, index(googlefinance(A107,M$2,L107-1),2,2))"),44.02)</f>
        <v>44.02</v>
      </c>
      <c r="N107" s="20">
        <f>IFERROR(__xludf.DUMMYFUNCTION("if(isblank(A107),,googlefinance(A107))"),41.24)</f>
        <v>41.24</v>
      </c>
      <c r="O107" s="17" t="str">
        <f t="shared" si="11"/>
        <v>Completed</v>
      </c>
      <c r="P107" s="42" t="str">
        <f t="shared" si="4"/>
        <v>Loss</v>
      </c>
      <c r="Q107" s="43">
        <f t="shared" si="5"/>
        <v>-1.54</v>
      </c>
      <c r="R107" s="17" t="b">
        <f t="shared" si="6"/>
        <v>0</v>
      </c>
      <c r="S107" s="17">
        <f t="shared" si="12"/>
        <v>-0.07</v>
      </c>
      <c r="T107" s="22">
        <f t="shared" si="8"/>
        <v>22</v>
      </c>
      <c r="U107" s="23"/>
      <c r="V107" s="13"/>
      <c r="W107" s="13"/>
      <c r="X107" s="13"/>
      <c r="Y107" s="13"/>
      <c r="Z107" s="13"/>
      <c r="AA107" s="24"/>
    </row>
    <row r="108" ht="13.5" hidden="1" customHeight="1">
      <c r="A108" s="13" t="s">
        <v>124</v>
      </c>
      <c r="B108" s="39">
        <v>13.0</v>
      </c>
      <c r="C108" s="22">
        <v>35.26</v>
      </c>
      <c r="D108" s="22">
        <v>46.154</v>
      </c>
      <c r="E108" s="22">
        <v>1.179</v>
      </c>
      <c r="F108" s="34">
        <v>45209.0</v>
      </c>
      <c r="G108" s="33"/>
      <c r="H108" s="34">
        <v>45217.0</v>
      </c>
      <c r="I108" s="33"/>
      <c r="J108" s="40">
        <f t="shared" si="13"/>
        <v>45209</v>
      </c>
      <c r="K108" s="18">
        <f>IFERROR(__xludf.DUMMYFUNCTION("if(isblank(J108),,index(googlefinance(A108,K$2,J108-1),2,2))"),119.05)</f>
        <v>119.05</v>
      </c>
      <c r="L108" s="41">
        <f t="shared" si="2"/>
        <v>45217</v>
      </c>
      <c r="M108" s="19">
        <f>IFERROR(__xludf.DUMMYFUNCTION("if(isblank(L108),, index(googlefinance(A108,M$2,L108-1),2,2))"),123.29)</f>
        <v>123.29</v>
      </c>
      <c r="N108" s="20">
        <f>IFERROR(__xludf.DUMMYFUNCTION("if(isblank(A108),,googlefinance(A108))"),136.22)</f>
        <v>136.22</v>
      </c>
      <c r="O108" s="17" t="str">
        <f t="shared" si="11"/>
        <v>Completed</v>
      </c>
      <c r="P108" s="37" t="str">
        <f t="shared" si="4"/>
        <v>Profit</v>
      </c>
      <c r="Q108" s="38">
        <f t="shared" si="5"/>
        <v>33.92</v>
      </c>
      <c r="R108" s="17" t="b">
        <f t="shared" si="6"/>
        <v>1</v>
      </c>
      <c r="S108" s="17">
        <f t="shared" si="12"/>
        <v>4.24</v>
      </c>
      <c r="T108" s="22">
        <f t="shared" si="8"/>
        <v>8</v>
      </c>
      <c r="U108" s="23"/>
      <c r="V108" s="13"/>
      <c r="W108" s="13"/>
      <c r="X108" s="13"/>
      <c r="Y108" s="13"/>
      <c r="Z108" s="13"/>
      <c r="AA108" s="24"/>
    </row>
    <row r="109" ht="13.5" hidden="1" customHeight="1">
      <c r="A109" s="13" t="s">
        <v>42</v>
      </c>
      <c r="B109" s="39">
        <v>12.0</v>
      </c>
      <c r="C109" s="22">
        <v>138.07</v>
      </c>
      <c r="D109" s="22">
        <v>41.667</v>
      </c>
      <c r="E109" s="22">
        <v>2.606</v>
      </c>
      <c r="F109" s="34">
        <v>45209.0</v>
      </c>
      <c r="G109" s="33"/>
      <c r="H109" s="34">
        <v>45211.0</v>
      </c>
      <c r="I109" s="33"/>
      <c r="J109" s="40">
        <f t="shared" si="13"/>
        <v>45209</v>
      </c>
      <c r="K109" s="18">
        <f>IFERROR(__xludf.DUMMYFUNCTION("if(isblank(J109),,index(googlefinance(A109,K$2,J109-1),2,2))"),57.24)</f>
        <v>57.24</v>
      </c>
      <c r="L109" s="41">
        <f t="shared" si="2"/>
        <v>45211</v>
      </c>
      <c r="M109" s="19">
        <f>IFERROR(__xludf.DUMMYFUNCTION("if(isblank(L109),, index(googlefinance(A109,M$2,L109-1),2,2))"),58.97)</f>
        <v>58.97</v>
      </c>
      <c r="N109" s="20">
        <f>IFERROR(__xludf.DUMMYFUNCTION("if(isblank(A109),,googlefinance(A109))"),58.87)</f>
        <v>58.87</v>
      </c>
      <c r="O109" s="17" t="str">
        <f t="shared" si="11"/>
        <v>Completed</v>
      </c>
      <c r="P109" s="37" t="str">
        <f t="shared" si="4"/>
        <v>Profit</v>
      </c>
      <c r="Q109" s="38">
        <f t="shared" si="5"/>
        <v>29.41</v>
      </c>
      <c r="R109" s="17" t="b">
        <f t="shared" si="6"/>
        <v>1</v>
      </c>
      <c r="S109" s="17">
        <f t="shared" si="12"/>
        <v>1.73</v>
      </c>
      <c r="T109" s="22">
        <f t="shared" si="8"/>
        <v>17</v>
      </c>
      <c r="U109" s="23"/>
      <c r="V109" s="13"/>
      <c r="W109" s="13"/>
      <c r="X109" s="13"/>
      <c r="Y109" s="13"/>
      <c r="Z109" s="13"/>
      <c r="AA109" s="24"/>
    </row>
    <row r="110" ht="13.5" hidden="1" customHeight="1">
      <c r="A110" s="13" t="s">
        <v>125</v>
      </c>
      <c r="B110" s="39">
        <v>11.0</v>
      </c>
      <c r="C110" s="22">
        <v>61.46</v>
      </c>
      <c r="D110" s="22">
        <v>18.182</v>
      </c>
      <c r="E110" s="22">
        <v>1.654</v>
      </c>
      <c r="F110" s="34">
        <v>45209.0</v>
      </c>
      <c r="G110" s="33"/>
      <c r="H110" s="34">
        <v>45236.0</v>
      </c>
      <c r="I110" s="33"/>
      <c r="J110" s="40">
        <f t="shared" si="13"/>
        <v>45209</v>
      </c>
      <c r="K110" s="18">
        <f>IFERROR(__xludf.DUMMYFUNCTION("if(isblank(J110),,index(googlefinance(A110,K$2,J110-1),2,2))"),436.53)</f>
        <v>436.53</v>
      </c>
      <c r="L110" s="41">
        <f t="shared" si="2"/>
        <v>45236</v>
      </c>
      <c r="M110" s="19">
        <f>IFERROR(__xludf.DUMMYFUNCTION("if(isblank(L110),, index(googlefinance(A110,M$2,L110-1),2,2))"),451.16)</f>
        <v>451.16</v>
      </c>
      <c r="N110" s="20">
        <f>IFERROR(__xludf.DUMMYFUNCTION("if(isblank(A110),,googlefinance(A110))"),424.07)</f>
        <v>424.07</v>
      </c>
      <c r="O110" s="17" t="str">
        <f t="shared" si="11"/>
        <v>Completed</v>
      </c>
      <c r="P110" s="37" t="str">
        <f t="shared" si="4"/>
        <v>Profit</v>
      </c>
      <c r="Q110" s="38">
        <f t="shared" si="5"/>
        <v>29.26</v>
      </c>
      <c r="R110" s="17" t="b">
        <f t="shared" si="6"/>
        <v>1</v>
      </c>
      <c r="S110" s="17">
        <f t="shared" si="12"/>
        <v>14.63</v>
      </c>
      <c r="T110" s="22">
        <f t="shared" si="8"/>
        <v>2</v>
      </c>
      <c r="U110" s="23"/>
      <c r="V110" s="13"/>
      <c r="W110" s="13"/>
      <c r="X110" s="13"/>
      <c r="Y110" s="13"/>
      <c r="Z110" s="13"/>
      <c r="AA110" s="24"/>
    </row>
    <row r="111" ht="13.5" hidden="1" customHeight="1">
      <c r="A111" s="13" t="s">
        <v>126</v>
      </c>
      <c r="B111" s="39">
        <v>13.0</v>
      </c>
      <c r="C111" s="22">
        <v>26.65</v>
      </c>
      <c r="D111" s="22">
        <v>23.077</v>
      </c>
      <c r="E111" s="22">
        <v>1.058</v>
      </c>
      <c r="F111" s="34">
        <v>45209.0</v>
      </c>
      <c r="G111" s="33"/>
      <c r="H111" s="34">
        <v>45219.0</v>
      </c>
      <c r="I111" s="33"/>
      <c r="J111" s="40">
        <f t="shared" si="13"/>
        <v>45209</v>
      </c>
      <c r="K111" s="18">
        <f>IFERROR(__xludf.DUMMYFUNCTION("if(isblank(J111),,index(googlefinance(A111,K$2,J111-1),2,2))"),40.71)</f>
        <v>40.71</v>
      </c>
      <c r="L111" s="41">
        <f t="shared" si="2"/>
        <v>45219</v>
      </c>
      <c r="M111" s="19">
        <f>IFERROR(__xludf.DUMMYFUNCTION("if(isblank(L111),, index(googlefinance(A111,M$2,L111-1),2,2))"),41.83)</f>
        <v>41.83</v>
      </c>
      <c r="N111" s="20">
        <f>IFERROR(__xludf.DUMMYFUNCTION("if(isblank(A111),,googlefinance(A111))"),43.76)</f>
        <v>43.76</v>
      </c>
      <c r="O111" s="17" t="str">
        <f t="shared" si="11"/>
        <v>Completed</v>
      </c>
      <c r="P111" s="37" t="str">
        <f t="shared" si="4"/>
        <v>Profit</v>
      </c>
      <c r="Q111" s="38">
        <f t="shared" si="5"/>
        <v>26.88</v>
      </c>
      <c r="R111" s="17" t="b">
        <f t="shared" si="6"/>
        <v>1</v>
      </c>
      <c r="S111" s="17">
        <f t="shared" si="12"/>
        <v>1.12</v>
      </c>
      <c r="T111" s="22">
        <f t="shared" si="8"/>
        <v>24</v>
      </c>
      <c r="U111" s="23"/>
      <c r="V111" s="13"/>
      <c r="W111" s="13"/>
      <c r="X111" s="13"/>
      <c r="Y111" s="13"/>
      <c r="Z111" s="13"/>
      <c r="AA111" s="24"/>
    </row>
    <row r="112" ht="13.5" hidden="1" customHeight="1">
      <c r="A112" s="13" t="s">
        <v>127</v>
      </c>
      <c r="B112" s="39">
        <v>8.0</v>
      </c>
      <c r="C112" s="22">
        <v>113.8</v>
      </c>
      <c r="D112" s="22">
        <v>37.5</v>
      </c>
      <c r="E112" s="22">
        <v>1.809</v>
      </c>
      <c r="F112" s="34">
        <v>45209.0</v>
      </c>
      <c r="G112" s="33"/>
      <c r="H112" s="34">
        <v>45219.0</v>
      </c>
      <c r="I112" s="33"/>
      <c r="J112" s="40">
        <f t="shared" si="13"/>
        <v>45209</v>
      </c>
      <c r="K112" s="18">
        <f>IFERROR(__xludf.DUMMYFUNCTION("if(isblank(J112),,index(googlefinance(A112,K$2,J112-1),2,2))"),39.7)</f>
        <v>39.7</v>
      </c>
      <c r="L112" s="41">
        <f t="shared" si="2"/>
        <v>45219</v>
      </c>
      <c r="M112" s="19">
        <f>IFERROR(__xludf.DUMMYFUNCTION("if(isblank(L112),, index(googlefinance(A112,M$2,L112-1),2,2))"),41.18)</f>
        <v>41.18</v>
      </c>
      <c r="N112" s="20">
        <f>IFERROR(__xludf.DUMMYFUNCTION("if(isblank(A112),,googlefinance(A112))"),51.91)</f>
        <v>51.91</v>
      </c>
      <c r="O112" s="17" t="str">
        <f t="shared" si="11"/>
        <v>Completed</v>
      </c>
      <c r="P112" s="37" t="str">
        <f t="shared" si="4"/>
        <v>Profit</v>
      </c>
      <c r="Q112" s="38">
        <f t="shared" si="5"/>
        <v>37</v>
      </c>
      <c r="R112" s="17" t="b">
        <f t="shared" si="6"/>
        <v>1</v>
      </c>
      <c r="S112" s="17">
        <f t="shared" si="12"/>
        <v>1.48</v>
      </c>
      <c r="T112" s="22">
        <f t="shared" si="8"/>
        <v>25</v>
      </c>
      <c r="U112" s="23"/>
      <c r="V112" s="13"/>
      <c r="W112" s="13"/>
      <c r="X112" s="13"/>
      <c r="Y112" s="13"/>
      <c r="Z112" s="13"/>
      <c r="AA112" s="24"/>
    </row>
    <row r="113" ht="13.5" hidden="1" customHeight="1">
      <c r="A113" s="13" t="s">
        <v>62</v>
      </c>
      <c r="B113" s="39">
        <v>8.0</v>
      </c>
      <c r="C113" s="22">
        <v>235.18</v>
      </c>
      <c r="D113" s="22">
        <v>25.0</v>
      </c>
      <c r="E113" s="22">
        <v>2.602</v>
      </c>
      <c r="F113" s="34">
        <v>45210.0</v>
      </c>
      <c r="G113" s="33"/>
      <c r="H113" s="34">
        <v>45222.0</v>
      </c>
      <c r="I113" s="33"/>
      <c r="J113" s="40">
        <f t="shared" si="13"/>
        <v>45210</v>
      </c>
      <c r="K113" s="18">
        <f>IFERROR(__xludf.DUMMYFUNCTION("if(isblank(J113),,index(googlefinance(A113,K$2,J113-1),2,2))"),46.07)</f>
        <v>46.07</v>
      </c>
      <c r="L113" s="41">
        <f t="shared" si="2"/>
        <v>45222</v>
      </c>
      <c r="M113" s="19">
        <f>IFERROR(__xludf.DUMMYFUNCTION("if(isblank(L113),, index(googlefinance(A113,M$2,L113-1),2,2))"),47.71)</f>
        <v>47.71</v>
      </c>
      <c r="N113" s="20">
        <f>IFERROR(__xludf.DUMMYFUNCTION("if(isblank(A113),,googlefinance(A113))"),43.46)</f>
        <v>43.46</v>
      </c>
      <c r="O113" s="17" t="str">
        <f t="shared" si="11"/>
        <v>Completed</v>
      </c>
      <c r="P113" s="37" t="str">
        <f t="shared" si="4"/>
        <v>Profit</v>
      </c>
      <c r="Q113" s="38">
        <f t="shared" si="5"/>
        <v>34.44</v>
      </c>
      <c r="R113" s="17" t="b">
        <f t="shared" si="6"/>
        <v>1</v>
      </c>
      <c r="S113" s="17">
        <f t="shared" si="12"/>
        <v>1.64</v>
      </c>
      <c r="T113" s="22">
        <f t="shared" si="8"/>
        <v>21</v>
      </c>
      <c r="U113" s="23"/>
      <c r="V113" s="13"/>
      <c r="W113" s="13"/>
      <c r="X113" s="13"/>
      <c r="Y113" s="13"/>
      <c r="Z113" s="13"/>
      <c r="AA113" s="24"/>
    </row>
    <row r="114" ht="13.5" hidden="1" customHeight="1">
      <c r="A114" s="13" t="s">
        <v>128</v>
      </c>
      <c r="B114" s="39">
        <v>16.0</v>
      </c>
      <c r="C114" s="22">
        <v>257.55</v>
      </c>
      <c r="D114" s="22">
        <v>31.25</v>
      </c>
      <c r="E114" s="22">
        <v>2.667</v>
      </c>
      <c r="F114" s="34">
        <v>45210.0</v>
      </c>
      <c r="G114" s="33"/>
      <c r="H114" s="34">
        <v>45212.0</v>
      </c>
      <c r="I114" s="33"/>
      <c r="J114" s="40">
        <f t="shared" si="13"/>
        <v>45210</v>
      </c>
      <c r="K114" s="18">
        <f>IFERROR(__xludf.DUMMYFUNCTION("if(isblank(J114),,index(googlefinance(A114,K$2,J114-1),2,2))"),121.23)</f>
        <v>121.23</v>
      </c>
      <c r="L114" s="41">
        <f t="shared" si="2"/>
        <v>45212</v>
      </c>
      <c r="M114" s="19">
        <f>IFERROR(__xludf.DUMMYFUNCTION("if(isblank(L114),, index(googlefinance(A114,M$2,L114-1),2,2))"),120.11)</f>
        <v>120.11</v>
      </c>
      <c r="N114" s="20">
        <f>IFERROR(__xludf.DUMMYFUNCTION("if(isblank(A114),,googlefinance(A114))"),141.57)</f>
        <v>141.57</v>
      </c>
      <c r="O114" s="17" t="str">
        <f t="shared" si="11"/>
        <v>Completed</v>
      </c>
      <c r="P114" s="42" t="str">
        <f t="shared" si="4"/>
        <v>Loss</v>
      </c>
      <c r="Q114" s="43">
        <f t="shared" si="5"/>
        <v>-8.96</v>
      </c>
      <c r="R114" s="17" t="b">
        <f t="shared" si="6"/>
        <v>0</v>
      </c>
      <c r="S114" s="17">
        <f t="shared" si="12"/>
        <v>-1.12</v>
      </c>
      <c r="T114" s="22">
        <f t="shared" si="8"/>
        <v>8</v>
      </c>
      <c r="U114" s="23"/>
      <c r="V114" s="13"/>
      <c r="W114" s="13"/>
      <c r="X114" s="13"/>
      <c r="Y114" s="13"/>
      <c r="Z114" s="13"/>
      <c r="AA114" s="24"/>
    </row>
    <row r="115" ht="13.5" hidden="1" customHeight="1">
      <c r="A115" s="13" t="s">
        <v>129</v>
      </c>
      <c r="B115" s="39">
        <v>7.0</v>
      </c>
      <c r="C115" s="22">
        <v>189.88</v>
      </c>
      <c r="D115" s="22">
        <v>71.429</v>
      </c>
      <c r="E115" s="22">
        <v>11.888</v>
      </c>
      <c r="F115" s="34">
        <v>45210.0</v>
      </c>
      <c r="G115" s="33"/>
      <c r="H115" s="34">
        <v>45211.0</v>
      </c>
      <c r="I115" s="33"/>
      <c r="J115" s="40">
        <f t="shared" si="13"/>
        <v>45210</v>
      </c>
      <c r="K115" s="18">
        <f>IFERROR(__xludf.DUMMYFUNCTION("if(isblank(J115),,index(googlefinance(A115,K$2,J115-1),2,2))"),63.26)</f>
        <v>63.26</v>
      </c>
      <c r="L115" s="41">
        <f t="shared" si="2"/>
        <v>45211</v>
      </c>
      <c r="M115" s="19">
        <f>IFERROR(__xludf.DUMMYFUNCTION("if(isblank(L115),, index(googlefinance(A115,M$2,L115-1),2,2))"),62.73)</f>
        <v>62.73</v>
      </c>
      <c r="N115" s="20">
        <f>IFERROR(__xludf.DUMMYFUNCTION("if(isblank(A115),,googlefinance(A115))"),64.1)</f>
        <v>64.1</v>
      </c>
      <c r="O115" s="17" t="str">
        <f t="shared" si="11"/>
        <v>Completed</v>
      </c>
      <c r="P115" s="42" t="str">
        <f t="shared" si="4"/>
        <v>Loss</v>
      </c>
      <c r="Q115" s="43">
        <f t="shared" si="5"/>
        <v>-7.95</v>
      </c>
      <c r="R115" s="17" t="b">
        <f t="shared" si="6"/>
        <v>0</v>
      </c>
      <c r="S115" s="17">
        <f t="shared" si="12"/>
        <v>-0.53</v>
      </c>
      <c r="T115" s="22">
        <f t="shared" si="8"/>
        <v>15</v>
      </c>
      <c r="U115" s="23"/>
      <c r="V115" s="13"/>
      <c r="W115" s="13"/>
      <c r="X115" s="13"/>
      <c r="Y115" s="13"/>
      <c r="Z115" s="13"/>
      <c r="AA115" s="24"/>
    </row>
    <row r="116" ht="13.5" hidden="1" customHeight="1">
      <c r="A116" s="13" t="s">
        <v>73</v>
      </c>
      <c r="B116" s="39">
        <v>15.0</v>
      </c>
      <c r="C116" s="22">
        <v>109.92</v>
      </c>
      <c r="D116" s="22">
        <v>33.333</v>
      </c>
      <c r="E116" s="22">
        <v>1.404</v>
      </c>
      <c r="F116" s="34">
        <v>45210.0</v>
      </c>
      <c r="G116" s="33"/>
      <c r="H116" s="34">
        <v>45218.0</v>
      </c>
      <c r="I116" s="33"/>
      <c r="J116" s="40">
        <f t="shared" si="13"/>
        <v>45210</v>
      </c>
      <c r="K116" s="18">
        <f>IFERROR(__xludf.DUMMYFUNCTION("if(isblank(J116),,index(googlefinance(A116,K$2,J116-1),2,2))"),106.15)</f>
        <v>106.15</v>
      </c>
      <c r="L116" s="41">
        <f t="shared" si="2"/>
        <v>45218</v>
      </c>
      <c r="M116" s="19">
        <f>IFERROR(__xludf.DUMMYFUNCTION("if(isblank(L116),, index(googlefinance(A116,M$2,L116-1),2,2))"),108.55)</f>
        <v>108.55</v>
      </c>
      <c r="N116" s="20">
        <f>IFERROR(__xludf.DUMMYFUNCTION("if(isblank(A116),,googlefinance(A116))"),149.96)</f>
        <v>149.96</v>
      </c>
      <c r="O116" s="17" t="str">
        <f t="shared" si="11"/>
        <v>Completed</v>
      </c>
      <c r="P116" s="37" t="str">
        <f t="shared" si="4"/>
        <v>Profit</v>
      </c>
      <c r="Q116" s="38">
        <f t="shared" si="5"/>
        <v>21.6</v>
      </c>
      <c r="R116" s="17" t="b">
        <f t="shared" si="6"/>
        <v>1</v>
      </c>
      <c r="S116" s="17">
        <f t="shared" si="12"/>
        <v>2.4</v>
      </c>
      <c r="T116" s="22">
        <f t="shared" si="8"/>
        <v>9</v>
      </c>
      <c r="U116" s="23"/>
      <c r="V116" s="13"/>
      <c r="W116" s="13"/>
      <c r="X116" s="13"/>
      <c r="Y116" s="13"/>
      <c r="Z116" s="13"/>
      <c r="AA116" s="24"/>
    </row>
    <row r="117" ht="13.5" hidden="1" customHeight="1">
      <c r="A117" s="13" t="s">
        <v>130</v>
      </c>
      <c r="B117" s="39">
        <v>12.0</v>
      </c>
      <c r="C117" s="22">
        <v>71.7</v>
      </c>
      <c r="D117" s="22">
        <v>33.333</v>
      </c>
      <c r="E117" s="22">
        <v>1.321</v>
      </c>
      <c r="F117" s="34">
        <v>45210.0</v>
      </c>
      <c r="G117" s="33"/>
      <c r="H117" s="34">
        <v>45212.0</v>
      </c>
      <c r="I117" s="33"/>
      <c r="J117" s="40">
        <f t="shared" si="13"/>
        <v>45210</v>
      </c>
      <c r="K117" s="18">
        <f>IFERROR(__xludf.DUMMYFUNCTION("if(isblank(J117),,index(googlefinance(A117,K$2,J117-1),2,2))"),29.84)</f>
        <v>29.84</v>
      </c>
      <c r="L117" s="41">
        <f t="shared" si="2"/>
        <v>45212</v>
      </c>
      <c r="M117" s="19">
        <f>IFERROR(__xludf.DUMMYFUNCTION("if(isblank(L117),, index(googlefinance(A117,M$2,L117-1),2,2))"),29.43)</f>
        <v>29.43</v>
      </c>
      <c r="N117" s="20">
        <f>IFERROR(__xludf.DUMMYFUNCTION("if(isblank(A117),,googlefinance(A117))"),39.56)</f>
        <v>39.56</v>
      </c>
      <c r="O117" s="17" t="str">
        <f t="shared" si="11"/>
        <v>Completed</v>
      </c>
      <c r="P117" s="42" t="str">
        <f t="shared" si="4"/>
        <v>Loss</v>
      </c>
      <c r="Q117" s="43">
        <f t="shared" si="5"/>
        <v>-13.53</v>
      </c>
      <c r="R117" s="17" t="b">
        <f t="shared" si="6"/>
        <v>0</v>
      </c>
      <c r="S117" s="17">
        <f t="shared" si="12"/>
        <v>-0.41</v>
      </c>
      <c r="T117" s="22">
        <f t="shared" si="8"/>
        <v>33</v>
      </c>
      <c r="U117" s="23"/>
      <c r="V117" s="13"/>
      <c r="W117" s="13"/>
      <c r="X117" s="13"/>
      <c r="Y117" s="13"/>
      <c r="Z117" s="13"/>
      <c r="AA117" s="24"/>
    </row>
    <row r="118" ht="13.5" hidden="1" customHeight="1">
      <c r="A118" s="13" t="s">
        <v>131</v>
      </c>
      <c r="B118" s="39">
        <v>13.0</v>
      </c>
      <c r="C118" s="22">
        <v>40.85</v>
      </c>
      <c r="D118" s="22">
        <v>30.769</v>
      </c>
      <c r="E118" s="22">
        <v>1.21</v>
      </c>
      <c r="F118" s="34">
        <v>45212.0</v>
      </c>
      <c r="G118" s="33"/>
      <c r="H118" s="34">
        <v>45218.0</v>
      </c>
      <c r="I118" s="33"/>
      <c r="J118" s="40">
        <f t="shared" si="13"/>
        <v>45212</v>
      </c>
      <c r="K118" s="18">
        <f>IFERROR(__xludf.DUMMYFUNCTION("if(isblank(J118),,index(googlefinance(A118,K$2,J118-1),2,2))"),53.0)</f>
        <v>53</v>
      </c>
      <c r="L118" s="41">
        <f t="shared" si="2"/>
        <v>45218</v>
      </c>
      <c r="M118" s="19">
        <f>IFERROR(__xludf.DUMMYFUNCTION("if(isblank(L118),, index(googlefinance(A118,M$2,L118-1),2,2))"),53.24)</f>
        <v>53.24</v>
      </c>
      <c r="N118" s="20">
        <f>IFERROR(__xludf.DUMMYFUNCTION("if(isblank(A118),,googlefinance(A118))"),57.03)</f>
        <v>57.03</v>
      </c>
      <c r="O118" s="17" t="str">
        <f t="shared" si="11"/>
        <v>Completed</v>
      </c>
      <c r="P118" s="37" t="str">
        <f t="shared" si="4"/>
        <v>Profit</v>
      </c>
      <c r="Q118" s="38">
        <f t="shared" si="5"/>
        <v>4.32</v>
      </c>
      <c r="R118" s="17" t="b">
        <f t="shared" si="6"/>
        <v>1</v>
      </c>
      <c r="S118" s="17">
        <f t="shared" si="12"/>
        <v>0.24</v>
      </c>
      <c r="T118" s="22">
        <f t="shared" si="8"/>
        <v>18</v>
      </c>
      <c r="U118" s="23"/>
      <c r="V118" s="13"/>
      <c r="W118" s="13"/>
      <c r="X118" s="13"/>
      <c r="Y118" s="13"/>
      <c r="Z118" s="13"/>
      <c r="AA118" s="24"/>
    </row>
    <row r="119" ht="13.5" hidden="1" customHeight="1">
      <c r="A119" s="13" t="s">
        <v>132</v>
      </c>
      <c r="B119" s="39">
        <v>10.0</v>
      </c>
      <c r="C119" s="22">
        <v>96.63</v>
      </c>
      <c r="D119" s="22">
        <v>70.0</v>
      </c>
      <c r="E119" s="22">
        <v>3.33</v>
      </c>
      <c r="F119" s="34">
        <v>45215.0</v>
      </c>
      <c r="G119" s="33"/>
      <c r="H119" s="34">
        <v>45222.0</v>
      </c>
      <c r="I119" s="33"/>
      <c r="J119" s="40">
        <f t="shared" si="13"/>
        <v>45215</v>
      </c>
      <c r="K119" s="18">
        <f>IFERROR(__xludf.DUMMYFUNCTION("if(isblank(J119),,index(googlefinance(A119,K$2,J119-1),2,2))"),40.1)</f>
        <v>40.1</v>
      </c>
      <c r="L119" s="41">
        <f t="shared" si="2"/>
        <v>45222</v>
      </c>
      <c r="M119" s="19">
        <f>IFERROR(__xludf.DUMMYFUNCTION("if(isblank(L119),, index(googlefinance(A119,M$2,L119-1),2,2))"),39.51)</f>
        <v>39.51</v>
      </c>
      <c r="N119" s="20">
        <f>IFERROR(__xludf.DUMMYFUNCTION("if(isblank(A119),,googlefinance(A119))"),41.45)</f>
        <v>41.45</v>
      </c>
      <c r="O119" s="17" t="str">
        <f t="shared" si="11"/>
        <v>Completed</v>
      </c>
      <c r="P119" s="42" t="str">
        <f t="shared" si="4"/>
        <v>Loss</v>
      </c>
      <c r="Q119" s="43">
        <f t="shared" si="5"/>
        <v>-14.16</v>
      </c>
      <c r="R119" s="17" t="b">
        <f t="shared" si="6"/>
        <v>0</v>
      </c>
      <c r="S119" s="17">
        <f t="shared" si="12"/>
        <v>-0.59</v>
      </c>
      <c r="T119" s="22">
        <f t="shared" si="8"/>
        <v>24</v>
      </c>
      <c r="U119" s="23"/>
      <c r="V119" s="13"/>
      <c r="W119" s="13"/>
      <c r="X119" s="13"/>
      <c r="Y119" s="13"/>
      <c r="Z119" s="13"/>
      <c r="AA119" s="24"/>
    </row>
    <row r="120" ht="13.5" hidden="1" customHeight="1">
      <c r="A120" s="13" t="s">
        <v>99</v>
      </c>
      <c r="B120" s="39">
        <v>6.0</v>
      </c>
      <c r="C120" s="22">
        <v>40.71</v>
      </c>
      <c r="D120" s="22">
        <v>16.667</v>
      </c>
      <c r="E120" s="22">
        <v>1.369</v>
      </c>
      <c r="F120" s="34">
        <v>45216.0</v>
      </c>
      <c r="G120" s="33"/>
      <c r="H120" s="34">
        <v>45219.0</v>
      </c>
      <c r="I120" s="33"/>
      <c r="J120" s="40">
        <f t="shared" si="13"/>
        <v>45216</v>
      </c>
      <c r="K120" s="18">
        <f>IFERROR(__xludf.DUMMYFUNCTION("if(isblank(J120),,index(googlefinance(A120,K$2,J120-1),2,2))"),103.33)</f>
        <v>103.33</v>
      </c>
      <c r="L120" s="41">
        <f t="shared" si="2"/>
        <v>45219</v>
      </c>
      <c r="M120" s="19">
        <f>IFERROR(__xludf.DUMMYFUNCTION("if(isblank(L120),, index(googlefinance(A120,M$2,L120-1),2,2))"),103.65)</f>
        <v>103.65</v>
      </c>
      <c r="N120" s="20">
        <f>IFERROR(__xludf.DUMMYFUNCTION("if(isblank(A120),,googlefinance(A120))"),91.68)</f>
        <v>91.68</v>
      </c>
      <c r="O120" s="17" t="str">
        <f t="shared" si="11"/>
        <v>Completed</v>
      </c>
      <c r="P120" s="37" t="str">
        <f t="shared" si="4"/>
        <v>Profit</v>
      </c>
      <c r="Q120" s="38">
        <f t="shared" si="5"/>
        <v>2.88</v>
      </c>
      <c r="R120" s="17" t="b">
        <f t="shared" si="6"/>
        <v>1</v>
      </c>
      <c r="S120" s="17">
        <f t="shared" si="12"/>
        <v>0.32</v>
      </c>
      <c r="T120" s="22">
        <f t="shared" si="8"/>
        <v>9</v>
      </c>
      <c r="U120" s="23"/>
      <c r="V120" s="13"/>
      <c r="W120" s="13"/>
      <c r="X120" s="13"/>
      <c r="Y120" s="13"/>
      <c r="Z120" s="13"/>
      <c r="AA120" s="24"/>
    </row>
    <row r="121" ht="13.5" hidden="1" customHeight="1">
      <c r="A121" s="13" t="s">
        <v>133</v>
      </c>
      <c r="B121" s="39">
        <v>10.0</v>
      </c>
      <c r="C121" s="22">
        <v>288.17</v>
      </c>
      <c r="D121" s="22">
        <v>70.0</v>
      </c>
      <c r="E121" s="22">
        <v>10.128</v>
      </c>
      <c r="F121" s="34">
        <v>45216.0</v>
      </c>
      <c r="G121" s="33"/>
      <c r="H121" s="34">
        <v>45229.0</v>
      </c>
      <c r="I121" s="33"/>
      <c r="J121" s="40">
        <f t="shared" si="13"/>
        <v>45216</v>
      </c>
      <c r="K121" s="18">
        <f>IFERROR(__xludf.DUMMYFUNCTION("if(isblank(J121),,index(googlefinance(A121,K$2,J121-1),2,2))"),146.07)</f>
        <v>146.07</v>
      </c>
      <c r="L121" s="41">
        <f t="shared" si="2"/>
        <v>45229</v>
      </c>
      <c r="M121" s="19">
        <f>IFERROR(__xludf.DUMMYFUNCTION("if(isblank(L121),, index(googlefinance(A121,M$2,L121-1),2,2))"),149.26)</f>
        <v>149.26</v>
      </c>
      <c r="N121" s="20">
        <f>IFERROR(__xludf.DUMMYFUNCTION("if(isblank(A121),,googlefinance(A121))"),157.51)</f>
        <v>157.51</v>
      </c>
      <c r="O121" s="17" t="str">
        <f t="shared" si="11"/>
        <v>Completed</v>
      </c>
      <c r="P121" s="37" t="str">
        <f t="shared" si="4"/>
        <v>Profit</v>
      </c>
      <c r="Q121" s="38">
        <f t="shared" si="5"/>
        <v>19.14</v>
      </c>
      <c r="R121" s="17" t="b">
        <f t="shared" si="6"/>
        <v>1</v>
      </c>
      <c r="S121" s="17">
        <f t="shared" si="12"/>
        <v>3.19</v>
      </c>
      <c r="T121" s="22">
        <f t="shared" si="8"/>
        <v>6</v>
      </c>
      <c r="U121" s="23"/>
      <c r="V121" s="13"/>
      <c r="W121" s="13"/>
      <c r="X121" s="13"/>
      <c r="Y121" s="13"/>
      <c r="Z121" s="13"/>
      <c r="AA121" s="24"/>
    </row>
    <row r="122" ht="13.5" hidden="1" customHeight="1">
      <c r="A122" s="13" t="s">
        <v>134</v>
      </c>
      <c r="B122" s="39">
        <v>13.0</v>
      </c>
      <c r="C122" s="22">
        <v>30.98</v>
      </c>
      <c r="D122" s="22">
        <v>38.462</v>
      </c>
      <c r="E122" s="22">
        <v>1.109</v>
      </c>
      <c r="F122" s="34">
        <v>45216.0</v>
      </c>
      <c r="G122" s="33"/>
      <c r="H122" s="34">
        <v>45222.0</v>
      </c>
      <c r="I122" s="33"/>
      <c r="J122" s="40">
        <f t="shared" si="13"/>
        <v>45216</v>
      </c>
      <c r="K122" s="18">
        <f>IFERROR(__xludf.DUMMYFUNCTION("if(isblank(J122),,index(googlefinance(A122,K$2,J122-1),2,2))"),129.2)</f>
        <v>129.2</v>
      </c>
      <c r="L122" s="41">
        <f t="shared" si="2"/>
        <v>45222</v>
      </c>
      <c r="M122" s="19">
        <f>IFERROR(__xludf.DUMMYFUNCTION("if(isblank(L122),, index(googlefinance(A122,M$2,L122-1),2,2))"),130.73)</f>
        <v>130.73</v>
      </c>
      <c r="N122" s="20">
        <f>IFERROR(__xludf.DUMMYFUNCTION("if(isblank(A122),,googlefinance(A122))"),139.54)</f>
        <v>139.54</v>
      </c>
      <c r="O122" s="17" t="str">
        <f t="shared" si="11"/>
        <v>Completed</v>
      </c>
      <c r="P122" s="37" t="str">
        <f t="shared" si="4"/>
        <v>Profit</v>
      </c>
      <c r="Q122" s="38">
        <f t="shared" si="5"/>
        <v>10.71</v>
      </c>
      <c r="R122" s="17" t="b">
        <f t="shared" si="6"/>
        <v>1</v>
      </c>
      <c r="S122" s="17">
        <f t="shared" si="12"/>
        <v>1.53</v>
      </c>
      <c r="T122" s="22">
        <f t="shared" si="8"/>
        <v>7</v>
      </c>
      <c r="U122" s="23"/>
      <c r="V122" s="13"/>
      <c r="W122" s="13"/>
      <c r="X122" s="13"/>
      <c r="Y122" s="13"/>
      <c r="Z122" s="13"/>
      <c r="AA122" s="24"/>
    </row>
    <row r="123" ht="13.5" hidden="1" customHeight="1">
      <c r="A123" s="13" t="s">
        <v>90</v>
      </c>
      <c r="B123" s="39">
        <v>9.0</v>
      </c>
      <c r="C123" s="22">
        <v>38.93</v>
      </c>
      <c r="D123" s="22">
        <v>33.333</v>
      </c>
      <c r="E123" s="22">
        <v>1.445</v>
      </c>
      <c r="F123" s="34">
        <v>45216.0</v>
      </c>
      <c r="G123" s="33"/>
      <c r="H123" s="34">
        <v>45228.0</v>
      </c>
      <c r="I123" s="33"/>
      <c r="J123" s="40">
        <f t="shared" si="13"/>
        <v>45216</v>
      </c>
      <c r="K123" s="18">
        <f>IFERROR(__xludf.DUMMYFUNCTION("if(isblank(J123),,index(googlefinance(A123,K$2,J123-1),2,2))"),88.94)</f>
        <v>88.94</v>
      </c>
      <c r="L123" s="41">
        <f t="shared" si="2"/>
        <v>45228</v>
      </c>
      <c r="M123" s="19">
        <f>IFERROR(__xludf.DUMMYFUNCTION("if(isblank(L123),, index(googlefinance(A123,M$2,L123-1),2,2))"),90.76)</f>
        <v>90.76</v>
      </c>
      <c r="N123" s="20">
        <f>IFERROR(__xludf.DUMMYFUNCTION("if(isblank(A123),,googlefinance(A123))"),97.78)</f>
        <v>97.78</v>
      </c>
      <c r="O123" s="17" t="str">
        <f t="shared" si="11"/>
        <v>Completed</v>
      </c>
      <c r="P123" s="37" t="str">
        <f t="shared" si="4"/>
        <v>Profit</v>
      </c>
      <c r="Q123" s="38">
        <f t="shared" si="5"/>
        <v>20.02</v>
      </c>
      <c r="R123" s="17" t="b">
        <f t="shared" si="6"/>
        <v>1</v>
      </c>
      <c r="S123" s="17">
        <f t="shared" si="12"/>
        <v>1.82</v>
      </c>
      <c r="T123" s="22">
        <f t="shared" si="8"/>
        <v>11</v>
      </c>
      <c r="U123" s="23"/>
      <c r="V123" s="13"/>
      <c r="W123" s="13"/>
      <c r="X123" s="13"/>
      <c r="Y123" s="13"/>
      <c r="Z123" s="13"/>
      <c r="AA123" s="24"/>
    </row>
    <row r="124" ht="13.5" hidden="1" customHeight="1">
      <c r="A124" s="13" t="s">
        <v>135</v>
      </c>
      <c r="B124" s="39">
        <v>8.0</v>
      </c>
      <c r="C124" s="22">
        <v>263.024</v>
      </c>
      <c r="D124" s="22">
        <v>75.0</v>
      </c>
      <c r="E124" s="22">
        <v>6.32</v>
      </c>
      <c r="F124" s="33"/>
      <c r="G124" s="34">
        <v>45217.0</v>
      </c>
      <c r="H124" s="33"/>
      <c r="I124" s="34">
        <v>45223.0</v>
      </c>
      <c r="J124" s="35">
        <f>IF(ISBLANK(G124:H124),,IF(COUNTA(G124)=0,H124,G124))</f>
        <v>45217</v>
      </c>
      <c r="K124" s="18">
        <f>IFERROR(__xludf.DUMMYFUNCTION("if(isblank(J124),,index(googlefinance(A124,K$2,J124-1),2,2))"),139.72)</f>
        <v>139.72</v>
      </c>
      <c r="L124" s="36">
        <f t="shared" si="2"/>
        <v>45223</v>
      </c>
      <c r="M124" s="19">
        <f>IFERROR(__xludf.DUMMYFUNCTION("if(isblank(L124),, index(googlefinance(A124,M$2,L124-1),2,2))"),136.5)</f>
        <v>136.5</v>
      </c>
      <c r="N124" s="20">
        <f>IFERROR(__xludf.DUMMYFUNCTION("if(isblank(A124),,googlefinance(A124))"),140.52)</f>
        <v>140.52</v>
      </c>
      <c r="O124" s="17" t="str">
        <f t="shared" si="11"/>
        <v>Completed</v>
      </c>
      <c r="P124" s="37" t="str">
        <f t="shared" si="4"/>
        <v>Profit</v>
      </c>
      <c r="Q124" s="38">
        <f t="shared" si="5"/>
        <v>22.54</v>
      </c>
      <c r="R124" s="17" t="b">
        <f t="shared" si="6"/>
        <v>1</v>
      </c>
      <c r="S124" s="17">
        <f t="shared" si="12"/>
        <v>-3.22</v>
      </c>
      <c r="T124" s="22">
        <f t="shared" si="8"/>
        <v>7</v>
      </c>
      <c r="U124" s="23"/>
      <c r="V124" s="13"/>
      <c r="W124" s="13"/>
      <c r="X124" s="13"/>
      <c r="Y124" s="13"/>
      <c r="Z124" s="13"/>
      <c r="AA124" s="24"/>
    </row>
    <row r="125" ht="13.5" hidden="1" customHeight="1">
      <c r="A125" s="13" t="s">
        <v>136</v>
      </c>
      <c r="B125" s="39">
        <v>8.0</v>
      </c>
      <c r="C125" s="22">
        <v>69.59</v>
      </c>
      <c r="D125" s="22">
        <v>37.5</v>
      </c>
      <c r="E125" s="22">
        <v>2.186</v>
      </c>
      <c r="F125" s="34">
        <v>45218.0</v>
      </c>
      <c r="G125" s="33"/>
      <c r="H125" s="34">
        <v>45225.0</v>
      </c>
      <c r="I125" s="33"/>
      <c r="J125" s="40">
        <f t="shared" ref="J125:J328" si="14">IF(ISBLANK(F125:G125),,IF(COUNTA(F125)=0,G125,F125))</f>
        <v>45218</v>
      </c>
      <c r="K125" s="18">
        <f>IFERROR(__xludf.DUMMYFUNCTION("if(isblank(J125),,index(googlefinance(A125,K$2,J125-1),2,2))"),215.99)</f>
        <v>215.99</v>
      </c>
      <c r="L125" s="41">
        <f t="shared" si="2"/>
        <v>45225</v>
      </c>
      <c r="M125" s="19">
        <f>IFERROR(__xludf.DUMMYFUNCTION("if(isblank(L125),, index(googlefinance(A125,M$2,L125-1),2,2))"),214.08)</f>
        <v>214.08</v>
      </c>
      <c r="N125" s="20">
        <f>IFERROR(__xludf.DUMMYFUNCTION("if(isblank(A125),,googlefinance(A125))"),212.26)</f>
        <v>212.26</v>
      </c>
      <c r="O125" s="17" t="str">
        <f t="shared" si="11"/>
        <v>Completed</v>
      </c>
      <c r="P125" s="42" t="str">
        <f t="shared" si="4"/>
        <v>Loss</v>
      </c>
      <c r="Q125" s="43">
        <f t="shared" si="5"/>
        <v>-7.64</v>
      </c>
      <c r="R125" s="17" t="b">
        <f t="shared" si="6"/>
        <v>0</v>
      </c>
      <c r="S125" s="17">
        <f t="shared" si="12"/>
        <v>-1.91</v>
      </c>
      <c r="T125" s="22">
        <f t="shared" si="8"/>
        <v>4</v>
      </c>
      <c r="U125" s="23"/>
      <c r="V125" s="13"/>
      <c r="W125" s="13"/>
      <c r="X125" s="13"/>
      <c r="Y125" s="13"/>
      <c r="Z125" s="13"/>
      <c r="AA125" s="24"/>
    </row>
    <row r="126" ht="13.5" hidden="1" customHeight="1">
      <c r="A126" s="13" t="s">
        <v>58</v>
      </c>
      <c r="B126" s="39">
        <v>13.0</v>
      </c>
      <c r="C126" s="22">
        <v>60.04</v>
      </c>
      <c r="D126" s="22">
        <v>23.077</v>
      </c>
      <c r="E126" s="22">
        <v>1.247</v>
      </c>
      <c r="F126" s="34">
        <v>45204.0</v>
      </c>
      <c r="G126" s="33"/>
      <c r="H126" s="34">
        <v>45218.0</v>
      </c>
      <c r="I126" s="33"/>
      <c r="J126" s="40">
        <f t="shared" si="14"/>
        <v>45204</v>
      </c>
      <c r="K126" s="18">
        <f>IFERROR(__xludf.DUMMYFUNCTION("if(isblank(J126),,index(googlefinance(A126,K$2,J126-1),2,2))"),79.32)</f>
        <v>79.32</v>
      </c>
      <c r="L126" s="41">
        <f t="shared" si="2"/>
        <v>45218</v>
      </c>
      <c r="M126" s="19">
        <f>IFERROR(__xludf.DUMMYFUNCTION("if(isblank(L126),, index(googlefinance(A126,M$2,L126-1),2,2))"),84.68)</f>
        <v>84.68</v>
      </c>
      <c r="N126" s="20">
        <f>IFERROR(__xludf.DUMMYFUNCTION("if(isblank(A126),,googlefinance(A126))"),111.6)</f>
        <v>111.6</v>
      </c>
      <c r="O126" s="17" t="str">
        <f t="shared" si="11"/>
        <v>Completed</v>
      </c>
      <c r="P126" s="37" t="str">
        <f t="shared" si="4"/>
        <v>Profit</v>
      </c>
      <c r="Q126" s="38">
        <f t="shared" si="5"/>
        <v>64.32</v>
      </c>
      <c r="R126" s="17" t="b">
        <f t="shared" si="6"/>
        <v>1</v>
      </c>
      <c r="S126" s="17">
        <f t="shared" si="12"/>
        <v>5.36</v>
      </c>
      <c r="T126" s="22">
        <f t="shared" si="8"/>
        <v>12</v>
      </c>
      <c r="U126" s="23"/>
      <c r="V126" s="13"/>
      <c r="W126" s="13"/>
      <c r="X126" s="13"/>
      <c r="Y126" s="13"/>
      <c r="Z126" s="13"/>
      <c r="AA126" s="24"/>
    </row>
    <row r="127" ht="13.5" hidden="1" customHeight="1">
      <c r="A127" s="13" t="s">
        <v>137</v>
      </c>
      <c r="B127" s="39">
        <v>11.0</v>
      </c>
      <c r="C127" s="22">
        <v>141.29</v>
      </c>
      <c r="D127" s="22">
        <v>27.273</v>
      </c>
      <c r="E127" s="22">
        <v>1.649</v>
      </c>
      <c r="F127" s="33"/>
      <c r="G127" s="34">
        <v>45218.0</v>
      </c>
      <c r="H127" s="33"/>
      <c r="I127" s="34">
        <v>45230.0</v>
      </c>
      <c r="J127" s="35">
        <f t="shared" si="14"/>
        <v>45218</v>
      </c>
      <c r="K127" s="18">
        <f>IFERROR(__xludf.DUMMYFUNCTION("if(isblank(J127),,index(googlefinance(A127,K$2,J127-1),2,2))"),485.73)</f>
        <v>485.73</v>
      </c>
      <c r="L127" s="36">
        <f t="shared" si="2"/>
        <v>45230</v>
      </c>
      <c r="M127" s="19">
        <f>IFERROR(__xludf.DUMMYFUNCTION("if(isblank(L127),, index(googlefinance(A127,M$2,L127-1),2,2))"),460.94)</f>
        <v>460.94</v>
      </c>
      <c r="N127" s="20">
        <f>IFERROR(__xludf.DUMMYFUNCTION("if(isblank(A127),,googlefinance(A127))"),552.91)</f>
        <v>552.91</v>
      </c>
      <c r="O127" s="17" t="str">
        <f t="shared" si="11"/>
        <v>Completed</v>
      </c>
      <c r="P127" s="37" t="str">
        <f t="shared" si="4"/>
        <v>Profit</v>
      </c>
      <c r="Q127" s="38">
        <f t="shared" si="5"/>
        <v>49.58</v>
      </c>
      <c r="R127" s="17" t="b">
        <f t="shared" si="6"/>
        <v>1</v>
      </c>
      <c r="S127" s="17">
        <f t="shared" si="12"/>
        <v>-24.79</v>
      </c>
      <c r="T127" s="22">
        <f t="shared" si="8"/>
        <v>2</v>
      </c>
      <c r="U127" s="23"/>
      <c r="V127" s="13"/>
      <c r="W127" s="13"/>
      <c r="X127" s="13"/>
      <c r="Y127" s="13"/>
      <c r="Z127" s="13"/>
      <c r="AA127" s="24"/>
    </row>
    <row r="128" ht="13.5" hidden="1" customHeight="1">
      <c r="A128" s="13" t="s">
        <v>138</v>
      </c>
      <c r="B128" s="39">
        <v>10.0</v>
      </c>
      <c r="C128" s="22">
        <v>262.76</v>
      </c>
      <c r="D128" s="22">
        <v>60.0</v>
      </c>
      <c r="E128" s="22">
        <v>5.689</v>
      </c>
      <c r="F128" s="33"/>
      <c r="G128" s="34">
        <v>45219.0</v>
      </c>
      <c r="H128" s="33"/>
      <c r="I128" s="34">
        <v>45224.0</v>
      </c>
      <c r="J128" s="35">
        <f t="shared" si="14"/>
        <v>45219</v>
      </c>
      <c r="K128" s="18">
        <f>IFERROR(__xludf.DUMMYFUNCTION("if(isblank(J128),,index(googlefinance(A128,K$2,J128-1),2,2))"),149.07)</f>
        <v>149.07</v>
      </c>
      <c r="L128" s="36">
        <f t="shared" si="2"/>
        <v>45224</v>
      </c>
      <c r="M128" s="19">
        <f>IFERROR(__xludf.DUMMYFUNCTION("if(isblank(L128),, index(googlefinance(A128,M$2,L128-1),2,2))"),146.85)</f>
        <v>146.85</v>
      </c>
      <c r="N128" s="20">
        <f>IFERROR(__xludf.DUMMYFUNCTION("if(isblank(A128),,googlefinance(A128))"),173.72)</f>
        <v>173.72</v>
      </c>
      <c r="O128" s="17" t="str">
        <f t="shared" si="11"/>
        <v>Completed</v>
      </c>
      <c r="P128" s="37" t="str">
        <f t="shared" si="4"/>
        <v>Profit</v>
      </c>
      <c r="Q128" s="38">
        <f t="shared" si="5"/>
        <v>13.32</v>
      </c>
      <c r="R128" s="17" t="b">
        <f t="shared" si="6"/>
        <v>1</v>
      </c>
      <c r="S128" s="17">
        <f t="shared" si="12"/>
        <v>-2.22</v>
      </c>
      <c r="T128" s="22">
        <f t="shared" si="8"/>
        <v>6</v>
      </c>
      <c r="U128" s="23"/>
      <c r="V128" s="13"/>
      <c r="W128" s="13"/>
      <c r="X128" s="13"/>
      <c r="Y128" s="13"/>
      <c r="Z128" s="13"/>
      <c r="AA128" s="24"/>
    </row>
    <row r="129" ht="13.5" hidden="1" customHeight="1">
      <c r="A129" s="13" t="s">
        <v>139</v>
      </c>
      <c r="B129" s="39">
        <v>13.0</v>
      </c>
      <c r="C129" s="22">
        <v>42.37</v>
      </c>
      <c r="D129" s="22">
        <v>30.769</v>
      </c>
      <c r="E129" s="22">
        <v>1.254</v>
      </c>
      <c r="F129" s="33"/>
      <c r="G129" s="34">
        <v>45219.0</v>
      </c>
      <c r="H129" s="33"/>
      <c r="I129" s="34">
        <v>45229.0</v>
      </c>
      <c r="J129" s="35">
        <f t="shared" si="14"/>
        <v>45219</v>
      </c>
      <c r="K129" s="18">
        <f>IFERROR(__xludf.DUMMYFUNCTION("if(isblank(J129),,index(googlefinance(A129,K$2,J129-1),2,2))"),565.63)</f>
        <v>565.63</v>
      </c>
      <c r="L129" s="36">
        <f t="shared" si="2"/>
        <v>45229</v>
      </c>
      <c r="M129" s="19">
        <f>IFERROR(__xludf.DUMMYFUNCTION("if(isblank(L129),, index(googlefinance(A129,M$2,L129-1),2,2))"),554.88)</f>
        <v>554.88</v>
      </c>
      <c r="N129" s="20">
        <f>IFERROR(__xludf.DUMMYFUNCTION("if(isblank(A129),,googlefinance(A129))"),723.99)</f>
        <v>723.99</v>
      </c>
      <c r="O129" s="17" t="str">
        <f t="shared" si="11"/>
        <v>Completed</v>
      </c>
      <c r="P129" s="37" t="str">
        <f t="shared" si="4"/>
        <v>Profit</v>
      </c>
      <c r="Q129" s="38">
        <f t="shared" si="5"/>
        <v>10.75</v>
      </c>
      <c r="R129" s="17" t="b">
        <f t="shared" si="6"/>
        <v>1</v>
      </c>
      <c r="S129" s="17">
        <f t="shared" si="12"/>
        <v>-10.75</v>
      </c>
      <c r="T129" s="22">
        <f t="shared" si="8"/>
        <v>1</v>
      </c>
      <c r="U129" s="23"/>
      <c r="V129" s="13"/>
      <c r="W129" s="13"/>
      <c r="X129" s="13"/>
      <c r="Y129" s="13"/>
      <c r="Z129" s="13"/>
      <c r="AA129" s="24"/>
    </row>
    <row r="130" ht="13.5" hidden="1" customHeight="1">
      <c r="A130" s="13" t="s">
        <v>34</v>
      </c>
      <c r="B130" s="39">
        <v>16.0</v>
      </c>
      <c r="C130" s="22">
        <v>224.518</v>
      </c>
      <c r="D130" s="22">
        <v>31.25</v>
      </c>
      <c r="E130" s="22">
        <v>1.632</v>
      </c>
      <c r="F130" s="34">
        <v>45219.0</v>
      </c>
      <c r="G130" s="33"/>
      <c r="H130" s="34">
        <v>45225.0</v>
      </c>
      <c r="I130" s="33"/>
      <c r="J130" s="40">
        <f t="shared" si="14"/>
        <v>45219</v>
      </c>
      <c r="K130" s="18">
        <f>IFERROR(__xludf.DUMMYFUNCTION("if(isblank(J130),,index(googlefinance(A130,K$2,J130-1),2,2))"),86.04)</f>
        <v>86.04</v>
      </c>
      <c r="L130" s="41">
        <f t="shared" si="2"/>
        <v>45225</v>
      </c>
      <c r="M130" s="19">
        <f>IFERROR(__xludf.DUMMYFUNCTION("if(isblank(L130),, index(googlefinance(A130,M$2,L130-1),2,2))"),84.35)</f>
        <v>84.35</v>
      </c>
      <c r="N130" s="20">
        <f>IFERROR(__xludf.DUMMYFUNCTION("if(isblank(A130),,googlefinance(A130))"),117.05)</f>
        <v>117.05</v>
      </c>
      <c r="O130" s="17" t="str">
        <f t="shared" si="11"/>
        <v>Completed</v>
      </c>
      <c r="P130" s="42" t="str">
        <f t="shared" si="4"/>
        <v>Loss</v>
      </c>
      <c r="Q130" s="43">
        <f t="shared" si="5"/>
        <v>-18.59</v>
      </c>
      <c r="R130" s="17" t="b">
        <f t="shared" si="6"/>
        <v>0</v>
      </c>
      <c r="S130" s="17">
        <f t="shared" si="12"/>
        <v>-1.69</v>
      </c>
      <c r="T130" s="22">
        <f t="shared" si="8"/>
        <v>11</v>
      </c>
      <c r="U130" s="23"/>
      <c r="V130" s="13"/>
      <c r="W130" s="13"/>
      <c r="X130" s="13"/>
      <c r="Y130" s="13"/>
      <c r="Z130" s="13"/>
      <c r="AA130" s="24"/>
    </row>
    <row r="131" ht="13.5" hidden="1" customHeight="1">
      <c r="A131" s="13" t="s">
        <v>140</v>
      </c>
      <c r="B131" s="39">
        <v>8.0</v>
      </c>
      <c r="C131" s="22">
        <v>123.473</v>
      </c>
      <c r="D131" s="22">
        <v>50.0</v>
      </c>
      <c r="E131" s="22">
        <v>2.554</v>
      </c>
      <c r="F131" s="33"/>
      <c r="G131" s="34">
        <v>45219.0</v>
      </c>
      <c r="H131" s="33"/>
      <c r="I131" s="34">
        <v>45223.0</v>
      </c>
      <c r="J131" s="35">
        <f t="shared" si="14"/>
        <v>45219</v>
      </c>
      <c r="K131" s="18">
        <f>IFERROR(__xludf.DUMMYFUNCTION("if(isblank(J131),,index(googlefinance(A131,K$2,J131-1),2,2))"),138.98)</f>
        <v>138.98</v>
      </c>
      <c r="L131" s="36">
        <f t="shared" si="2"/>
        <v>45223</v>
      </c>
      <c r="M131" s="19">
        <f>IFERROR(__xludf.DUMMYFUNCTION("if(isblank(L131),, index(googlefinance(A131,M$2,L131-1),2,2))"),137.9)</f>
        <v>137.9</v>
      </c>
      <c r="N131" s="20">
        <f>IFERROR(__xludf.DUMMYFUNCTION("if(isblank(A131),,googlefinance(A131))"),141.76)</f>
        <v>141.76</v>
      </c>
      <c r="O131" s="17" t="str">
        <f t="shared" si="11"/>
        <v>Completed</v>
      </c>
      <c r="P131" s="37" t="str">
        <f t="shared" si="4"/>
        <v>Profit</v>
      </c>
      <c r="Q131" s="38">
        <f t="shared" si="5"/>
        <v>7.56</v>
      </c>
      <c r="R131" s="17" t="b">
        <f t="shared" si="6"/>
        <v>1</v>
      </c>
      <c r="S131" s="17">
        <f t="shared" si="12"/>
        <v>-1.08</v>
      </c>
      <c r="T131" s="22">
        <f t="shared" si="8"/>
        <v>7</v>
      </c>
      <c r="U131" s="23"/>
      <c r="V131" s="13"/>
      <c r="W131" s="13"/>
      <c r="X131" s="13"/>
      <c r="Y131" s="13"/>
      <c r="Z131" s="13"/>
      <c r="AA131" s="24"/>
    </row>
    <row r="132" ht="13.5" hidden="1" customHeight="1">
      <c r="A132" s="13" t="s">
        <v>85</v>
      </c>
      <c r="B132" s="39">
        <v>10.0</v>
      </c>
      <c r="C132" s="22">
        <v>783.86</v>
      </c>
      <c r="D132" s="22">
        <v>80.0</v>
      </c>
      <c r="E132" s="22">
        <v>18.388</v>
      </c>
      <c r="F132" s="33"/>
      <c r="G132" s="34">
        <v>45219.0</v>
      </c>
      <c r="H132" s="33"/>
      <c r="I132" s="34">
        <v>45231.0</v>
      </c>
      <c r="J132" s="35">
        <f t="shared" si="14"/>
        <v>45219</v>
      </c>
      <c r="K132" s="18">
        <f>IFERROR(__xludf.DUMMYFUNCTION("if(isblank(J132),,index(googlefinance(A132,K$2,J132-1),2,2))"),253.13)</f>
        <v>253.13</v>
      </c>
      <c r="L132" s="36">
        <f t="shared" si="2"/>
        <v>45231</v>
      </c>
      <c r="M132" s="19">
        <f>IFERROR(__xludf.DUMMYFUNCTION("if(isblank(L132),, index(googlefinance(A132,M$2,L132-1),2,2))"),243.02)</f>
        <v>243.02</v>
      </c>
      <c r="N132" s="20">
        <f>IFERROR(__xludf.DUMMYFUNCTION("if(isblank(A132),,googlefinance(A132))"),366.41)</f>
        <v>366.41</v>
      </c>
      <c r="O132" s="17" t="str">
        <f t="shared" si="11"/>
        <v>Completed</v>
      </c>
      <c r="P132" s="37" t="str">
        <f t="shared" si="4"/>
        <v>Profit</v>
      </c>
      <c r="Q132" s="38">
        <f t="shared" si="5"/>
        <v>30.33</v>
      </c>
      <c r="R132" s="17" t="b">
        <f t="shared" si="6"/>
        <v>1</v>
      </c>
      <c r="S132" s="17">
        <f t="shared" si="12"/>
        <v>-10.11</v>
      </c>
      <c r="T132" s="22">
        <f t="shared" si="8"/>
        <v>3</v>
      </c>
      <c r="U132" s="23"/>
      <c r="V132" s="13"/>
      <c r="W132" s="13"/>
      <c r="X132" s="13"/>
      <c r="Y132" s="13"/>
      <c r="Z132" s="13"/>
      <c r="AA132" s="24"/>
    </row>
    <row r="133" ht="13.5" hidden="1" customHeight="1">
      <c r="A133" s="13" t="s">
        <v>141</v>
      </c>
      <c r="B133" s="39">
        <v>12.0</v>
      </c>
      <c r="C133" s="22">
        <v>39.59</v>
      </c>
      <c r="D133" s="22">
        <v>41.667</v>
      </c>
      <c r="E133" s="22">
        <v>1.449</v>
      </c>
      <c r="F133" s="33"/>
      <c r="G133" s="34">
        <v>45219.0</v>
      </c>
      <c r="H133" s="33"/>
      <c r="I133" s="34">
        <v>45223.0</v>
      </c>
      <c r="J133" s="35">
        <f t="shared" si="14"/>
        <v>45219</v>
      </c>
      <c r="K133" s="18">
        <f>IFERROR(__xludf.DUMMYFUNCTION("if(isblank(J133),,index(googlefinance(A133,K$2,J133-1),2,2))"),364.8)</f>
        <v>364.8</v>
      </c>
      <c r="L133" s="36">
        <f t="shared" si="2"/>
        <v>45223</v>
      </c>
      <c r="M133" s="19">
        <f>IFERROR(__xludf.DUMMYFUNCTION("if(isblank(L133),, index(googlefinance(A133,M$2,L133-1),2,2))"),367.66)</f>
        <v>367.66</v>
      </c>
      <c r="N133" s="20">
        <f>IFERROR(__xludf.DUMMYFUNCTION("if(isblank(A133),,googlefinance(A133))"),422.2)</f>
        <v>422.2</v>
      </c>
      <c r="O133" s="17" t="str">
        <f t="shared" si="11"/>
        <v>Completed</v>
      </c>
      <c r="P133" s="42" t="str">
        <f t="shared" si="4"/>
        <v>Loss</v>
      </c>
      <c r="Q133" s="43">
        <f t="shared" si="5"/>
        <v>-5.72</v>
      </c>
      <c r="R133" s="17" t="b">
        <f t="shared" si="6"/>
        <v>0</v>
      </c>
      <c r="S133" s="17">
        <f t="shared" si="12"/>
        <v>2.86</v>
      </c>
      <c r="T133" s="22">
        <f t="shared" si="8"/>
        <v>2</v>
      </c>
      <c r="U133" s="23"/>
      <c r="V133" s="13"/>
      <c r="W133" s="13"/>
      <c r="X133" s="13"/>
      <c r="Y133" s="13"/>
      <c r="Z133" s="13"/>
      <c r="AA133" s="24"/>
    </row>
    <row r="134" ht="13.5" hidden="1" customHeight="1">
      <c r="A134" s="13" t="s">
        <v>142</v>
      </c>
      <c r="B134" s="39">
        <v>12.0</v>
      </c>
      <c r="C134" s="22">
        <v>454.59</v>
      </c>
      <c r="D134" s="22">
        <v>41.667</v>
      </c>
      <c r="E134" s="22">
        <v>2.305</v>
      </c>
      <c r="F134" s="33"/>
      <c r="G134" s="34">
        <v>45219.0</v>
      </c>
      <c r="H134" s="33"/>
      <c r="I134" s="34">
        <v>45233.0</v>
      </c>
      <c r="J134" s="35">
        <f t="shared" si="14"/>
        <v>45219</v>
      </c>
      <c r="K134" s="18">
        <f>IFERROR(__xludf.DUMMYFUNCTION("if(isblank(J134),,index(googlefinance(A134,K$2,J134-1),2,2))"),169.07)</f>
        <v>169.07</v>
      </c>
      <c r="L134" s="36">
        <f t="shared" si="2"/>
        <v>45233</v>
      </c>
      <c r="M134" s="19">
        <f>IFERROR(__xludf.DUMMYFUNCTION("if(isblank(L134),, index(googlefinance(A134,M$2,L134-1),2,2))"),159.19)</f>
        <v>159.19</v>
      </c>
      <c r="N134" s="20">
        <f>IFERROR(__xludf.DUMMYFUNCTION("if(isblank(A134),,googlefinance(A134))"),252.75)</f>
        <v>252.75</v>
      </c>
      <c r="O134" s="17" t="str">
        <f t="shared" si="11"/>
        <v>Completed</v>
      </c>
      <c r="P134" s="37" t="str">
        <f t="shared" si="4"/>
        <v>Profit</v>
      </c>
      <c r="Q134" s="38">
        <f t="shared" si="5"/>
        <v>49.4</v>
      </c>
      <c r="R134" s="17" t="b">
        <f t="shared" si="6"/>
        <v>1</v>
      </c>
      <c r="S134" s="17">
        <f t="shared" si="12"/>
        <v>-9.88</v>
      </c>
      <c r="T134" s="22">
        <f t="shared" si="8"/>
        <v>5</v>
      </c>
      <c r="U134" s="23"/>
      <c r="V134" s="13"/>
      <c r="W134" s="13"/>
      <c r="X134" s="13"/>
      <c r="Y134" s="13"/>
      <c r="Z134" s="13"/>
      <c r="AA134" s="24"/>
    </row>
    <row r="135" ht="13.5" hidden="1" customHeight="1">
      <c r="A135" s="13" t="s">
        <v>110</v>
      </c>
      <c r="B135" s="39">
        <v>12.0</v>
      </c>
      <c r="C135" s="22">
        <v>60.17</v>
      </c>
      <c r="D135" s="22">
        <v>25.0</v>
      </c>
      <c r="E135" s="22">
        <v>1.145</v>
      </c>
      <c r="F135" s="33"/>
      <c r="G135" s="34">
        <v>45221.0</v>
      </c>
      <c r="H135" s="33"/>
      <c r="I135" s="34">
        <v>45231.0</v>
      </c>
      <c r="J135" s="35">
        <f t="shared" si="14"/>
        <v>45221</v>
      </c>
      <c r="K135" s="18">
        <f>IFERROR(__xludf.DUMMYFUNCTION("if(isblank(J135),,index(googlefinance(A135,K$2,J135-1),2,2))"),179.08)</f>
        <v>179.08</v>
      </c>
      <c r="L135" s="36">
        <f t="shared" si="2"/>
        <v>45231</v>
      </c>
      <c r="M135" s="19">
        <f>IFERROR(__xludf.DUMMYFUNCTION("if(isblank(L135),, index(googlefinance(A135,M$2,L135-1),2,2))"),176.77)</f>
        <v>176.77</v>
      </c>
      <c r="N135" s="20">
        <f>IFERROR(__xludf.DUMMYFUNCTION("if(isblank(A135),,googlefinance(A135))"),329.24)</f>
        <v>329.24</v>
      </c>
      <c r="O135" s="17" t="str">
        <f t="shared" si="11"/>
        <v>Completed</v>
      </c>
      <c r="P135" s="37" t="str">
        <f t="shared" si="4"/>
        <v>Profit</v>
      </c>
      <c r="Q135" s="38">
        <f t="shared" si="5"/>
        <v>11.55</v>
      </c>
      <c r="R135" s="17" t="b">
        <f t="shared" si="6"/>
        <v>1</v>
      </c>
      <c r="S135" s="17">
        <f t="shared" si="12"/>
        <v>-2.31</v>
      </c>
      <c r="T135" s="22">
        <f t="shared" si="8"/>
        <v>5</v>
      </c>
      <c r="U135" s="23"/>
      <c r="V135" s="13"/>
      <c r="W135" s="13"/>
      <c r="X135" s="13"/>
      <c r="Y135" s="13"/>
      <c r="Z135" s="13"/>
      <c r="AA135" s="24"/>
    </row>
    <row r="136" ht="13.5" hidden="1" customHeight="1">
      <c r="A136" s="13" t="s">
        <v>59</v>
      </c>
      <c r="B136" s="39">
        <v>8.0</v>
      </c>
      <c r="C136" s="22">
        <v>111.8</v>
      </c>
      <c r="D136" s="22">
        <v>50.0</v>
      </c>
      <c r="E136" s="22">
        <v>2.006</v>
      </c>
      <c r="F136" s="33"/>
      <c r="G136" s="34">
        <v>45221.0</v>
      </c>
      <c r="H136" s="33"/>
      <c r="I136" s="34">
        <v>45232.0</v>
      </c>
      <c r="J136" s="35">
        <f t="shared" si="14"/>
        <v>45221</v>
      </c>
      <c r="K136" s="18">
        <f>IFERROR(__xludf.DUMMYFUNCTION("if(isblank(J136),,index(googlefinance(A136,K$2,J136-1),2,2))"),273.06)</f>
        <v>273.06</v>
      </c>
      <c r="L136" s="36">
        <f t="shared" si="2"/>
        <v>45232</v>
      </c>
      <c r="M136" s="19">
        <f>IFERROR(__xludf.DUMMYFUNCTION("if(isblank(L136),, index(googlefinance(A136,M$2,L136-1),2,2))"),260.84)</f>
        <v>260.84</v>
      </c>
      <c r="N136" s="20">
        <f>IFERROR(__xludf.DUMMYFUNCTION("if(isblank(A136),,googlefinance(A136))"),283.7)</f>
        <v>283.7</v>
      </c>
      <c r="O136" s="17" t="str">
        <f t="shared" si="11"/>
        <v>Completed</v>
      </c>
      <c r="P136" s="37" t="str">
        <f t="shared" si="4"/>
        <v>Profit</v>
      </c>
      <c r="Q136" s="38">
        <f t="shared" si="5"/>
        <v>36.66</v>
      </c>
      <c r="R136" s="17" t="b">
        <f t="shared" si="6"/>
        <v>1</v>
      </c>
      <c r="S136" s="17">
        <f t="shared" si="12"/>
        <v>-12.22</v>
      </c>
      <c r="T136" s="22">
        <f t="shared" si="8"/>
        <v>3</v>
      </c>
      <c r="U136" s="23"/>
      <c r="V136" s="13"/>
      <c r="W136" s="13"/>
      <c r="X136" s="13"/>
      <c r="Y136" s="13"/>
      <c r="Z136" s="13"/>
      <c r="AA136" s="24"/>
    </row>
    <row r="137" ht="13.5" hidden="1" customHeight="1">
      <c r="A137" s="13" t="s">
        <v>98</v>
      </c>
      <c r="B137" s="39">
        <v>11.0</v>
      </c>
      <c r="C137" s="22">
        <v>213.94</v>
      </c>
      <c r="D137" s="22">
        <v>36.364</v>
      </c>
      <c r="E137" s="22">
        <v>2.429</v>
      </c>
      <c r="F137" s="33"/>
      <c r="G137" s="34">
        <v>45221.0</v>
      </c>
      <c r="H137" s="33"/>
      <c r="I137" s="34">
        <v>45232.0</v>
      </c>
      <c r="J137" s="35">
        <f t="shared" si="14"/>
        <v>45221</v>
      </c>
      <c r="K137" s="18">
        <f>IFERROR(__xludf.DUMMYFUNCTION("if(isblank(J137),,index(googlefinance(A137,K$2,J137-1),2,2))"),344.64)</f>
        <v>344.64</v>
      </c>
      <c r="L137" s="36">
        <f t="shared" si="2"/>
        <v>45232</v>
      </c>
      <c r="M137" s="19">
        <f>IFERROR(__xludf.DUMMYFUNCTION("if(isblank(L137),, index(googlefinance(A137,M$2,L137-1),2,2))"),336.83)</f>
        <v>336.83</v>
      </c>
      <c r="N137" s="20">
        <f>IFERROR(__xludf.DUMMYFUNCTION("if(isblank(A137),,googlefinance(A137))"),401.72)</f>
        <v>401.72</v>
      </c>
      <c r="O137" s="17" t="str">
        <f t="shared" si="11"/>
        <v>Completed</v>
      </c>
      <c r="P137" s="37" t="str">
        <f t="shared" si="4"/>
        <v>Profit</v>
      </c>
      <c r="Q137" s="38">
        <f t="shared" si="5"/>
        <v>15.62</v>
      </c>
      <c r="R137" s="17" t="b">
        <f t="shared" si="6"/>
        <v>1</v>
      </c>
      <c r="S137" s="17">
        <f t="shared" si="12"/>
        <v>-7.81</v>
      </c>
      <c r="T137" s="22">
        <f t="shared" si="8"/>
        <v>2</v>
      </c>
      <c r="U137" s="23"/>
      <c r="V137" s="13"/>
      <c r="W137" s="13"/>
      <c r="X137" s="13"/>
      <c r="Y137" s="13"/>
      <c r="Z137" s="13"/>
      <c r="AA137" s="24"/>
    </row>
    <row r="138" ht="13.5" hidden="1" customHeight="1">
      <c r="A138" s="13" t="s">
        <v>143</v>
      </c>
      <c r="B138" s="39">
        <v>6.0</v>
      </c>
      <c r="C138" s="22">
        <v>8.34</v>
      </c>
      <c r="D138" s="22">
        <v>33.333</v>
      </c>
      <c r="E138" s="22">
        <v>1.085</v>
      </c>
      <c r="F138" s="33"/>
      <c r="G138" s="34">
        <v>45222.0</v>
      </c>
      <c r="H138" s="33"/>
      <c r="I138" s="34">
        <v>45230.0</v>
      </c>
      <c r="J138" s="35">
        <f t="shared" si="14"/>
        <v>45222</v>
      </c>
      <c r="K138" s="18">
        <f>IFERROR(__xludf.DUMMYFUNCTION("if(isblank(J138),,index(googlefinance(A138,K$2,J138-1),2,2))"),521.57)</f>
        <v>521.57</v>
      </c>
      <c r="L138" s="36">
        <f t="shared" si="2"/>
        <v>45230</v>
      </c>
      <c r="M138" s="19">
        <f>IFERROR(__xludf.DUMMYFUNCTION("if(isblank(L138),, index(googlefinance(A138,M$2,L138-1),2,2))"),529.99)</f>
        <v>529.99</v>
      </c>
      <c r="N138" s="20">
        <f>IFERROR(__xludf.DUMMYFUNCTION("if(isblank(A138),,googlefinance(A138))"),521.55)</f>
        <v>521.55</v>
      </c>
      <c r="O138" s="17" t="str">
        <f t="shared" si="11"/>
        <v>Completed</v>
      </c>
      <c r="P138" s="42" t="str">
        <f t="shared" si="4"/>
        <v>Loss</v>
      </c>
      <c r="Q138" s="43">
        <f t="shared" si="5"/>
        <v>-8.42</v>
      </c>
      <c r="R138" s="17" t="b">
        <f t="shared" si="6"/>
        <v>0</v>
      </c>
      <c r="S138" s="17">
        <f t="shared" si="12"/>
        <v>8.42</v>
      </c>
      <c r="T138" s="22">
        <f t="shared" si="8"/>
        <v>1</v>
      </c>
      <c r="U138" s="23"/>
      <c r="V138" s="13"/>
      <c r="W138" s="13"/>
      <c r="X138" s="13"/>
      <c r="Y138" s="13"/>
      <c r="Z138" s="13"/>
      <c r="AA138" s="24"/>
    </row>
    <row r="139" ht="13.5" hidden="1" customHeight="1">
      <c r="A139" s="13" t="s">
        <v>144</v>
      </c>
      <c r="B139" s="39">
        <v>11.0</v>
      </c>
      <c r="C139" s="22">
        <v>44.63</v>
      </c>
      <c r="D139" s="22">
        <v>36.364</v>
      </c>
      <c r="E139" s="22">
        <v>1.203</v>
      </c>
      <c r="F139" s="33"/>
      <c r="G139" s="34">
        <v>45223.0</v>
      </c>
      <c r="H139" s="33"/>
      <c r="I139" s="34">
        <v>45236.0</v>
      </c>
      <c r="J139" s="35">
        <f t="shared" si="14"/>
        <v>45223</v>
      </c>
      <c r="K139" s="18">
        <f>IFERROR(__xludf.DUMMYFUNCTION("if(isblank(J139),,index(googlefinance(A139,K$2,J139-1),2,2))"),70.86)</f>
        <v>70.86</v>
      </c>
      <c r="L139" s="36">
        <f t="shared" si="2"/>
        <v>45236</v>
      </c>
      <c r="M139" s="19">
        <f>IFERROR(__xludf.DUMMYFUNCTION("if(isblank(L139),, index(googlefinance(A139,M$2,L139-1),2,2))"),71.84)</f>
        <v>71.84</v>
      </c>
      <c r="N139" s="20">
        <f>IFERROR(__xludf.DUMMYFUNCTION("if(isblank(A139),,googlefinance(A139))"),78.74)</f>
        <v>78.74</v>
      </c>
      <c r="O139" s="17" t="str">
        <f t="shared" si="11"/>
        <v>Completed</v>
      </c>
      <c r="P139" s="42" t="str">
        <f t="shared" si="4"/>
        <v>Loss</v>
      </c>
      <c r="Q139" s="43">
        <f t="shared" si="5"/>
        <v>-13.72</v>
      </c>
      <c r="R139" s="17" t="b">
        <f t="shared" si="6"/>
        <v>0</v>
      </c>
      <c r="S139" s="17">
        <f t="shared" si="12"/>
        <v>0.98</v>
      </c>
      <c r="T139" s="22">
        <f t="shared" si="8"/>
        <v>14</v>
      </c>
      <c r="U139" s="23"/>
      <c r="V139" s="13"/>
      <c r="W139" s="13"/>
      <c r="X139" s="13"/>
      <c r="Y139" s="13"/>
      <c r="Z139" s="13"/>
      <c r="AA139" s="24"/>
    </row>
    <row r="140" ht="13.5" hidden="1" customHeight="1">
      <c r="A140" s="13" t="s">
        <v>145</v>
      </c>
      <c r="B140" s="39">
        <v>10.0</v>
      </c>
      <c r="C140" s="22">
        <v>113.242</v>
      </c>
      <c r="D140" s="22">
        <v>40.0</v>
      </c>
      <c r="E140" s="22">
        <v>2.674</v>
      </c>
      <c r="F140" s="34">
        <v>45229.0</v>
      </c>
      <c r="G140" s="33"/>
      <c r="H140" s="34">
        <v>45259.0</v>
      </c>
      <c r="I140" s="33"/>
      <c r="J140" s="40">
        <f t="shared" si="14"/>
        <v>45229</v>
      </c>
      <c r="K140" s="18">
        <f>IFERROR(__xludf.DUMMYFUNCTION("if(isblank(J140),,index(googlefinance(A140,K$2,J140-1),2,2))"),142.63)</f>
        <v>142.63</v>
      </c>
      <c r="L140" s="41">
        <f t="shared" si="2"/>
        <v>45259</v>
      </c>
      <c r="M140" s="19">
        <f>IFERROR(__xludf.DUMMYFUNCTION("if(isblank(L140),, index(googlefinance(A140,M$2,L140-1),2,2))"),155.65)</f>
        <v>155.65</v>
      </c>
      <c r="N140" s="20">
        <f>IFERROR(__xludf.DUMMYFUNCTION("if(isblank(A140),,googlefinance(A140))"),187.64)</f>
        <v>187.64</v>
      </c>
      <c r="O140" s="17" t="str">
        <f t="shared" si="11"/>
        <v>Completed</v>
      </c>
      <c r="P140" s="37" t="str">
        <f t="shared" si="4"/>
        <v>Profit</v>
      </c>
      <c r="Q140" s="38">
        <f t="shared" si="5"/>
        <v>91.14</v>
      </c>
      <c r="R140" s="17" t="b">
        <f t="shared" si="6"/>
        <v>1</v>
      </c>
      <c r="S140" s="17">
        <f t="shared" si="12"/>
        <v>13.02</v>
      </c>
      <c r="T140" s="22">
        <f t="shared" si="8"/>
        <v>7</v>
      </c>
      <c r="U140" s="23"/>
      <c r="V140" s="13"/>
      <c r="W140" s="13"/>
      <c r="X140" s="13"/>
      <c r="Y140" s="13"/>
      <c r="Z140" s="13"/>
      <c r="AA140" s="24"/>
    </row>
    <row r="141" ht="13.5" hidden="1" customHeight="1">
      <c r="A141" s="13" t="s">
        <v>107</v>
      </c>
      <c r="B141" s="39">
        <v>10.0</v>
      </c>
      <c r="C141" s="22">
        <v>178.26</v>
      </c>
      <c r="D141" s="22">
        <v>40.0</v>
      </c>
      <c r="E141" s="22">
        <v>1.979</v>
      </c>
      <c r="F141" s="34">
        <v>45229.0</v>
      </c>
      <c r="G141" s="33"/>
      <c r="H141" s="34">
        <v>45251.0</v>
      </c>
      <c r="I141" s="33"/>
      <c r="J141" s="40">
        <f t="shared" si="14"/>
        <v>45229</v>
      </c>
      <c r="K141" s="18">
        <f>IFERROR(__xludf.DUMMYFUNCTION("if(isblank(J141),,index(googlefinance(A141,K$2,J141-1),2,2))"),35.69)</f>
        <v>35.69</v>
      </c>
      <c r="L141" s="41">
        <f t="shared" si="2"/>
        <v>45251</v>
      </c>
      <c r="M141" s="19">
        <f>IFERROR(__xludf.DUMMYFUNCTION("if(isblank(L141),, index(googlefinance(A141,M$2,L141-1),2,2))"),44.74)</f>
        <v>44.74</v>
      </c>
      <c r="N141" s="20">
        <f>IFERROR(__xludf.DUMMYFUNCTION("if(isblank(A141),,googlefinance(A141))"),43.51)</f>
        <v>43.51</v>
      </c>
      <c r="O141" s="17" t="str">
        <f t="shared" si="11"/>
        <v>Completed</v>
      </c>
      <c r="P141" s="37" t="str">
        <f t="shared" si="4"/>
        <v>Profit</v>
      </c>
      <c r="Q141" s="38">
        <f t="shared" si="5"/>
        <v>253.4</v>
      </c>
      <c r="R141" s="17" t="b">
        <f t="shared" si="6"/>
        <v>1</v>
      </c>
      <c r="S141" s="17">
        <f t="shared" si="12"/>
        <v>9.05</v>
      </c>
      <c r="T141" s="22">
        <f t="shared" si="8"/>
        <v>28</v>
      </c>
      <c r="U141" s="23"/>
      <c r="V141" s="13"/>
      <c r="W141" s="13"/>
      <c r="X141" s="13"/>
      <c r="Y141" s="13"/>
      <c r="Z141" s="13"/>
      <c r="AA141" s="24"/>
    </row>
    <row r="142" ht="13.5" hidden="1" customHeight="1">
      <c r="A142" s="13" t="s">
        <v>92</v>
      </c>
      <c r="B142" s="39">
        <v>11.0</v>
      </c>
      <c r="C142" s="22">
        <v>43.35</v>
      </c>
      <c r="D142" s="22">
        <v>36.364</v>
      </c>
      <c r="E142" s="22">
        <v>1.335</v>
      </c>
      <c r="F142" s="33"/>
      <c r="G142" s="34">
        <v>45228.0</v>
      </c>
      <c r="H142" s="33"/>
      <c r="I142" s="34">
        <v>45229.0</v>
      </c>
      <c r="J142" s="35">
        <f t="shared" si="14"/>
        <v>45228</v>
      </c>
      <c r="K142" s="18">
        <f>IFERROR(__xludf.DUMMYFUNCTION("if(isblank(J142),,index(googlefinance(A142,K$2,J142-1),2,2))"),101.8)</f>
        <v>101.8</v>
      </c>
      <c r="L142" s="36">
        <f t="shared" si="2"/>
        <v>45229</v>
      </c>
      <c r="M142" s="19">
        <f>IFERROR(__xludf.DUMMYFUNCTION("if(isblank(L142),, index(googlefinance(A142,M$2,L142-1),2,2))"),101.8)</f>
        <v>101.8</v>
      </c>
      <c r="N142" s="20">
        <f>IFERROR(__xludf.DUMMYFUNCTION("if(isblank(A142),,googlefinance(A142))"),103.51)</f>
        <v>103.51</v>
      </c>
      <c r="O142" s="17" t="str">
        <f t="shared" si="11"/>
        <v>Completed</v>
      </c>
      <c r="P142" s="42" t="str">
        <f t="shared" si="4"/>
        <v>Loss</v>
      </c>
      <c r="Q142" s="21">
        <f t="shared" si="5"/>
        <v>0</v>
      </c>
      <c r="R142" s="17" t="b">
        <f t="shared" si="6"/>
        <v>0</v>
      </c>
      <c r="S142" s="17">
        <f t="shared" si="12"/>
        <v>0</v>
      </c>
      <c r="T142" s="22">
        <f t="shared" si="8"/>
        <v>9</v>
      </c>
      <c r="U142" s="23"/>
      <c r="V142" s="13"/>
      <c r="W142" s="13"/>
      <c r="X142" s="13"/>
      <c r="Y142" s="13"/>
      <c r="Z142" s="13"/>
      <c r="AA142" s="24"/>
    </row>
    <row r="143" ht="13.5" hidden="1" customHeight="1">
      <c r="A143" s="13" t="s">
        <v>52</v>
      </c>
      <c r="B143" s="39">
        <v>13.0</v>
      </c>
      <c r="C143" s="22">
        <v>247.07</v>
      </c>
      <c r="D143" s="22">
        <v>53.846</v>
      </c>
      <c r="E143" s="22">
        <v>3.253</v>
      </c>
      <c r="F143" s="34">
        <v>45229.0</v>
      </c>
      <c r="G143" s="33"/>
      <c r="H143" s="34">
        <v>45264.0</v>
      </c>
      <c r="I143" s="33"/>
      <c r="J143" s="40">
        <f t="shared" si="14"/>
        <v>45229</v>
      </c>
      <c r="K143" s="18">
        <f>IFERROR(__xludf.DUMMYFUNCTION("if(isblank(J143),,index(googlefinance(A143,K$2,J143-1),2,2))"),75.19)</f>
        <v>75.19</v>
      </c>
      <c r="L143" s="41">
        <f t="shared" si="2"/>
        <v>45264</v>
      </c>
      <c r="M143" s="19">
        <f>IFERROR(__xludf.DUMMYFUNCTION("if(isblank(L143),, index(googlefinance(A143,M$2,L143-1),2,2))"),84.88)</f>
        <v>84.88</v>
      </c>
      <c r="N143" s="20">
        <f>IFERROR(__xludf.DUMMYFUNCTION("if(isblank(A143),,googlefinance(A143))"),85.19)</f>
        <v>85.19</v>
      </c>
      <c r="O143" s="17" t="str">
        <f t="shared" si="11"/>
        <v>Completed</v>
      </c>
      <c r="P143" s="37" t="str">
        <f t="shared" si="4"/>
        <v>Profit</v>
      </c>
      <c r="Q143" s="38">
        <f t="shared" si="5"/>
        <v>125.97</v>
      </c>
      <c r="R143" s="17" t="b">
        <f t="shared" si="6"/>
        <v>1</v>
      </c>
      <c r="S143" s="17">
        <f t="shared" si="12"/>
        <v>9.69</v>
      </c>
      <c r="T143" s="22">
        <f t="shared" si="8"/>
        <v>13</v>
      </c>
      <c r="U143" s="23"/>
      <c r="V143" s="13"/>
      <c r="W143" s="13"/>
      <c r="X143" s="13"/>
      <c r="Y143" s="13"/>
      <c r="Z143" s="13"/>
      <c r="AA143" s="24"/>
    </row>
    <row r="144" ht="13.5" hidden="1" customHeight="1">
      <c r="A144" s="13" t="s">
        <v>146</v>
      </c>
      <c r="B144" s="39">
        <v>9.0</v>
      </c>
      <c r="C144" s="22">
        <v>54.99</v>
      </c>
      <c r="D144" s="22">
        <v>33.333</v>
      </c>
      <c r="E144" s="22">
        <v>1.219</v>
      </c>
      <c r="F144" s="34">
        <v>45229.0</v>
      </c>
      <c r="G144" s="33"/>
      <c r="H144" s="34">
        <v>45264.0</v>
      </c>
      <c r="I144" s="33"/>
      <c r="J144" s="40">
        <f t="shared" si="14"/>
        <v>45229</v>
      </c>
      <c r="K144" s="18">
        <f>IFERROR(__xludf.DUMMYFUNCTION("if(isblank(J144),,index(googlefinance(A144,K$2,J144-1),2,2))"),148.95)</f>
        <v>148.95</v>
      </c>
      <c r="L144" s="41">
        <f t="shared" si="2"/>
        <v>45264</v>
      </c>
      <c r="M144" s="19">
        <f>IFERROR(__xludf.DUMMYFUNCTION("if(isblank(L144),, index(googlefinance(A144,M$2,L144-1),2,2))"),167.4)</f>
        <v>167.4</v>
      </c>
      <c r="N144" s="20">
        <f>IFERROR(__xludf.DUMMYFUNCTION("if(isblank(A144),,googlefinance(A144))"),185.58)</f>
        <v>185.58</v>
      </c>
      <c r="O144" s="17" t="str">
        <f t="shared" si="11"/>
        <v>Completed</v>
      </c>
      <c r="P144" s="37" t="str">
        <f t="shared" si="4"/>
        <v>Profit</v>
      </c>
      <c r="Q144" s="38">
        <f t="shared" si="5"/>
        <v>110.7</v>
      </c>
      <c r="R144" s="17" t="b">
        <f t="shared" si="6"/>
        <v>1</v>
      </c>
      <c r="S144" s="17">
        <f t="shared" si="12"/>
        <v>18.45</v>
      </c>
      <c r="T144" s="22">
        <f t="shared" si="8"/>
        <v>6</v>
      </c>
      <c r="U144" s="23"/>
      <c r="V144" s="13"/>
      <c r="W144" s="13"/>
      <c r="X144" s="13"/>
      <c r="Y144" s="13"/>
      <c r="Z144" s="13"/>
      <c r="AA144" s="24"/>
    </row>
    <row r="145" ht="13.5" hidden="1" customHeight="1">
      <c r="A145" s="13" t="s">
        <v>112</v>
      </c>
      <c r="B145" s="39">
        <v>9.0</v>
      </c>
      <c r="C145" s="22">
        <v>33.68</v>
      </c>
      <c r="D145" s="22">
        <v>55.556</v>
      </c>
      <c r="E145" s="22">
        <v>1.336</v>
      </c>
      <c r="F145" s="34">
        <v>45230.0</v>
      </c>
      <c r="G145" s="33"/>
      <c r="H145" s="34">
        <v>45254.0</v>
      </c>
      <c r="I145" s="33"/>
      <c r="J145" s="40">
        <f t="shared" si="14"/>
        <v>45230</v>
      </c>
      <c r="K145" s="18">
        <f>IFERROR(__xludf.DUMMYFUNCTION("if(isblank(J145),,index(googlefinance(A145,K$2,J145-1),2,2))"),90.68)</f>
        <v>90.68</v>
      </c>
      <c r="L145" s="41">
        <f t="shared" si="2"/>
        <v>45254</v>
      </c>
      <c r="M145" s="19">
        <f>IFERROR(__xludf.DUMMYFUNCTION("if(isblank(L145),, index(googlefinance(A145,M$2,L145-1),2,2))"),95.74)</f>
        <v>95.74</v>
      </c>
      <c r="N145" s="20">
        <f>IFERROR(__xludf.DUMMYFUNCTION("if(isblank(A145),,googlefinance(A145))"),107.28)</f>
        <v>107.28</v>
      </c>
      <c r="O145" s="17" t="str">
        <f t="shared" si="11"/>
        <v>Completed</v>
      </c>
      <c r="P145" s="37" t="str">
        <f t="shared" si="4"/>
        <v>Profit</v>
      </c>
      <c r="Q145" s="38">
        <f t="shared" si="5"/>
        <v>55.66</v>
      </c>
      <c r="R145" s="17" t="b">
        <f t="shared" si="6"/>
        <v>1</v>
      </c>
      <c r="S145" s="17">
        <f t="shared" si="12"/>
        <v>5.06</v>
      </c>
      <c r="T145" s="22">
        <f t="shared" si="8"/>
        <v>11</v>
      </c>
      <c r="U145" s="23"/>
      <c r="V145" s="13"/>
      <c r="W145" s="13"/>
      <c r="X145" s="13"/>
      <c r="Y145" s="13"/>
      <c r="Z145" s="13"/>
      <c r="AA145" s="24"/>
    </row>
    <row r="146" ht="13.5" hidden="1" customHeight="1">
      <c r="A146" s="13" t="s">
        <v>147</v>
      </c>
      <c r="B146" s="39">
        <v>12.0</v>
      </c>
      <c r="C146" s="22">
        <v>37.58</v>
      </c>
      <c r="D146" s="22">
        <v>25.0</v>
      </c>
      <c r="E146" s="22">
        <v>1.139</v>
      </c>
      <c r="F146" s="34">
        <v>45231.0</v>
      </c>
      <c r="G146" s="33"/>
      <c r="H146" s="34">
        <v>45252.0</v>
      </c>
      <c r="I146" s="33"/>
      <c r="J146" s="40">
        <f t="shared" si="14"/>
        <v>45231</v>
      </c>
      <c r="K146" s="18">
        <f>IFERROR(__xludf.DUMMYFUNCTION("if(isblank(J146),,index(googlefinance(A146,K$2,J146-1),2,2))"),197.63)</f>
        <v>197.63</v>
      </c>
      <c r="L146" s="41">
        <f t="shared" si="2"/>
        <v>45252</v>
      </c>
      <c r="M146" s="19">
        <f>IFERROR(__xludf.DUMMYFUNCTION("if(isblank(L146),, index(googlefinance(A146,M$2,L146-1),2,2))"),217.67)</f>
        <v>217.67</v>
      </c>
      <c r="N146" s="20">
        <f>IFERROR(__xludf.DUMMYFUNCTION("if(isblank(A146),,googlefinance(A146))"),258.3)</f>
        <v>258.3</v>
      </c>
      <c r="O146" s="17" t="str">
        <f t="shared" si="11"/>
        <v>Completed</v>
      </c>
      <c r="P146" s="37" t="str">
        <f t="shared" si="4"/>
        <v>Profit</v>
      </c>
      <c r="Q146" s="38">
        <f t="shared" si="5"/>
        <v>100.2</v>
      </c>
      <c r="R146" s="17" t="b">
        <f t="shared" si="6"/>
        <v>1</v>
      </c>
      <c r="S146" s="17">
        <f t="shared" si="12"/>
        <v>20.04</v>
      </c>
      <c r="T146" s="22">
        <f t="shared" si="8"/>
        <v>5</v>
      </c>
      <c r="U146" s="23"/>
      <c r="V146" s="13"/>
      <c r="W146" s="13"/>
      <c r="X146" s="13"/>
      <c r="Y146" s="13"/>
      <c r="Z146" s="13"/>
      <c r="AA146" s="24"/>
    </row>
    <row r="147" ht="13.5" hidden="1" customHeight="1">
      <c r="A147" s="13" t="s">
        <v>65</v>
      </c>
      <c r="B147" s="39">
        <v>14.0</v>
      </c>
      <c r="C147" s="22">
        <v>204.76</v>
      </c>
      <c r="D147" s="22">
        <v>42.857</v>
      </c>
      <c r="E147" s="22">
        <v>1.989</v>
      </c>
      <c r="F147" s="34">
        <v>45231.0</v>
      </c>
      <c r="G147" s="33"/>
      <c r="H147" s="34">
        <v>45265.0</v>
      </c>
      <c r="I147" s="33"/>
      <c r="J147" s="40">
        <f t="shared" si="14"/>
        <v>45231</v>
      </c>
      <c r="K147" s="18">
        <f>IFERROR(__xludf.DUMMYFUNCTION("if(isblank(J147),,index(googlefinance(A147,K$2,J147-1),2,2))"),26.34)</f>
        <v>26.34</v>
      </c>
      <c r="L147" s="41">
        <f t="shared" si="2"/>
        <v>45265</v>
      </c>
      <c r="M147" s="19">
        <f>IFERROR(__xludf.DUMMYFUNCTION("if(isblank(L147),, index(googlefinance(A147,M$2,L147-1),2,2))"),30.82)</f>
        <v>30.82</v>
      </c>
      <c r="N147" s="20">
        <f>IFERROR(__xludf.DUMMYFUNCTION("if(isblank(A147),,googlefinance(A147))"),34.09)</f>
        <v>34.09</v>
      </c>
      <c r="O147" s="17" t="str">
        <f t="shared" si="11"/>
        <v>Completed</v>
      </c>
      <c r="P147" s="37" t="str">
        <f t="shared" si="4"/>
        <v>Profit</v>
      </c>
      <c r="Q147" s="38">
        <f t="shared" si="5"/>
        <v>165.76</v>
      </c>
      <c r="R147" s="17" t="b">
        <f t="shared" si="6"/>
        <v>1</v>
      </c>
      <c r="S147" s="17">
        <f t="shared" si="12"/>
        <v>4.48</v>
      </c>
      <c r="T147" s="22">
        <f t="shared" si="8"/>
        <v>37</v>
      </c>
      <c r="U147" s="23"/>
      <c r="V147" s="13"/>
      <c r="W147" s="13"/>
      <c r="X147" s="13"/>
      <c r="Y147" s="13"/>
      <c r="Z147" s="13"/>
      <c r="AA147" s="24"/>
    </row>
    <row r="148" ht="13.5" hidden="1" customHeight="1">
      <c r="A148" s="13" t="s">
        <v>148</v>
      </c>
      <c r="B148" s="39">
        <v>10.0</v>
      </c>
      <c r="C148" s="22">
        <v>24.89</v>
      </c>
      <c r="D148" s="22">
        <v>10.0</v>
      </c>
      <c r="E148" s="22">
        <v>1.1</v>
      </c>
      <c r="F148" s="34">
        <v>45231.0</v>
      </c>
      <c r="G148" s="33"/>
      <c r="H148" s="34">
        <v>45239.0</v>
      </c>
      <c r="I148" s="33"/>
      <c r="J148" s="40">
        <f t="shared" si="14"/>
        <v>45231</v>
      </c>
      <c r="K148" s="18">
        <f>IFERROR(__xludf.DUMMYFUNCTION("if(isblank(J148),,index(googlefinance(A148,K$2,J148-1),2,2))"),240.1)</f>
        <v>240.1</v>
      </c>
      <c r="L148" s="41">
        <f t="shared" si="2"/>
        <v>45239</v>
      </c>
      <c r="M148" s="19">
        <f>IFERROR(__xludf.DUMMYFUNCTION("if(isblank(L148),, index(googlefinance(A148,M$2,L148-1),2,2))"),245.37)</f>
        <v>245.37</v>
      </c>
      <c r="N148" s="20">
        <f>IFERROR(__xludf.DUMMYFUNCTION("if(isblank(A148),,googlefinance(A148))"),237.59)</f>
        <v>237.59</v>
      </c>
      <c r="O148" s="17" t="str">
        <f t="shared" si="11"/>
        <v>Completed</v>
      </c>
      <c r="P148" s="37" t="str">
        <f t="shared" si="4"/>
        <v>Profit</v>
      </c>
      <c r="Q148" s="38">
        <f t="shared" si="5"/>
        <v>21.08</v>
      </c>
      <c r="R148" s="17" t="b">
        <f t="shared" si="6"/>
        <v>1</v>
      </c>
      <c r="S148" s="17">
        <f t="shared" si="12"/>
        <v>5.27</v>
      </c>
      <c r="T148" s="22">
        <f t="shared" si="8"/>
        <v>4</v>
      </c>
      <c r="U148" s="23"/>
      <c r="V148" s="13"/>
      <c r="W148" s="13"/>
      <c r="X148" s="13"/>
      <c r="Y148" s="13"/>
      <c r="Z148" s="13"/>
      <c r="AA148" s="24"/>
    </row>
    <row r="149" ht="13.5" hidden="1" customHeight="1">
      <c r="A149" s="13" t="s">
        <v>74</v>
      </c>
      <c r="B149" s="39">
        <v>9.0</v>
      </c>
      <c r="C149" s="22">
        <v>48.66</v>
      </c>
      <c r="D149" s="22">
        <v>55.556</v>
      </c>
      <c r="E149" s="22">
        <v>1.488</v>
      </c>
      <c r="F149" s="34">
        <v>45231.0</v>
      </c>
      <c r="G149" s="33"/>
      <c r="H149" s="34">
        <v>45266.0</v>
      </c>
      <c r="I149" s="33"/>
      <c r="J149" s="40">
        <f t="shared" si="14"/>
        <v>45231</v>
      </c>
      <c r="K149" s="18">
        <f>IFERROR(__xludf.DUMMYFUNCTION("if(isblank(J149),,index(googlefinance(A149,K$2,J149-1),2,2))"),65.91)</f>
        <v>65.91</v>
      </c>
      <c r="L149" s="41">
        <f t="shared" si="2"/>
        <v>45266</v>
      </c>
      <c r="M149" s="19">
        <f>IFERROR(__xludf.DUMMYFUNCTION("if(isblank(L149),, index(googlefinance(A149,M$2,L149-1),2,2))"),80.76)</f>
        <v>80.76</v>
      </c>
      <c r="N149" s="20">
        <f>IFERROR(__xludf.DUMMYFUNCTION("if(isblank(A149),,googlefinance(A149))"),79.95)</f>
        <v>79.95</v>
      </c>
      <c r="O149" s="17" t="str">
        <f t="shared" si="11"/>
        <v>Completed</v>
      </c>
      <c r="P149" s="37" t="str">
        <f t="shared" si="4"/>
        <v>Profit</v>
      </c>
      <c r="Q149" s="38">
        <f t="shared" si="5"/>
        <v>222.75</v>
      </c>
      <c r="R149" s="17" t="b">
        <f t="shared" si="6"/>
        <v>1</v>
      </c>
      <c r="S149" s="17">
        <f t="shared" si="12"/>
        <v>14.85</v>
      </c>
      <c r="T149" s="22">
        <f t="shared" si="8"/>
        <v>15</v>
      </c>
      <c r="U149" s="23"/>
      <c r="V149" s="13"/>
      <c r="W149" s="13"/>
      <c r="X149" s="13"/>
      <c r="Y149" s="13"/>
      <c r="Z149" s="13"/>
      <c r="AA149" s="24"/>
    </row>
    <row r="150" ht="13.5" hidden="1" customHeight="1">
      <c r="A150" s="13" t="s">
        <v>149</v>
      </c>
      <c r="B150" s="39">
        <v>8.0</v>
      </c>
      <c r="C150" s="22">
        <v>18.927</v>
      </c>
      <c r="D150" s="22">
        <v>25.0</v>
      </c>
      <c r="E150" s="22">
        <v>1.067</v>
      </c>
      <c r="F150" s="34">
        <v>45231.0</v>
      </c>
      <c r="G150" s="33"/>
      <c r="H150" s="34">
        <v>45252.0</v>
      </c>
      <c r="I150" s="33"/>
      <c r="J150" s="40">
        <f t="shared" si="14"/>
        <v>45231</v>
      </c>
      <c r="K150" s="18">
        <f>IFERROR(__xludf.DUMMYFUNCTION("if(isblank(J150),,index(googlefinance(A150,K$2,J150-1),2,2))"),407.8)</f>
        <v>407.8</v>
      </c>
      <c r="L150" s="41">
        <f t="shared" si="2"/>
        <v>45252</v>
      </c>
      <c r="M150" s="19">
        <f>IFERROR(__xludf.DUMMYFUNCTION("if(isblank(L150),, index(googlefinance(A150,M$2,L150-1),2,2))"),499.44)</f>
        <v>499.44</v>
      </c>
      <c r="N150" s="20">
        <f>IFERROR(__xludf.DUMMYFUNCTION("if(isblank(A150),,googlefinance(A150))"),726.13)</f>
        <v>726.13</v>
      </c>
      <c r="O150" s="17" t="str">
        <f t="shared" si="11"/>
        <v>Completed</v>
      </c>
      <c r="P150" s="37" t="str">
        <f t="shared" si="4"/>
        <v>Profit</v>
      </c>
      <c r="Q150" s="38">
        <f t="shared" si="5"/>
        <v>183.28</v>
      </c>
      <c r="R150" s="17" t="b">
        <f t="shared" si="6"/>
        <v>1</v>
      </c>
      <c r="S150" s="17">
        <f t="shared" si="12"/>
        <v>91.64</v>
      </c>
      <c r="T150" s="22">
        <f t="shared" si="8"/>
        <v>2</v>
      </c>
      <c r="U150" s="23"/>
      <c r="V150" s="13"/>
      <c r="W150" s="13"/>
      <c r="X150" s="13"/>
      <c r="Y150" s="13"/>
      <c r="Z150" s="13"/>
      <c r="AA150" s="24"/>
    </row>
    <row r="151" ht="13.5" hidden="1" customHeight="1">
      <c r="A151" s="13" t="s">
        <v>102</v>
      </c>
      <c r="B151" s="39">
        <v>9.0</v>
      </c>
      <c r="C151" s="22">
        <v>39.09</v>
      </c>
      <c r="D151" s="22">
        <v>33.333</v>
      </c>
      <c r="E151" s="22">
        <v>1.157</v>
      </c>
      <c r="F151" s="34">
        <v>45232.0</v>
      </c>
      <c r="G151" s="33"/>
      <c r="H151" s="34">
        <v>45265.0</v>
      </c>
      <c r="I151" s="33"/>
      <c r="J151" s="40">
        <f t="shared" si="14"/>
        <v>45232</v>
      </c>
      <c r="K151" s="18">
        <f>IFERROR(__xludf.DUMMYFUNCTION("if(isblank(J151),,index(googlefinance(A151,K$2,J151-1),2,2))"),300.64)</f>
        <v>300.64</v>
      </c>
      <c r="L151" s="41">
        <f t="shared" si="2"/>
        <v>45265</v>
      </c>
      <c r="M151" s="19">
        <f>IFERROR(__xludf.DUMMYFUNCTION("if(isblank(L151),, index(googlefinance(A151,M$2,L151-1),2,2))"),336.43)</f>
        <v>336.43</v>
      </c>
      <c r="N151" s="20">
        <f>IFERROR(__xludf.DUMMYFUNCTION("if(isblank(A151),,googlefinance(A151))"),369.48)</f>
        <v>369.48</v>
      </c>
      <c r="O151" s="17" t="str">
        <f t="shared" si="11"/>
        <v>Completed</v>
      </c>
      <c r="P151" s="37" t="str">
        <f t="shared" si="4"/>
        <v>Profit</v>
      </c>
      <c r="Q151" s="38">
        <f t="shared" si="5"/>
        <v>107.37</v>
      </c>
      <c r="R151" s="17" t="b">
        <f t="shared" si="6"/>
        <v>1</v>
      </c>
      <c r="S151" s="17">
        <f t="shared" si="12"/>
        <v>35.79</v>
      </c>
      <c r="T151" s="22">
        <f t="shared" si="8"/>
        <v>3</v>
      </c>
      <c r="U151" s="23"/>
      <c r="V151" s="13"/>
      <c r="W151" s="13"/>
      <c r="X151" s="13"/>
      <c r="Y151" s="13"/>
      <c r="Z151" s="13"/>
      <c r="AA151" s="24"/>
    </row>
    <row r="152" ht="13.5" hidden="1" customHeight="1">
      <c r="A152" s="30" t="s">
        <v>150</v>
      </c>
      <c r="B152" s="31">
        <v>9.0</v>
      </c>
      <c r="C152" s="32">
        <v>578.77</v>
      </c>
      <c r="D152" s="32">
        <v>44.444</v>
      </c>
      <c r="E152" s="46">
        <v>6.458</v>
      </c>
      <c r="F152" s="34">
        <v>45232.0</v>
      </c>
      <c r="G152" s="33"/>
      <c r="H152" s="34">
        <v>45272.0</v>
      </c>
      <c r="I152" s="33"/>
      <c r="J152" s="40">
        <f t="shared" si="14"/>
        <v>45232</v>
      </c>
      <c r="K152" s="18">
        <f>IFERROR(__xludf.DUMMYFUNCTION("if(isblank(J152),,index(googlefinance(A152,K$2,J152-1),2,2))"),189.38)</f>
        <v>189.38</v>
      </c>
      <c r="L152" s="41">
        <f t="shared" si="2"/>
        <v>45272</v>
      </c>
      <c r="M152" s="19">
        <f>IFERROR(__xludf.DUMMYFUNCTION("if(isblank(L152),, index(googlefinance(A152,M$2,L152-1),2,2))"),248.08)</f>
        <v>248.08</v>
      </c>
      <c r="N152" s="20">
        <f>IFERROR(__xludf.DUMMYFUNCTION("if(isblank(A152),,googlefinance(A152))"),203.89)</f>
        <v>203.89</v>
      </c>
      <c r="O152" s="17" t="str">
        <f t="shared" si="11"/>
        <v>Completed</v>
      </c>
      <c r="P152" s="37" t="str">
        <f t="shared" si="4"/>
        <v>Profit</v>
      </c>
      <c r="Q152" s="38">
        <f t="shared" si="5"/>
        <v>293.5</v>
      </c>
      <c r="R152" s="17" t="b">
        <f t="shared" si="6"/>
        <v>1</v>
      </c>
      <c r="S152" s="17">
        <f t="shared" si="12"/>
        <v>58.7</v>
      </c>
      <c r="T152" s="22">
        <f t="shared" si="8"/>
        <v>5</v>
      </c>
      <c r="U152" s="23"/>
      <c r="V152" s="13"/>
      <c r="W152" s="13"/>
      <c r="X152" s="13"/>
      <c r="Y152" s="13"/>
      <c r="Z152" s="13"/>
      <c r="AA152" s="24"/>
    </row>
    <row r="153" ht="13.5" hidden="1" customHeight="1">
      <c r="A153" s="13" t="s">
        <v>96</v>
      </c>
      <c r="B153" s="39">
        <v>13.0</v>
      </c>
      <c r="C153" s="22">
        <v>173.07</v>
      </c>
      <c r="D153" s="22">
        <v>46.154</v>
      </c>
      <c r="E153" s="22">
        <v>1.741</v>
      </c>
      <c r="F153" s="34">
        <v>45232.0</v>
      </c>
      <c r="G153" s="33"/>
      <c r="H153" s="34">
        <v>45237.0</v>
      </c>
      <c r="I153" s="33"/>
      <c r="J153" s="40">
        <f t="shared" si="14"/>
        <v>45232</v>
      </c>
      <c r="K153" s="18">
        <f>IFERROR(__xludf.DUMMYFUNCTION("if(isblank(J153),,index(googlefinance(A153,K$2,J153-1),2,2))"),65.97)</f>
        <v>65.97</v>
      </c>
      <c r="L153" s="41">
        <f t="shared" si="2"/>
        <v>45237</v>
      </c>
      <c r="M153" s="19">
        <f>IFERROR(__xludf.DUMMYFUNCTION("if(isblank(L153),, index(googlefinance(A153,M$2,L153-1),2,2))"),66.96)</f>
        <v>66.96</v>
      </c>
      <c r="N153" s="20">
        <f>IFERROR(__xludf.DUMMYFUNCTION("if(isblank(A153),,googlefinance(A153))"),73.75)</f>
        <v>73.75</v>
      </c>
      <c r="O153" s="17" t="str">
        <f t="shared" si="11"/>
        <v>Completed</v>
      </c>
      <c r="P153" s="37" t="str">
        <f t="shared" si="4"/>
        <v>Profit</v>
      </c>
      <c r="Q153" s="38">
        <f t="shared" si="5"/>
        <v>14.85</v>
      </c>
      <c r="R153" s="17" t="b">
        <f t="shared" si="6"/>
        <v>1</v>
      </c>
      <c r="S153" s="17">
        <f t="shared" si="12"/>
        <v>0.99</v>
      </c>
      <c r="T153" s="22">
        <f t="shared" si="8"/>
        <v>15</v>
      </c>
      <c r="U153" s="23"/>
      <c r="V153" s="13"/>
      <c r="W153" s="13"/>
      <c r="X153" s="13"/>
      <c r="Y153" s="13"/>
      <c r="Z153" s="13"/>
      <c r="AA153" s="24"/>
    </row>
    <row r="154" ht="13.5" hidden="1" customHeight="1">
      <c r="A154" s="13" t="s">
        <v>151</v>
      </c>
      <c r="B154" s="39">
        <v>14.0</v>
      </c>
      <c r="C154" s="22">
        <v>220.57</v>
      </c>
      <c r="D154" s="22">
        <v>57.143</v>
      </c>
      <c r="E154" s="22">
        <v>1.795</v>
      </c>
      <c r="F154" s="34">
        <v>45232.0</v>
      </c>
      <c r="G154" s="33"/>
      <c r="H154" s="34">
        <v>45257.0</v>
      </c>
      <c r="I154" s="33"/>
      <c r="J154" s="40">
        <f t="shared" si="14"/>
        <v>45232</v>
      </c>
      <c r="K154" s="18">
        <f>IFERROR(__xludf.DUMMYFUNCTION("if(isblank(J154),,index(googlefinance(A154,K$2,J154-1),2,2))"),170.53)</f>
        <v>170.53</v>
      </c>
      <c r="L154" s="41">
        <f t="shared" si="2"/>
        <v>45257</v>
      </c>
      <c r="M154" s="19">
        <f>IFERROR(__xludf.DUMMYFUNCTION("if(isblank(L154),, index(googlefinance(A154,M$2,L154-1),2,2))"),187.62)</f>
        <v>187.62</v>
      </c>
      <c r="N154" s="20">
        <f>IFERROR(__xludf.DUMMYFUNCTION("if(isblank(A154),,googlefinance(A154))"),197.92)</f>
        <v>197.92</v>
      </c>
      <c r="O154" s="17" t="str">
        <f t="shared" si="11"/>
        <v>Completed</v>
      </c>
      <c r="P154" s="37" t="str">
        <f t="shared" si="4"/>
        <v>Profit</v>
      </c>
      <c r="Q154" s="38">
        <f t="shared" si="5"/>
        <v>85.45</v>
      </c>
      <c r="R154" s="17" t="b">
        <f t="shared" si="6"/>
        <v>1</v>
      </c>
      <c r="S154" s="17">
        <f t="shared" si="12"/>
        <v>17.09</v>
      </c>
      <c r="T154" s="22">
        <f t="shared" si="8"/>
        <v>5</v>
      </c>
      <c r="U154" s="23"/>
      <c r="V154" s="13"/>
      <c r="W154" s="13"/>
      <c r="X154" s="13"/>
      <c r="Y154" s="13"/>
      <c r="Z154" s="13"/>
      <c r="AA154" s="24"/>
    </row>
    <row r="155" ht="13.5" hidden="1" customHeight="1">
      <c r="A155" s="13" t="s">
        <v>152</v>
      </c>
      <c r="B155" s="39">
        <v>11.0</v>
      </c>
      <c r="C155" s="22">
        <v>279.37</v>
      </c>
      <c r="D155" s="22">
        <v>45.455</v>
      </c>
      <c r="E155" s="22">
        <v>2.328</v>
      </c>
      <c r="F155" s="34">
        <v>45232.0</v>
      </c>
      <c r="G155" s="33"/>
      <c r="H155" s="34">
        <v>45258.0</v>
      </c>
      <c r="I155" s="33"/>
      <c r="J155" s="40">
        <f t="shared" si="14"/>
        <v>45232</v>
      </c>
      <c r="K155" s="18">
        <f>IFERROR(__xludf.DUMMYFUNCTION("if(isblank(J155),,index(googlefinance(A155,K$2,J155-1),2,2))"),39.6)</f>
        <v>39.6</v>
      </c>
      <c r="L155" s="41">
        <f t="shared" si="2"/>
        <v>45258</v>
      </c>
      <c r="M155" s="19">
        <f>IFERROR(__xludf.DUMMYFUNCTION("if(isblank(L155),, index(googlefinance(A155,M$2,L155-1),2,2))"),45.08)</f>
        <v>45.08</v>
      </c>
      <c r="N155" s="20">
        <f>IFERROR(__xludf.DUMMYFUNCTION("if(isblank(A155),,googlefinance(A155))"),54.85)</f>
        <v>54.85</v>
      </c>
      <c r="O155" s="17" t="str">
        <f t="shared" si="11"/>
        <v>Completed</v>
      </c>
      <c r="P155" s="37" t="str">
        <f t="shared" si="4"/>
        <v>Profit</v>
      </c>
      <c r="Q155" s="38">
        <f t="shared" si="5"/>
        <v>137</v>
      </c>
      <c r="R155" s="17" t="b">
        <f t="shared" si="6"/>
        <v>1</v>
      </c>
      <c r="S155" s="17">
        <f t="shared" si="12"/>
        <v>5.48</v>
      </c>
      <c r="T155" s="22">
        <f t="shared" si="8"/>
        <v>25</v>
      </c>
      <c r="U155" s="23"/>
      <c r="V155" s="13"/>
      <c r="W155" s="13"/>
      <c r="X155" s="13"/>
      <c r="Y155" s="13"/>
      <c r="Z155" s="13"/>
      <c r="AA155" s="24"/>
    </row>
    <row r="156" ht="13.5" hidden="1" customHeight="1">
      <c r="A156" s="13" t="s">
        <v>153</v>
      </c>
      <c r="B156" s="39">
        <v>9.0</v>
      </c>
      <c r="C156" s="22">
        <v>7.38</v>
      </c>
      <c r="D156" s="22">
        <v>44.444</v>
      </c>
      <c r="E156" s="22">
        <v>1.075</v>
      </c>
      <c r="F156" s="34">
        <v>45232.0</v>
      </c>
      <c r="G156" s="33"/>
      <c r="H156" s="34">
        <v>45238.0</v>
      </c>
      <c r="I156" s="33"/>
      <c r="J156" s="40">
        <f t="shared" si="14"/>
        <v>45232</v>
      </c>
      <c r="K156" s="18">
        <f>IFERROR(__xludf.DUMMYFUNCTION("if(isblank(J156),,index(googlefinance(A156,K$2,J156-1),2,2))"),47.74)</f>
        <v>47.74</v>
      </c>
      <c r="L156" s="41">
        <f t="shared" si="2"/>
        <v>45238</v>
      </c>
      <c r="M156" s="19">
        <f>IFERROR(__xludf.DUMMYFUNCTION("if(isblank(L156),, index(googlefinance(A156,M$2,L156-1),2,2))"),49.28)</f>
        <v>49.28</v>
      </c>
      <c r="N156" s="20">
        <f>IFERROR(__xludf.DUMMYFUNCTION("if(isblank(A156),,googlefinance(A156))"),54.8)</f>
        <v>54.8</v>
      </c>
      <c r="O156" s="17" t="str">
        <f t="shared" si="11"/>
        <v>Completed</v>
      </c>
      <c r="P156" s="37" t="str">
        <f t="shared" si="4"/>
        <v>Profit</v>
      </c>
      <c r="Q156" s="38">
        <f t="shared" si="5"/>
        <v>30.8</v>
      </c>
      <c r="R156" s="17" t="b">
        <f t="shared" si="6"/>
        <v>1</v>
      </c>
      <c r="S156" s="17">
        <f t="shared" si="12"/>
        <v>1.54</v>
      </c>
      <c r="T156" s="22">
        <f t="shared" si="8"/>
        <v>20</v>
      </c>
      <c r="U156" s="23"/>
      <c r="V156" s="13"/>
      <c r="W156" s="13"/>
      <c r="X156" s="13"/>
      <c r="Y156" s="13"/>
      <c r="Z156" s="13"/>
      <c r="AA156" s="24"/>
    </row>
    <row r="157" ht="13.5" hidden="1" customHeight="1">
      <c r="A157" s="13" t="s">
        <v>47</v>
      </c>
      <c r="B157" s="39">
        <v>8.0</v>
      </c>
      <c r="C157" s="22">
        <v>119.41</v>
      </c>
      <c r="D157" s="22">
        <v>50.0</v>
      </c>
      <c r="E157" s="22">
        <v>3.809</v>
      </c>
      <c r="F157" s="34">
        <v>45232.0</v>
      </c>
      <c r="G157" s="33"/>
      <c r="H157" s="34">
        <v>45264.0</v>
      </c>
      <c r="I157" s="33"/>
      <c r="J157" s="40">
        <f t="shared" si="14"/>
        <v>45232</v>
      </c>
      <c r="K157" s="18">
        <f>IFERROR(__xludf.DUMMYFUNCTION("if(isblank(J157),,index(googlefinance(A157,K$2,J157-1),2,2))"),167.21)</f>
        <v>167.21</v>
      </c>
      <c r="L157" s="41">
        <f t="shared" si="2"/>
        <v>45264</v>
      </c>
      <c r="M157" s="19">
        <f>IFERROR(__xludf.DUMMYFUNCTION("if(isblank(L157),, index(googlefinance(A157,M$2,L157-1),2,2))"),191.44)</f>
        <v>191.44</v>
      </c>
      <c r="N157" s="20">
        <f>IFERROR(__xludf.DUMMYFUNCTION("if(isblank(A157),,googlefinance(A157))"),215.38)</f>
        <v>215.38</v>
      </c>
      <c r="O157" s="17" t="str">
        <f t="shared" si="11"/>
        <v>Completed</v>
      </c>
      <c r="P157" s="37" t="str">
        <f t="shared" si="4"/>
        <v>Profit</v>
      </c>
      <c r="Q157" s="38">
        <f t="shared" si="5"/>
        <v>121.15</v>
      </c>
      <c r="R157" s="17" t="b">
        <f t="shared" si="6"/>
        <v>1</v>
      </c>
      <c r="S157" s="17">
        <f t="shared" si="12"/>
        <v>24.23</v>
      </c>
      <c r="T157" s="22">
        <f t="shared" si="8"/>
        <v>5</v>
      </c>
      <c r="U157" s="23"/>
      <c r="V157" s="13"/>
      <c r="W157" s="13"/>
      <c r="X157" s="13"/>
      <c r="Y157" s="13"/>
      <c r="Z157" s="13"/>
      <c r="AA157" s="24"/>
    </row>
    <row r="158" ht="13.5" hidden="1" customHeight="1">
      <c r="A158" s="13" t="s">
        <v>154</v>
      </c>
      <c r="B158" s="39">
        <v>9.0</v>
      </c>
      <c r="C158" s="22">
        <v>46.52</v>
      </c>
      <c r="D158" s="22">
        <v>44.444</v>
      </c>
      <c r="E158" s="22">
        <v>1.336</v>
      </c>
      <c r="F158" s="34">
        <v>45232.0</v>
      </c>
      <c r="G158" s="33"/>
      <c r="H158" s="34">
        <v>45265.0</v>
      </c>
      <c r="I158" s="33"/>
      <c r="J158" s="40">
        <f t="shared" si="14"/>
        <v>45232</v>
      </c>
      <c r="K158" s="18">
        <f>IFERROR(__xludf.DUMMYFUNCTION("if(isblank(J158),,index(googlefinance(A158,K$2,J158-1),2,2))"),307.16)</f>
        <v>307.16</v>
      </c>
      <c r="L158" s="41">
        <f t="shared" si="2"/>
        <v>45265</v>
      </c>
      <c r="M158" s="19">
        <f>IFERROR(__xludf.DUMMYFUNCTION("if(isblank(L158),, index(googlefinance(A158,M$2,L158-1),2,2))"),349.39)</f>
        <v>349.39</v>
      </c>
      <c r="N158" s="20">
        <f>IFERROR(__xludf.DUMMYFUNCTION("if(isblank(A158),,googlefinance(A158))"),384.44)</f>
        <v>384.44</v>
      </c>
      <c r="O158" s="17" t="str">
        <f t="shared" si="11"/>
        <v>Completed</v>
      </c>
      <c r="P158" s="37" t="str">
        <f t="shared" si="4"/>
        <v>Profit</v>
      </c>
      <c r="Q158" s="38">
        <f t="shared" si="5"/>
        <v>126.69</v>
      </c>
      <c r="R158" s="17" t="b">
        <f t="shared" si="6"/>
        <v>1</v>
      </c>
      <c r="S158" s="17">
        <f t="shared" si="12"/>
        <v>42.23</v>
      </c>
      <c r="T158" s="22">
        <f t="shared" si="8"/>
        <v>3</v>
      </c>
      <c r="U158" s="23"/>
      <c r="V158" s="13"/>
      <c r="W158" s="13"/>
      <c r="X158" s="13"/>
      <c r="Y158" s="13"/>
      <c r="Z158" s="13"/>
      <c r="AA158" s="24"/>
    </row>
    <row r="159" ht="13.5" hidden="1" customHeight="1">
      <c r="A159" s="13" t="s">
        <v>155</v>
      </c>
      <c r="B159" s="39">
        <v>10.0</v>
      </c>
      <c r="C159" s="22">
        <v>316.97</v>
      </c>
      <c r="D159" s="22">
        <v>40.0</v>
      </c>
      <c r="E159" s="22">
        <v>2.261</v>
      </c>
      <c r="F159" s="34">
        <v>45232.0</v>
      </c>
      <c r="G159" s="33"/>
      <c r="H159" s="34">
        <v>45258.0</v>
      </c>
      <c r="I159" s="33"/>
      <c r="J159" s="40">
        <f t="shared" si="14"/>
        <v>45232</v>
      </c>
      <c r="K159" s="18">
        <f>IFERROR(__xludf.DUMMYFUNCTION("if(isblank(J159),,index(googlefinance(A159,K$2,J159-1),2,2))"),44.72)</f>
        <v>44.72</v>
      </c>
      <c r="L159" s="41">
        <f t="shared" si="2"/>
        <v>45258</v>
      </c>
      <c r="M159" s="19">
        <f>IFERROR(__xludf.DUMMYFUNCTION("if(isblank(L159),, index(googlefinance(A159,M$2,L159-1),2,2))"),52.62)</f>
        <v>52.62</v>
      </c>
      <c r="N159" s="20">
        <f>IFERROR(__xludf.DUMMYFUNCTION("if(isblank(A159),,googlefinance(A159))"),62.82)</f>
        <v>62.82</v>
      </c>
      <c r="O159" s="17" t="str">
        <f t="shared" si="11"/>
        <v>Completed</v>
      </c>
      <c r="P159" s="37" t="str">
        <f t="shared" si="4"/>
        <v>Profit</v>
      </c>
      <c r="Q159" s="38">
        <f t="shared" si="5"/>
        <v>173.8</v>
      </c>
      <c r="R159" s="17" t="b">
        <f t="shared" si="6"/>
        <v>1</v>
      </c>
      <c r="S159" s="17">
        <f t="shared" si="12"/>
        <v>7.9</v>
      </c>
      <c r="T159" s="22">
        <f t="shared" si="8"/>
        <v>22</v>
      </c>
      <c r="U159" s="23"/>
      <c r="V159" s="13"/>
      <c r="W159" s="13"/>
      <c r="X159" s="13"/>
      <c r="Y159" s="13"/>
      <c r="Z159" s="13"/>
      <c r="AA159" s="24"/>
    </row>
    <row r="160" ht="13.5" hidden="1" customHeight="1">
      <c r="A160" s="13" t="s">
        <v>156</v>
      </c>
      <c r="B160" s="39">
        <v>16.0</v>
      </c>
      <c r="C160" s="22">
        <v>236.63</v>
      </c>
      <c r="D160" s="22">
        <v>31.25</v>
      </c>
      <c r="E160" s="22">
        <v>1.737</v>
      </c>
      <c r="F160" s="34">
        <v>45232.0</v>
      </c>
      <c r="G160" s="33"/>
      <c r="H160" s="34">
        <v>45258.0</v>
      </c>
      <c r="I160" s="33"/>
      <c r="J160" s="40">
        <f t="shared" si="14"/>
        <v>45232</v>
      </c>
      <c r="K160" s="18">
        <f>IFERROR(__xludf.DUMMYFUNCTION("if(isblank(J160),,index(googlefinance(A160,K$2,J160-1),2,2))"),61.99)</f>
        <v>61.99</v>
      </c>
      <c r="L160" s="41">
        <f t="shared" si="2"/>
        <v>45258</v>
      </c>
      <c r="M160" s="19">
        <f>IFERROR(__xludf.DUMMYFUNCTION("if(isblank(L160),, index(googlefinance(A160,M$2,L160-1),2,2))"),70.78)</f>
        <v>70.78</v>
      </c>
      <c r="N160" s="20">
        <f>IFERROR(__xludf.DUMMYFUNCTION("if(isblank(A160),,googlefinance(A160))"),89.47)</f>
        <v>89.47</v>
      </c>
      <c r="O160" s="17" t="str">
        <f t="shared" si="11"/>
        <v>Completed</v>
      </c>
      <c r="P160" s="37" t="str">
        <f t="shared" si="4"/>
        <v>Profit</v>
      </c>
      <c r="Q160" s="38">
        <f t="shared" si="5"/>
        <v>140.64</v>
      </c>
      <c r="R160" s="17" t="b">
        <f t="shared" si="6"/>
        <v>1</v>
      </c>
      <c r="S160" s="17">
        <f t="shared" si="12"/>
        <v>8.79</v>
      </c>
      <c r="T160" s="22">
        <f t="shared" si="8"/>
        <v>16</v>
      </c>
      <c r="U160" s="23"/>
      <c r="V160" s="13"/>
      <c r="W160" s="13"/>
      <c r="X160" s="13"/>
      <c r="Y160" s="13"/>
      <c r="Z160" s="13"/>
      <c r="AA160" s="24"/>
    </row>
    <row r="161" ht="13.5" hidden="1" customHeight="1">
      <c r="A161" s="13" t="s">
        <v>157</v>
      </c>
      <c r="B161" s="39">
        <v>11.0</v>
      </c>
      <c r="C161" s="22">
        <v>131.34</v>
      </c>
      <c r="D161" s="22">
        <v>36.364</v>
      </c>
      <c r="E161" s="22">
        <v>1.63</v>
      </c>
      <c r="F161" s="34">
        <v>45232.0</v>
      </c>
      <c r="G161" s="33"/>
      <c r="H161" s="34">
        <v>45239.0</v>
      </c>
      <c r="I161" s="33"/>
      <c r="J161" s="40">
        <f t="shared" si="14"/>
        <v>45232</v>
      </c>
      <c r="K161" s="18">
        <f>IFERROR(__xludf.DUMMYFUNCTION("if(isblank(J161),,index(googlefinance(A161,K$2,J161-1),2,2))"),112.13)</f>
        <v>112.13</v>
      </c>
      <c r="L161" s="41">
        <f t="shared" si="2"/>
        <v>45239</v>
      </c>
      <c r="M161" s="19">
        <f>IFERROR(__xludf.DUMMYFUNCTION("if(isblank(L161),, index(googlefinance(A161,M$2,L161-1),2,2))"),119.34)</f>
        <v>119.34</v>
      </c>
      <c r="N161" s="20">
        <f>IFERROR(__xludf.DUMMYFUNCTION("if(isblank(A161),,googlefinance(A161))"),138.31)</f>
        <v>138.31</v>
      </c>
      <c r="O161" s="17" t="str">
        <f t="shared" si="11"/>
        <v>Completed</v>
      </c>
      <c r="P161" s="37" t="str">
        <f t="shared" si="4"/>
        <v>Profit</v>
      </c>
      <c r="Q161" s="38">
        <f t="shared" si="5"/>
        <v>57.68</v>
      </c>
      <c r="R161" s="17" t="b">
        <f t="shared" si="6"/>
        <v>1</v>
      </c>
      <c r="S161" s="17">
        <f t="shared" si="12"/>
        <v>7.21</v>
      </c>
      <c r="T161" s="22">
        <f t="shared" si="8"/>
        <v>8</v>
      </c>
      <c r="U161" s="23"/>
      <c r="V161" s="13"/>
      <c r="W161" s="13"/>
      <c r="X161" s="13"/>
      <c r="Y161" s="13"/>
      <c r="Z161" s="13"/>
      <c r="AA161" s="24"/>
    </row>
    <row r="162" ht="13.5" hidden="1" customHeight="1">
      <c r="A162" s="13" t="s">
        <v>158</v>
      </c>
      <c r="B162" s="39">
        <v>9.0</v>
      </c>
      <c r="C162" s="22">
        <v>86.22</v>
      </c>
      <c r="D162" s="22">
        <v>55.556</v>
      </c>
      <c r="E162" s="22">
        <v>1.797</v>
      </c>
      <c r="F162" s="34">
        <v>45232.0</v>
      </c>
      <c r="G162" s="33"/>
      <c r="H162" s="34">
        <v>45265.0</v>
      </c>
      <c r="I162" s="33"/>
      <c r="J162" s="40">
        <f t="shared" si="14"/>
        <v>45232</v>
      </c>
      <c r="K162" s="18">
        <f>IFERROR(__xludf.DUMMYFUNCTION("if(isblank(J162),,index(googlefinance(A162,K$2,J162-1),2,2))"),113.46)</f>
        <v>113.46</v>
      </c>
      <c r="L162" s="41">
        <f t="shared" si="2"/>
        <v>45265</v>
      </c>
      <c r="M162" s="19">
        <f>IFERROR(__xludf.DUMMYFUNCTION("if(isblank(L162),, index(googlefinance(A162,M$2,L162-1),2,2))"),140.79)</f>
        <v>140.79</v>
      </c>
      <c r="N162" s="20">
        <f>IFERROR(__xludf.DUMMYFUNCTION("if(isblank(A162),,googlefinance(A162))"),148.85)</f>
        <v>148.85</v>
      </c>
      <c r="O162" s="17" t="str">
        <f t="shared" si="11"/>
        <v>Completed</v>
      </c>
      <c r="P162" s="37" t="str">
        <f t="shared" si="4"/>
        <v>Profit</v>
      </c>
      <c r="Q162" s="38">
        <f t="shared" si="5"/>
        <v>218.64</v>
      </c>
      <c r="R162" s="17" t="b">
        <f t="shared" si="6"/>
        <v>1</v>
      </c>
      <c r="S162" s="17">
        <f t="shared" si="12"/>
        <v>27.33</v>
      </c>
      <c r="T162" s="22">
        <f t="shared" si="8"/>
        <v>8</v>
      </c>
      <c r="U162" s="23"/>
      <c r="V162" s="13"/>
      <c r="W162" s="13"/>
      <c r="X162" s="13"/>
      <c r="Y162" s="13"/>
      <c r="Z162" s="13"/>
      <c r="AA162" s="24"/>
    </row>
    <row r="163" ht="13.5" hidden="1" customHeight="1">
      <c r="A163" s="13" t="s">
        <v>88</v>
      </c>
      <c r="B163" s="39">
        <v>13.0</v>
      </c>
      <c r="C163" s="22">
        <v>120.2</v>
      </c>
      <c r="D163" s="22">
        <v>30.769</v>
      </c>
      <c r="E163" s="22">
        <v>2.0</v>
      </c>
      <c r="F163" s="34">
        <v>45232.0</v>
      </c>
      <c r="G163" s="33"/>
      <c r="H163" s="34">
        <v>45264.0</v>
      </c>
      <c r="I163" s="33"/>
      <c r="J163" s="40">
        <f t="shared" si="14"/>
        <v>45232</v>
      </c>
      <c r="K163" s="18">
        <f>IFERROR(__xludf.DUMMYFUNCTION("if(isblank(J163),,index(googlefinance(A163,K$2,J163-1),2,2))"),89.01)</f>
        <v>89.01</v>
      </c>
      <c r="L163" s="41">
        <f t="shared" si="2"/>
        <v>45264</v>
      </c>
      <c r="M163" s="19">
        <f>IFERROR(__xludf.DUMMYFUNCTION("if(isblank(L163),, index(googlefinance(A163,M$2,L163-1),2,2))"),92.93)</f>
        <v>92.93</v>
      </c>
      <c r="N163" s="20">
        <f>IFERROR(__xludf.DUMMYFUNCTION("if(isblank(A163),,googlefinance(A163))"),89.65)</f>
        <v>89.65</v>
      </c>
      <c r="O163" s="17" t="str">
        <f t="shared" si="11"/>
        <v>Completed</v>
      </c>
      <c r="P163" s="37" t="str">
        <f t="shared" si="4"/>
        <v>Profit</v>
      </c>
      <c r="Q163" s="38">
        <f t="shared" si="5"/>
        <v>43.12</v>
      </c>
      <c r="R163" s="17" t="b">
        <f t="shared" si="6"/>
        <v>1</v>
      </c>
      <c r="S163" s="17">
        <f t="shared" si="12"/>
        <v>3.92</v>
      </c>
      <c r="T163" s="22">
        <f t="shared" si="8"/>
        <v>11</v>
      </c>
      <c r="U163" s="23"/>
      <c r="V163" s="13"/>
      <c r="W163" s="13"/>
      <c r="X163" s="13"/>
      <c r="Y163" s="13"/>
      <c r="Z163" s="13"/>
      <c r="AA163" s="24"/>
    </row>
    <row r="164" ht="13.5" hidden="1" customHeight="1">
      <c r="A164" s="13" t="s">
        <v>159</v>
      </c>
      <c r="B164" s="39">
        <v>6.0</v>
      </c>
      <c r="C164" s="22">
        <v>107.29</v>
      </c>
      <c r="D164" s="22">
        <v>33.333</v>
      </c>
      <c r="E164" s="22">
        <v>1.649</v>
      </c>
      <c r="F164" s="34">
        <v>45232.0</v>
      </c>
      <c r="G164" s="33"/>
      <c r="H164" s="34">
        <v>45265.0</v>
      </c>
      <c r="I164" s="33"/>
      <c r="J164" s="40">
        <f t="shared" si="14"/>
        <v>45232</v>
      </c>
      <c r="K164" s="18">
        <f>IFERROR(__xludf.DUMMYFUNCTION("if(isblank(J164),,index(googlefinance(A164,K$2,J164-1),2,2))"),64.74)</f>
        <v>64.74</v>
      </c>
      <c r="L164" s="41">
        <f t="shared" si="2"/>
        <v>45265</v>
      </c>
      <c r="M164" s="19">
        <f>IFERROR(__xludf.DUMMYFUNCTION("if(isblank(L164),, index(googlefinance(A164,M$2,L164-1),2,2))"),74.1)</f>
        <v>74.1</v>
      </c>
      <c r="N164" s="20">
        <f>IFERROR(__xludf.DUMMYFUNCTION("if(isblank(A164),,googlefinance(A164))"),72.49)</f>
        <v>72.49</v>
      </c>
      <c r="O164" s="17" t="str">
        <f t="shared" si="11"/>
        <v>Completed</v>
      </c>
      <c r="P164" s="37" t="str">
        <f t="shared" si="4"/>
        <v>Profit</v>
      </c>
      <c r="Q164" s="38">
        <f t="shared" si="5"/>
        <v>140.4</v>
      </c>
      <c r="R164" s="17" t="b">
        <f t="shared" si="6"/>
        <v>1</v>
      </c>
      <c r="S164" s="17">
        <f t="shared" si="12"/>
        <v>9.36</v>
      </c>
      <c r="T164" s="22">
        <f t="shared" si="8"/>
        <v>15</v>
      </c>
      <c r="U164" s="23"/>
      <c r="V164" s="13"/>
      <c r="W164" s="13"/>
      <c r="X164" s="13"/>
      <c r="Y164" s="13"/>
      <c r="Z164" s="13"/>
      <c r="AA164" s="24"/>
    </row>
    <row r="165" ht="13.5" hidden="1" customHeight="1">
      <c r="A165" s="13" t="s">
        <v>160</v>
      </c>
      <c r="B165" s="39">
        <v>16.0</v>
      </c>
      <c r="C165" s="22">
        <v>120.15</v>
      </c>
      <c r="D165" s="22">
        <v>37.5</v>
      </c>
      <c r="E165" s="22">
        <v>1.434</v>
      </c>
      <c r="F165" s="34">
        <v>45232.0</v>
      </c>
      <c r="G165" s="33"/>
      <c r="H165" s="34">
        <v>45265.0</v>
      </c>
      <c r="I165" s="33"/>
      <c r="J165" s="40">
        <f t="shared" si="14"/>
        <v>45232</v>
      </c>
      <c r="K165" s="18">
        <f>IFERROR(__xludf.DUMMYFUNCTION("if(isblank(J165),,index(googlefinance(A165,K$2,J165-1),2,2))"),187.51)</f>
        <v>187.51</v>
      </c>
      <c r="L165" s="41">
        <f t="shared" si="2"/>
        <v>45265</v>
      </c>
      <c r="M165" s="19">
        <f>IFERROR(__xludf.DUMMYFUNCTION("if(isblank(L165),, index(googlefinance(A165,M$2,L165-1),2,2))"),229.36)</f>
        <v>229.36</v>
      </c>
      <c r="N165" s="20">
        <f>IFERROR(__xludf.DUMMYFUNCTION("if(isblank(A165),,googlefinance(A165))"),251.07)</f>
        <v>251.07</v>
      </c>
      <c r="O165" s="17" t="str">
        <f t="shared" si="11"/>
        <v>Completed</v>
      </c>
      <c r="P165" s="37" t="str">
        <f t="shared" si="4"/>
        <v>Profit</v>
      </c>
      <c r="Q165" s="38">
        <f t="shared" si="5"/>
        <v>209.25</v>
      </c>
      <c r="R165" s="17" t="b">
        <f t="shared" si="6"/>
        <v>1</v>
      </c>
      <c r="S165" s="17">
        <f t="shared" si="12"/>
        <v>41.85</v>
      </c>
      <c r="T165" s="22">
        <f t="shared" si="8"/>
        <v>5</v>
      </c>
      <c r="U165" s="23"/>
      <c r="V165" s="13"/>
      <c r="W165" s="13"/>
      <c r="X165" s="13"/>
      <c r="Y165" s="13"/>
      <c r="Z165" s="13"/>
      <c r="AA165" s="24"/>
    </row>
    <row r="166" ht="13.5" hidden="1" customHeight="1">
      <c r="A166" s="13" t="s">
        <v>161</v>
      </c>
      <c r="B166" s="39">
        <v>16.0</v>
      </c>
      <c r="C166" s="22">
        <v>61.93</v>
      </c>
      <c r="D166" s="22">
        <v>25.0</v>
      </c>
      <c r="E166" s="22">
        <v>1.169</v>
      </c>
      <c r="F166" s="34">
        <v>45232.0</v>
      </c>
      <c r="G166" s="33"/>
      <c r="H166" s="34">
        <v>45239.0</v>
      </c>
      <c r="I166" s="33"/>
      <c r="J166" s="40">
        <f t="shared" si="14"/>
        <v>45232</v>
      </c>
      <c r="K166" s="18">
        <f>IFERROR(__xludf.DUMMYFUNCTION("if(isblank(J166),,index(googlefinance(A166,K$2,J166-1),2,2))"),31.02)</f>
        <v>31.02</v>
      </c>
      <c r="L166" s="41">
        <f t="shared" si="2"/>
        <v>45239</v>
      </c>
      <c r="M166" s="19">
        <f>IFERROR(__xludf.DUMMYFUNCTION("if(isblank(L166),, index(googlefinance(A166,M$2,L166-1),2,2))"),33.76)</f>
        <v>33.76</v>
      </c>
      <c r="N166" s="20">
        <f>IFERROR(__xludf.DUMMYFUNCTION("if(isblank(A166),,googlefinance(A166))"),40.64)</f>
        <v>40.64</v>
      </c>
      <c r="O166" s="17" t="str">
        <f t="shared" si="11"/>
        <v>Completed</v>
      </c>
      <c r="P166" s="37" t="str">
        <f t="shared" si="4"/>
        <v>Profit</v>
      </c>
      <c r="Q166" s="38">
        <f t="shared" si="5"/>
        <v>87.68</v>
      </c>
      <c r="R166" s="17" t="b">
        <f t="shared" si="6"/>
        <v>1</v>
      </c>
      <c r="S166" s="17">
        <f t="shared" si="12"/>
        <v>2.74</v>
      </c>
      <c r="T166" s="22">
        <f t="shared" si="8"/>
        <v>32</v>
      </c>
      <c r="U166" s="23"/>
      <c r="V166" s="13"/>
      <c r="W166" s="13"/>
      <c r="X166" s="13"/>
      <c r="Y166" s="13"/>
      <c r="Z166" s="13"/>
      <c r="AA166" s="24"/>
    </row>
    <row r="167" ht="13.5" hidden="1" customHeight="1">
      <c r="A167" s="13" t="s">
        <v>60</v>
      </c>
      <c r="B167" s="39">
        <v>11.0</v>
      </c>
      <c r="C167" s="22">
        <v>240.237</v>
      </c>
      <c r="D167" s="22">
        <v>45.455</v>
      </c>
      <c r="E167" s="22">
        <v>3.455</v>
      </c>
      <c r="F167" s="34">
        <v>45233.0</v>
      </c>
      <c r="G167" s="33"/>
      <c r="H167" s="34">
        <v>45239.0</v>
      </c>
      <c r="I167" s="33"/>
      <c r="J167" s="40">
        <f t="shared" si="14"/>
        <v>45233</v>
      </c>
      <c r="K167" s="18">
        <f>IFERROR(__xludf.DUMMYFUNCTION("if(isblank(J167),,index(googlefinance(A167,K$2,J167-1),2,2))"),255.92)</f>
        <v>255.92</v>
      </c>
      <c r="L167" s="41">
        <f t="shared" si="2"/>
        <v>45239</v>
      </c>
      <c r="M167" s="19">
        <f>IFERROR(__xludf.DUMMYFUNCTION("if(isblank(L167),, index(googlefinance(A167,M$2,L167-1),2,2))"),255.92)</f>
        <v>255.92</v>
      </c>
      <c r="N167" s="20">
        <f>IFERROR(__xludf.DUMMYFUNCTION("if(isblank(A167),,googlefinance(A167))"),240.76)</f>
        <v>240.76</v>
      </c>
      <c r="O167" s="17" t="str">
        <f t="shared" si="11"/>
        <v>Completed</v>
      </c>
      <c r="P167" s="42" t="str">
        <f t="shared" si="4"/>
        <v>Loss</v>
      </c>
      <c r="Q167" s="21">
        <f t="shared" si="5"/>
        <v>0</v>
      </c>
      <c r="R167" s="17" t="b">
        <f t="shared" si="6"/>
        <v>0</v>
      </c>
      <c r="S167" s="17">
        <f t="shared" si="12"/>
        <v>0</v>
      </c>
      <c r="T167" s="22">
        <f t="shared" si="8"/>
        <v>3</v>
      </c>
      <c r="U167" s="23"/>
      <c r="V167" s="13"/>
      <c r="W167" s="13"/>
      <c r="X167" s="13"/>
      <c r="Y167" s="13"/>
      <c r="Z167" s="13"/>
      <c r="AA167" s="24"/>
    </row>
    <row r="168" ht="13.5" hidden="1" customHeight="1">
      <c r="A168" s="13" t="s">
        <v>162</v>
      </c>
      <c r="B168" s="39">
        <v>6.0</v>
      </c>
      <c r="C168" s="22">
        <v>43.22</v>
      </c>
      <c r="D168" s="22">
        <v>50.0</v>
      </c>
      <c r="E168" s="22">
        <v>1.69</v>
      </c>
      <c r="F168" s="34">
        <v>45233.0</v>
      </c>
      <c r="G168" s="33"/>
      <c r="H168" s="34">
        <v>45257.0</v>
      </c>
      <c r="I168" s="33"/>
      <c r="J168" s="40">
        <f t="shared" si="14"/>
        <v>45233</v>
      </c>
      <c r="K168" s="18">
        <f>IFERROR(__xludf.DUMMYFUNCTION("if(isblank(J168),,index(googlefinance(A168,K$2,J168-1),2,2))"),241.86)</f>
        <v>241.86</v>
      </c>
      <c r="L168" s="41">
        <f t="shared" si="2"/>
        <v>45257</v>
      </c>
      <c r="M168" s="19">
        <f>IFERROR(__xludf.DUMMYFUNCTION("if(isblank(L168),, index(googlefinance(A168,M$2,L168-1),2,2))"),228.79)</f>
        <v>228.79</v>
      </c>
      <c r="N168" s="20">
        <f>IFERROR(__xludf.DUMMYFUNCTION("if(isblank(A168),,googlefinance(A168))"),219.08)</f>
        <v>219.08</v>
      </c>
      <c r="O168" s="17" t="str">
        <f t="shared" si="11"/>
        <v>Completed</v>
      </c>
      <c r="P168" s="42" t="str">
        <f t="shared" si="4"/>
        <v>Loss</v>
      </c>
      <c r="Q168" s="43">
        <f t="shared" si="5"/>
        <v>-52.28</v>
      </c>
      <c r="R168" s="17" t="b">
        <f t="shared" si="6"/>
        <v>0</v>
      </c>
      <c r="S168" s="17">
        <f t="shared" si="12"/>
        <v>-13.07</v>
      </c>
      <c r="T168" s="22">
        <f t="shared" si="8"/>
        <v>4</v>
      </c>
      <c r="U168" s="23"/>
      <c r="V168" s="13"/>
      <c r="W168" s="13"/>
      <c r="X168" s="13"/>
      <c r="Y168" s="13"/>
      <c r="Z168" s="13"/>
      <c r="AA168" s="24"/>
    </row>
    <row r="169" ht="13.5" hidden="1" customHeight="1">
      <c r="A169" s="13" t="s">
        <v>163</v>
      </c>
      <c r="B169" s="39">
        <v>16.0</v>
      </c>
      <c r="C169" s="22">
        <v>417.95</v>
      </c>
      <c r="D169" s="22">
        <v>37.5</v>
      </c>
      <c r="E169" s="47">
        <v>2.915</v>
      </c>
      <c r="F169" s="34">
        <v>45233.0</v>
      </c>
      <c r="G169" s="33"/>
      <c r="H169" s="34">
        <v>45265.0</v>
      </c>
      <c r="I169" s="33"/>
      <c r="J169" s="40">
        <f t="shared" si="14"/>
        <v>45233</v>
      </c>
      <c r="K169" s="18">
        <f>IFERROR(__xludf.DUMMYFUNCTION("if(isblank(J169),,index(googlefinance(A169,K$2,J169-1),2,2))"),644.49)</f>
        <v>644.49</v>
      </c>
      <c r="L169" s="41">
        <f t="shared" si="2"/>
        <v>45265</v>
      </c>
      <c r="M169" s="19">
        <f>IFERROR(__xludf.DUMMYFUNCTION("if(isblank(L169),, index(googlefinance(A169,M$2,L169-1),2,2))"),756.43)</f>
        <v>756.43</v>
      </c>
      <c r="N169" s="20">
        <f>IFERROR(__xludf.DUMMYFUNCTION("if(isblank(A169),,googlefinance(A169))"),794.0)</f>
        <v>794</v>
      </c>
      <c r="O169" s="17" t="str">
        <f t="shared" si="11"/>
        <v>Completed</v>
      </c>
      <c r="P169" s="37" t="str">
        <f t="shared" si="4"/>
        <v>Profit</v>
      </c>
      <c r="Q169" s="38">
        <f t="shared" si="5"/>
        <v>111.94</v>
      </c>
      <c r="R169" s="17" t="b">
        <f t="shared" si="6"/>
        <v>1</v>
      </c>
      <c r="S169" s="17">
        <f t="shared" si="12"/>
        <v>111.94</v>
      </c>
      <c r="T169" s="22">
        <f t="shared" si="8"/>
        <v>1</v>
      </c>
      <c r="U169" s="23"/>
      <c r="V169" s="13"/>
      <c r="W169" s="13"/>
      <c r="X169" s="13"/>
      <c r="Y169" s="13"/>
      <c r="Z169" s="13"/>
      <c r="AA169" s="24"/>
    </row>
    <row r="170" ht="13.5" hidden="1" customHeight="1">
      <c r="A170" s="13" t="s">
        <v>61</v>
      </c>
      <c r="B170" s="39">
        <v>10.0</v>
      </c>
      <c r="C170" s="22">
        <v>248.28</v>
      </c>
      <c r="D170" s="22">
        <v>60.0</v>
      </c>
      <c r="E170" s="22">
        <v>3.03</v>
      </c>
      <c r="F170" s="34">
        <v>45233.0</v>
      </c>
      <c r="G170" s="33"/>
      <c r="H170" s="34">
        <v>45252.0</v>
      </c>
      <c r="I170" s="33"/>
      <c r="J170" s="40">
        <f t="shared" si="14"/>
        <v>45233</v>
      </c>
      <c r="K170" s="18">
        <f>IFERROR(__xludf.DUMMYFUNCTION("if(isblank(J170),,index(googlefinance(A170,K$2,J170-1),2,2))"),24.9)</f>
        <v>24.9</v>
      </c>
      <c r="L170" s="41">
        <f t="shared" si="2"/>
        <v>45252</v>
      </c>
      <c r="M170" s="19">
        <f>IFERROR(__xludf.DUMMYFUNCTION("if(isblank(L170),, index(googlefinance(A170,M$2,L170-1),2,2))"),26.88)</f>
        <v>26.88</v>
      </c>
      <c r="N170" s="20">
        <f>IFERROR(__xludf.DUMMYFUNCTION("if(isblank(A170),,googlefinance(A170))"),31.56)</f>
        <v>31.56</v>
      </c>
      <c r="O170" s="17" t="str">
        <f t="shared" si="11"/>
        <v>Completed</v>
      </c>
      <c r="P170" s="37" t="str">
        <f t="shared" si="4"/>
        <v>Profit</v>
      </c>
      <c r="Q170" s="38">
        <f t="shared" si="5"/>
        <v>79.2</v>
      </c>
      <c r="R170" s="17" t="b">
        <f t="shared" si="6"/>
        <v>1</v>
      </c>
      <c r="S170" s="17">
        <f t="shared" si="12"/>
        <v>1.98</v>
      </c>
      <c r="T170" s="22">
        <f t="shared" si="8"/>
        <v>40</v>
      </c>
      <c r="U170" s="23"/>
      <c r="V170" s="13"/>
      <c r="W170" s="13"/>
      <c r="X170" s="13"/>
      <c r="Y170" s="13"/>
      <c r="Z170" s="13"/>
      <c r="AA170" s="24"/>
    </row>
    <row r="171" ht="13.5" hidden="1" customHeight="1">
      <c r="A171" s="13" t="s">
        <v>69</v>
      </c>
      <c r="B171" s="39">
        <v>11.0</v>
      </c>
      <c r="C171" s="22">
        <v>239.51</v>
      </c>
      <c r="D171" s="22">
        <v>45.455</v>
      </c>
      <c r="E171" s="22">
        <v>2.412</v>
      </c>
      <c r="F171" s="34">
        <v>45233.0</v>
      </c>
      <c r="G171" s="33"/>
      <c r="H171" s="34">
        <v>45238.0</v>
      </c>
      <c r="I171" s="33"/>
      <c r="J171" s="40">
        <f t="shared" si="14"/>
        <v>45233</v>
      </c>
      <c r="K171" s="18">
        <f>IFERROR(__xludf.DUMMYFUNCTION("if(isblank(J171),,index(googlefinance(A171,K$2,J171-1),2,2))"),217.94)</f>
        <v>217.94</v>
      </c>
      <c r="L171" s="41">
        <f t="shared" si="2"/>
        <v>45238</v>
      </c>
      <c r="M171" s="19">
        <f>IFERROR(__xludf.DUMMYFUNCTION("if(isblank(L171),, index(googlefinance(A171,M$2,L171-1),2,2))"),219.64)</f>
        <v>219.64</v>
      </c>
      <c r="N171" s="20">
        <f>IFERROR(__xludf.DUMMYFUNCTION("if(isblank(A171),,googlefinance(A171))"),266.48)</f>
        <v>266.48</v>
      </c>
      <c r="O171" s="17" t="str">
        <f t="shared" si="11"/>
        <v>Completed</v>
      </c>
      <c r="P171" s="37" t="str">
        <f t="shared" si="4"/>
        <v>Profit</v>
      </c>
      <c r="Q171" s="38">
        <f t="shared" si="5"/>
        <v>6.8</v>
      </c>
      <c r="R171" s="17" t="b">
        <f t="shared" si="6"/>
        <v>1</v>
      </c>
      <c r="S171" s="17">
        <f t="shared" si="12"/>
        <v>1.7</v>
      </c>
      <c r="T171" s="22">
        <f t="shared" si="8"/>
        <v>4</v>
      </c>
      <c r="U171" s="23"/>
      <c r="V171" s="13"/>
      <c r="W171" s="13"/>
      <c r="X171" s="13"/>
      <c r="Y171" s="13"/>
      <c r="Z171" s="13"/>
      <c r="AA171" s="24"/>
    </row>
    <row r="172" ht="13.5" hidden="1" customHeight="1">
      <c r="A172" s="13" t="s">
        <v>164</v>
      </c>
      <c r="B172" s="39">
        <v>11.0</v>
      </c>
      <c r="C172" s="22">
        <v>72.81</v>
      </c>
      <c r="D172" s="22">
        <v>54.545</v>
      </c>
      <c r="E172" s="22">
        <v>1.624</v>
      </c>
      <c r="F172" s="34">
        <v>45233.0</v>
      </c>
      <c r="G172" s="33"/>
      <c r="H172" s="34">
        <v>45239.0</v>
      </c>
      <c r="I172" s="33"/>
      <c r="J172" s="40">
        <f t="shared" si="14"/>
        <v>45233</v>
      </c>
      <c r="K172" s="18">
        <f>IFERROR(__xludf.DUMMYFUNCTION("if(isblank(J172),,index(googlefinance(A172,K$2,J172-1),2,2))"),52.75)</f>
        <v>52.75</v>
      </c>
      <c r="L172" s="41">
        <f t="shared" si="2"/>
        <v>45239</v>
      </c>
      <c r="M172" s="19">
        <f>IFERROR(__xludf.DUMMYFUNCTION("if(isblank(L172),, index(googlefinance(A172,M$2,L172-1),2,2))"),53.0)</f>
        <v>53</v>
      </c>
      <c r="N172" s="20">
        <f>IFERROR(__xludf.DUMMYFUNCTION("if(isblank(A172),,googlefinance(A172))"),48.44)</f>
        <v>48.44</v>
      </c>
      <c r="O172" s="17" t="str">
        <f t="shared" si="11"/>
        <v>Completed</v>
      </c>
      <c r="P172" s="37" t="str">
        <f t="shared" si="4"/>
        <v>Profit</v>
      </c>
      <c r="Q172" s="38">
        <f t="shared" si="5"/>
        <v>4.5</v>
      </c>
      <c r="R172" s="17" t="b">
        <f t="shared" si="6"/>
        <v>1</v>
      </c>
      <c r="S172" s="17">
        <f t="shared" si="12"/>
        <v>0.25</v>
      </c>
      <c r="T172" s="22">
        <f t="shared" si="8"/>
        <v>18</v>
      </c>
      <c r="U172" s="23"/>
      <c r="V172" s="13"/>
      <c r="W172" s="13"/>
      <c r="X172" s="13"/>
      <c r="Y172" s="13"/>
      <c r="Z172" s="13"/>
      <c r="AA172" s="24"/>
    </row>
    <row r="173" ht="13.5" hidden="1" customHeight="1">
      <c r="A173" s="13" t="s">
        <v>165</v>
      </c>
      <c r="B173" s="39">
        <v>9.0</v>
      </c>
      <c r="C173" s="22">
        <v>190.02</v>
      </c>
      <c r="D173" s="22">
        <v>33.333</v>
      </c>
      <c r="E173" s="22">
        <v>1.749</v>
      </c>
      <c r="F173" s="34">
        <v>45233.0</v>
      </c>
      <c r="G173" s="33"/>
      <c r="H173" s="34">
        <v>45265.0</v>
      </c>
      <c r="I173" s="33"/>
      <c r="J173" s="40">
        <f t="shared" si="14"/>
        <v>45233</v>
      </c>
      <c r="K173" s="18">
        <f>IFERROR(__xludf.DUMMYFUNCTION("if(isblank(J173),,index(googlefinance(A173,K$2,J173-1),2,2))"),94.84)</f>
        <v>94.84</v>
      </c>
      <c r="L173" s="41">
        <f t="shared" si="2"/>
        <v>45265</v>
      </c>
      <c r="M173" s="19">
        <f>IFERROR(__xludf.DUMMYFUNCTION("if(isblank(L173),, index(googlefinance(A173,M$2,L173-1),2,2))"),139.82)</f>
        <v>139.82</v>
      </c>
      <c r="N173" s="20">
        <f>IFERROR(__xludf.DUMMYFUNCTION("if(isblank(A173),,googlefinance(A173))"),135.25)</f>
        <v>135.25</v>
      </c>
      <c r="O173" s="17" t="str">
        <f t="shared" si="11"/>
        <v>Completed</v>
      </c>
      <c r="P173" s="37" t="str">
        <f t="shared" si="4"/>
        <v>Profit</v>
      </c>
      <c r="Q173" s="38">
        <f t="shared" si="5"/>
        <v>449.8</v>
      </c>
      <c r="R173" s="17" t="b">
        <f t="shared" si="6"/>
        <v>1</v>
      </c>
      <c r="S173" s="17">
        <f t="shared" si="12"/>
        <v>44.98</v>
      </c>
      <c r="T173" s="22">
        <f t="shared" si="8"/>
        <v>10</v>
      </c>
      <c r="U173" s="23"/>
      <c r="V173" s="13"/>
      <c r="W173" s="13"/>
      <c r="X173" s="13"/>
      <c r="Y173" s="13"/>
      <c r="Z173" s="13"/>
      <c r="AA173" s="24"/>
    </row>
    <row r="174" ht="13.5" hidden="1" customHeight="1">
      <c r="A174" s="13" t="s">
        <v>166</v>
      </c>
      <c r="B174" s="39">
        <v>15.0</v>
      </c>
      <c r="C174" s="22">
        <v>86.63</v>
      </c>
      <c r="D174" s="22">
        <v>46.667</v>
      </c>
      <c r="E174" s="22">
        <v>1.311</v>
      </c>
      <c r="F174" s="34">
        <v>45233.0</v>
      </c>
      <c r="G174" s="33"/>
      <c r="H174" s="34">
        <v>45258.0</v>
      </c>
      <c r="I174" s="33"/>
      <c r="J174" s="40">
        <f t="shared" si="14"/>
        <v>45233</v>
      </c>
      <c r="K174" s="18">
        <f>IFERROR(__xludf.DUMMYFUNCTION("if(isblank(J174),,index(googlefinance(A174,K$2,J174-1),2,2))"),419.44)</f>
        <v>419.44</v>
      </c>
      <c r="L174" s="41">
        <f t="shared" si="2"/>
        <v>45258</v>
      </c>
      <c r="M174" s="19">
        <f>IFERROR(__xludf.DUMMYFUNCTION("if(isblank(L174),, index(googlefinance(A174,M$2,L174-1),2,2))"),479.63)</f>
        <v>479.63</v>
      </c>
      <c r="N174" s="20">
        <f>IFERROR(__xludf.DUMMYFUNCTION("if(isblank(A174),,googlefinance(A174))"),555.54)</f>
        <v>555.54</v>
      </c>
      <c r="O174" s="17" t="str">
        <f t="shared" si="11"/>
        <v>Completed</v>
      </c>
      <c r="P174" s="37" t="str">
        <f t="shared" si="4"/>
        <v>Profit</v>
      </c>
      <c r="Q174" s="38">
        <f t="shared" si="5"/>
        <v>120.38</v>
      </c>
      <c r="R174" s="17" t="b">
        <f t="shared" si="6"/>
        <v>1</v>
      </c>
      <c r="S174" s="17">
        <f t="shared" si="12"/>
        <v>60.19</v>
      </c>
      <c r="T174" s="22">
        <f t="shared" si="8"/>
        <v>2</v>
      </c>
      <c r="U174" s="23"/>
      <c r="V174" s="13"/>
      <c r="W174" s="13"/>
      <c r="X174" s="13"/>
      <c r="Y174" s="13"/>
      <c r="Z174" s="13"/>
      <c r="AA174" s="24"/>
    </row>
    <row r="175" ht="13.5" hidden="1" customHeight="1">
      <c r="A175" s="13" t="s">
        <v>167</v>
      </c>
      <c r="B175" s="39">
        <v>5.0</v>
      </c>
      <c r="C175" s="22">
        <v>60.66</v>
      </c>
      <c r="D175" s="22">
        <v>60.0</v>
      </c>
      <c r="E175" s="22">
        <v>1.856</v>
      </c>
      <c r="F175" s="34">
        <v>45233.0</v>
      </c>
      <c r="G175" s="33"/>
      <c r="H175" s="34">
        <v>45239.0</v>
      </c>
      <c r="I175" s="33"/>
      <c r="J175" s="40">
        <f t="shared" si="14"/>
        <v>45233</v>
      </c>
      <c r="K175" s="18">
        <f>IFERROR(__xludf.DUMMYFUNCTION("if(isblank(J175),,index(googlefinance(A175,K$2,J175-1),2,2))"),123.2)</f>
        <v>123.2</v>
      </c>
      <c r="L175" s="41">
        <f t="shared" si="2"/>
        <v>45239</v>
      </c>
      <c r="M175" s="19">
        <f>IFERROR(__xludf.DUMMYFUNCTION("if(isblank(L175),, index(googlefinance(A175,M$2,L175-1),2,2))"),124.79)</f>
        <v>124.79</v>
      </c>
      <c r="N175" s="20">
        <f>IFERROR(__xludf.DUMMYFUNCTION("if(isblank(A175),,googlefinance(A175))"),155.22)</f>
        <v>155.22</v>
      </c>
      <c r="O175" s="17" t="str">
        <f t="shared" si="11"/>
        <v>Completed</v>
      </c>
      <c r="P175" s="37" t="str">
        <f t="shared" si="4"/>
        <v>Profit</v>
      </c>
      <c r="Q175" s="38">
        <f t="shared" si="5"/>
        <v>12.72</v>
      </c>
      <c r="R175" s="17" t="b">
        <f t="shared" si="6"/>
        <v>1</v>
      </c>
      <c r="S175" s="17">
        <f t="shared" si="12"/>
        <v>1.59</v>
      </c>
      <c r="T175" s="22">
        <f t="shared" si="8"/>
        <v>8</v>
      </c>
      <c r="U175" s="23"/>
      <c r="V175" s="13"/>
      <c r="W175" s="13"/>
      <c r="X175" s="13"/>
      <c r="Y175" s="13"/>
      <c r="Z175" s="13"/>
      <c r="AA175" s="24"/>
    </row>
    <row r="176" ht="13.5" hidden="1" customHeight="1">
      <c r="A176" s="13" t="s">
        <v>168</v>
      </c>
      <c r="B176" s="39">
        <v>14.0</v>
      </c>
      <c r="C176" s="22">
        <v>159.96</v>
      </c>
      <c r="D176" s="22">
        <v>50.0</v>
      </c>
      <c r="E176" s="22">
        <v>1.676</v>
      </c>
      <c r="F176" s="34">
        <v>45233.0</v>
      </c>
      <c r="G176" s="33"/>
      <c r="H176" s="34">
        <v>45264.0</v>
      </c>
      <c r="I176" s="33"/>
      <c r="J176" s="40">
        <f t="shared" si="14"/>
        <v>45233</v>
      </c>
      <c r="K176" s="18">
        <f>IFERROR(__xludf.DUMMYFUNCTION("if(isblank(J176),,index(googlefinance(A176,K$2,J176-1),2,2))"),124.92)</f>
        <v>124.92</v>
      </c>
      <c r="L176" s="41">
        <f t="shared" si="2"/>
        <v>45264</v>
      </c>
      <c r="M176" s="19">
        <f>IFERROR(__xludf.DUMMYFUNCTION("if(isblank(L176),, index(googlefinance(A176,M$2,L176-1),2,2))"),143.15)</f>
        <v>143.15</v>
      </c>
      <c r="N176" s="20">
        <f>IFERROR(__xludf.DUMMYFUNCTION("if(isblank(A176),,googlefinance(A176))"),141.91)</f>
        <v>141.91</v>
      </c>
      <c r="O176" s="17" t="str">
        <f t="shared" si="11"/>
        <v>Completed</v>
      </c>
      <c r="P176" s="37" t="str">
        <f t="shared" si="4"/>
        <v>Profit</v>
      </c>
      <c r="Q176" s="38">
        <f t="shared" si="5"/>
        <v>145.84</v>
      </c>
      <c r="R176" s="17" t="b">
        <f t="shared" si="6"/>
        <v>1</v>
      </c>
      <c r="S176" s="17">
        <f t="shared" si="12"/>
        <v>18.23</v>
      </c>
      <c r="T176" s="22">
        <f t="shared" si="8"/>
        <v>8</v>
      </c>
      <c r="U176" s="23"/>
      <c r="V176" s="13"/>
      <c r="W176" s="13"/>
      <c r="X176" s="13"/>
      <c r="Y176" s="13"/>
      <c r="Z176" s="13"/>
      <c r="AA176" s="24"/>
    </row>
    <row r="177" ht="13.5" hidden="1" customHeight="1">
      <c r="A177" s="13" t="s">
        <v>169</v>
      </c>
      <c r="B177" s="39">
        <v>10.0</v>
      </c>
      <c r="C177" s="22">
        <v>220.57</v>
      </c>
      <c r="D177" s="22">
        <v>40.0</v>
      </c>
      <c r="E177" s="22">
        <v>3.069</v>
      </c>
      <c r="F177" s="34">
        <v>45233.0</v>
      </c>
      <c r="G177" s="33"/>
      <c r="H177" s="34">
        <v>45239.0</v>
      </c>
      <c r="I177" s="33"/>
      <c r="J177" s="40">
        <f t="shared" si="14"/>
        <v>45233</v>
      </c>
      <c r="K177" s="18">
        <f>IFERROR(__xludf.DUMMYFUNCTION("if(isblank(J177),,index(googlefinance(A177,K$2,J177-1),2,2))"),248.26)</f>
        <v>248.26</v>
      </c>
      <c r="L177" s="41">
        <f t="shared" si="2"/>
        <v>45239</v>
      </c>
      <c r="M177" s="19">
        <f>IFERROR(__xludf.DUMMYFUNCTION("if(isblank(L177),, index(googlefinance(A177,M$2,L177-1),2,2))"),250.69)</f>
        <v>250.69</v>
      </c>
      <c r="N177" s="20">
        <f>IFERROR(__xludf.DUMMYFUNCTION("if(isblank(A177),,googlefinance(A177))"),281.52)</f>
        <v>281.52</v>
      </c>
      <c r="O177" s="17" t="str">
        <f t="shared" si="11"/>
        <v>Completed</v>
      </c>
      <c r="P177" s="37" t="str">
        <f t="shared" si="4"/>
        <v>Profit</v>
      </c>
      <c r="Q177" s="38">
        <f t="shared" si="5"/>
        <v>9.72</v>
      </c>
      <c r="R177" s="17" t="b">
        <f t="shared" si="6"/>
        <v>1</v>
      </c>
      <c r="S177" s="17">
        <f t="shared" si="12"/>
        <v>2.43</v>
      </c>
      <c r="T177" s="22">
        <f t="shared" si="8"/>
        <v>4</v>
      </c>
      <c r="U177" s="23"/>
      <c r="V177" s="13"/>
      <c r="W177" s="13"/>
      <c r="X177" s="13"/>
      <c r="Y177" s="13"/>
      <c r="Z177" s="13"/>
      <c r="AA177" s="24"/>
    </row>
    <row r="178" ht="13.5" hidden="1" customHeight="1">
      <c r="A178" s="13" t="s">
        <v>68</v>
      </c>
      <c r="B178" s="39">
        <v>16.0</v>
      </c>
      <c r="C178" s="22">
        <v>63.6</v>
      </c>
      <c r="D178" s="22">
        <v>31.25</v>
      </c>
      <c r="E178" s="47">
        <v>1.201</v>
      </c>
      <c r="F178" s="34">
        <v>45233.0</v>
      </c>
      <c r="G178" s="33"/>
      <c r="H178" s="34">
        <v>45265.0</v>
      </c>
      <c r="I178" s="33"/>
      <c r="J178" s="40">
        <f t="shared" si="14"/>
        <v>45233</v>
      </c>
      <c r="K178" s="18">
        <f>IFERROR(__xludf.DUMMYFUNCTION("if(isblank(J178),,index(googlefinance(A178,K$2,J178-1),2,2))"),212.92)</f>
        <v>212.92</v>
      </c>
      <c r="L178" s="41">
        <f t="shared" si="2"/>
        <v>45265</v>
      </c>
      <c r="M178" s="19">
        <f>IFERROR(__xludf.DUMMYFUNCTION("if(isblank(L178),, index(googlefinance(A178,M$2,L178-1),2,2))"),269.22)</f>
        <v>269.22</v>
      </c>
      <c r="N178" s="20">
        <f>IFERROR(__xludf.DUMMYFUNCTION("if(isblank(A178),,googlefinance(A178))"),302.67)</f>
        <v>302.67</v>
      </c>
      <c r="O178" s="17" t="str">
        <f t="shared" si="11"/>
        <v>Completed</v>
      </c>
      <c r="P178" s="37" t="str">
        <f t="shared" si="4"/>
        <v>Profit</v>
      </c>
      <c r="Q178" s="38">
        <f t="shared" si="5"/>
        <v>225.2</v>
      </c>
      <c r="R178" s="17" t="b">
        <f t="shared" si="6"/>
        <v>1</v>
      </c>
      <c r="S178" s="17">
        <f t="shared" si="12"/>
        <v>56.3</v>
      </c>
      <c r="T178" s="22">
        <f t="shared" si="8"/>
        <v>4</v>
      </c>
      <c r="U178" s="23"/>
      <c r="V178" s="13"/>
      <c r="W178" s="13"/>
      <c r="X178" s="13"/>
      <c r="Y178" s="13"/>
      <c r="Z178" s="13"/>
      <c r="AA178" s="24"/>
    </row>
    <row r="179" ht="13.5" hidden="1" customHeight="1">
      <c r="A179" s="30" t="s">
        <v>54</v>
      </c>
      <c r="B179" s="31">
        <v>7.0</v>
      </c>
      <c r="C179" s="32">
        <v>32.79</v>
      </c>
      <c r="D179" s="32">
        <v>28.571</v>
      </c>
      <c r="E179" s="32">
        <v>1.339</v>
      </c>
      <c r="F179" s="34">
        <v>45234.0</v>
      </c>
      <c r="G179" s="33"/>
      <c r="H179" s="34">
        <v>45274.0</v>
      </c>
      <c r="I179" s="33"/>
      <c r="J179" s="40">
        <f t="shared" si="14"/>
        <v>45234</v>
      </c>
      <c r="K179" s="18">
        <f>IFERROR(__xludf.DUMMYFUNCTION("if(isblank(J179),,index(googlefinance(A179,K$2,J179-1),2,2))"),144.85)</f>
        <v>144.85</v>
      </c>
      <c r="L179" s="41">
        <f t="shared" si="2"/>
        <v>45274</v>
      </c>
      <c r="M179" s="19">
        <f>IFERROR(__xludf.DUMMYFUNCTION("if(isblank(L179),, index(googlefinance(A179,M$2,L179-1),2,2))"),168.17)</f>
        <v>168.17</v>
      </c>
      <c r="N179" s="20">
        <f>IFERROR(__xludf.DUMMYFUNCTION("if(isblank(A179),,googlefinance(A179))"),172.48)</f>
        <v>172.48</v>
      </c>
      <c r="O179" s="17" t="str">
        <f t="shared" si="11"/>
        <v>Completed</v>
      </c>
      <c r="P179" s="37" t="str">
        <f t="shared" si="4"/>
        <v>Profit</v>
      </c>
      <c r="Q179" s="38">
        <f t="shared" si="5"/>
        <v>139.92</v>
      </c>
      <c r="R179" s="17" t="b">
        <f t="shared" si="6"/>
        <v>1</v>
      </c>
      <c r="S179" s="17">
        <f t="shared" si="12"/>
        <v>23.32</v>
      </c>
      <c r="T179" s="22">
        <f t="shared" si="8"/>
        <v>6</v>
      </c>
      <c r="U179" s="23"/>
      <c r="V179" s="13"/>
      <c r="W179" s="13"/>
      <c r="X179" s="13"/>
      <c r="Y179" s="13"/>
      <c r="Z179" s="13"/>
      <c r="AA179" s="24"/>
    </row>
    <row r="180" ht="13.5" hidden="1" customHeight="1">
      <c r="A180" s="13" t="s">
        <v>66</v>
      </c>
      <c r="B180" s="39">
        <v>18.0</v>
      </c>
      <c r="C180" s="22">
        <v>8.22</v>
      </c>
      <c r="D180" s="22">
        <v>11.111</v>
      </c>
      <c r="E180" s="22">
        <v>1.07</v>
      </c>
      <c r="F180" s="34">
        <v>45236.0</v>
      </c>
      <c r="G180" s="33"/>
      <c r="H180" s="34">
        <v>45254.0</v>
      </c>
      <c r="I180" s="33"/>
      <c r="J180" s="40">
        <f t="shared" si="14"/>
        <v>45236</v>
      </c>
      <c r="K180" s="18">
        <f>IFERROR(__xludf.DUMMYFUNCTION("if(isblank(J180),,index(googlefinance(A180,K$2,J180-1),2,2))"),2971.43)</f>
        <v>2971.43</v>
      </c>
      <c r="L180" s="41">
        <f t="shared" si="2"/>
        <v>45254</v>
      </c>
      <c r="M180" s="19">
        <f>IFERROR(__xludf.DUMMYFUNCTION("if(isblank(L180),, index(googlefinance(A180,M$2,L180-1),2,2))"),3115.59)</f>
        <v>3115.59</v>
      </c>
      <c r="N180" s="20">
        <f>IFERROR(__xludf.DUMMYFUNCTION("if(isblank(A180),,googlefinance(A180))"),3716.84)</f>
        <v>3716.84</v>
      </c>
      <c r="O180" s="17" t="str">
        <f t="shared" si="11"/>
        <v>Completed</v>
      </c>
      <c r="P180" s="37" t="str">
        <f t="shared" si="4"/>
        <v>Profit</v>
      </c>
      <c r="Q180" s="21">
        <f t="shared" si="5"/>
        <v>0</v>
      </c>
      <c r="R180" s="17" t="b">
        <f t="shared" si="6"/>
        <v>0</v>
      </c>
      <c r="S180" s="17">
        <f t="shared" si="12"/>
        <v>144.16</v>
      </c>
      <c r="T180" s="22">
        <f t="shared" si="8"/>
        <v>0</v>
      </c>
      <c r="U180" s="23"/>
      <c r="V180" s="13"/>
      <c r="W180" s="13"/>
      <c r="X180" s="13"/>
      <c r="Y180" s="13"/>
      <c r="Z180" s="13"/>
      <c r="AA180" s="24"/>
    </row>
    <row r="181" ht="13.5" hidden="1" customHeight="1">
      <c r="A181" s="13" t="s">
        <v>170</v>
      </c>
      <c r="B181" s="39">
        <v>10.0</v>
      </c>
      <c r="C181" s="22">
        <v>200.61</v>
      </c>
      <c r="D181" s="22">
        <v>50.0</v>
      </c>
      <c r="E181" s="22">
        <v>3.113</v>
      </c>
      <c r="F181" s="34">
        <v>45236.0</v>
      </c>
      <c r="G181" s="33"/>
      <c r="H181" s="34">
        <v>45259.0</v>
      </c>
      <c r="I181" s="33"/>
      <c r="J181" s="40">
        <f t="shared" si="14"/>
        <v>45236</v>
      </c>
      <c r="K181" s="18">
        <f>IFERROR(__xludf.DUMMYFUNCTION("if(isblank(J181),,index(googlefinance(A181,K$2,J181-1),2,2))"),129.0)</f>
        <v>129</v>
      </c>
      <c r="L181" s="41">
        <f t="shared" si="2"/>
        <v>45259</v>
      </c>
      <c r="M181" s="19">
        <f>IFERROR(__xludf.DUMMYFUNCTION("if(isblank(L181),, index(googlefinance(A181,M$2,L181-1),2,2))"),144.11)</f>
        <v>144.11</v>
      </c>
      <c r="N181" s="20">
        <f>IFERROR(__xludf.DUMMYFUNCTION("if(isblank(A181),,googlefinance(A181))"),151.05)</f>
        <v>151.05</v>
      </c>
      <c r="O181" s="17" t="str">
        <f t="shared" si="11"/>
        <v>Completed</v>
      </c>
      <c r="P181" s="37" t="str">
        <f t="shared" si="4"/>
        <v>Profit</v>
      </c>
      <c r="Q181" s="38">
        <f t="shared" si="5"/>
        <v>105.77</v>
      </c>
      <c r="R181" s="17" t="b">
        <f t="shared" si="6"/>
        <v>1</v>
      </c>
      <c r="S181" s="17">
        <f t="shared" si="12"/>
        <v>15.11</v>
      </c>
      <c r="T181" s="22">
        <f t="shared" si="8"/>
        <v>7</v>
      </c>
      <c r="U181" s="23"/>
      <c r="V181" s="13"/>
      <c r="W181" s="13"/>
      <c r="X181" s="13"/>
      <c r="Y181" s="13"/>
      <c r="Z181" s="13"/>
      <c r="AA181" s="24"/>
    </row>
    <row r="182" ht="13.5" hidden="1" customHeight="1">
      <c r="A182" s="13" t="s">
        <v>171</v>
      </c>
      <c r="B182" s="39">
        <v>14.0</v>
      </c>
      <c r="C182" s="22">
        <v>435.78</v>
      </c>
      <c r="D182" s="22">
        <v>35.714</v>
      </c>
      <c r="E182" s="47">
        <v>2.006</v>
      </c>
      <c r="F182" s="34">
        <v>45236.0</v>
      </c>
      <c r="G182" s="33"/>
      <c r="H182" s="34">
        <v>45265.0</v>
      </c>
      <c r="I182" s="33"/>
      <c r="J182" s="40">
        <f t="shared" si="14"/>
        <v>45236</v>
      </c>
      <c r="K182" s="18">
        <f>IFERROR(__xludf.DUMMYFUNCTION("if(isblank(J182),,index(googlefinance(A182,K$2,J182-1),2,2))"),32.92)</f>
        <v>32.92</v>
      </c>
      <c r="L182" s="41">
        <f t="shared" si="2"/>
        <v>45265</v>
      </c>
      <c r="M182" s="19">
        <f>IFERROR(__xludf.DUMMYFUNCTION("if(isblank(L182),, index(googlefinance(A182,M$2,L182-1),2,2))"),38.16)</f>
        <v>38.16</v>
      </c>
      <c r="N182" s="20">
        <f>IFERROR(__xludf.DUMMYFUNCTION("if(isblank(A182),,googlefinance(A182))"),40.12)</f>
        <v>40.12</v>
      </c>
      <c r="O182" s="17" t="str">
        <f t="shared" si="11"/>
        <v>Completed</v>
      </c>
      <c r="P182" s="37" t="str">
        <f t="shared" si="4"/>
        <v>Profit</v>
      </c>
      <c r="Q182" s="38">
        <f t="shared" si="5"/>
        <v>157.2</v>
      </c>
      <c r="R182" s="17" t="b">
        <f t="shared" si="6"/>
        <v>1</v>
      </c>
      <c r="S182" s="17">
        <f t="shared" si="12"/>
        <v>5.24</v>
      </c>
      <c r="T182" s="22">
        <f t="shared" si="8"/>
        <v>30</v>
      </c>
      <c r="U182" s="23"/>
      <c r="V182" s="13"/>
      <c r="W182" s="13"/>
      <c r="X182" s="13"/>
      <c r="Y182" s="13"/>
      <c r="Z182" s="13"/>
      <c r="AA182" s="24"/>
    </row>
    <row r="183" ht="13.5" hidden="1" customHeight="1">
      <c r="A183" s="13" t="s">
        <v>172</v>
      </c>
      <c r="B183" s="39">
        <v>14.0</v>
      </c>
      <c r="C183" s="22">
        <v>62.52</v>
      </c>
      <c r="D183" s="22">
        <v>42.857</v>
      </c>
      <c r="E183" s="22">
        <v>1.417</v>
      </c>
      <c r="F183" s="34">
        <v>45236.0</v>
      </c>
      <c r="G183" s="33"/>
      <c r="H183" s="34">
        <v>45237.0</v>
      </c>
      <c r="I183" s="33"/>
      <c r="J183" s="40">
        <f t="shared" si="14"/>
        <v>45236</v>
      </c>
      <c r="K183" s="18">
        <f>IFERROR(__xludf.DUMMYFUNCTION("if(isblank(J183),,index(googlefinance(A183,K$2,J183-1),2,2))"),132.76)</f>
        <v>132.76</v>
      </c>
      <c r="L183" s="41">
        <f t="shared" si="2"/>
        <v>45237</v>
      </c>
      <c r="M183" s="19">
        <f>IFERROR(__xludf.DUMMYFUNCTION("if(isblank(L183),, index(googlefinance(A183,M$2,L183-1),2,2))"),132.76)</f>
        <v>132.76</v>
      </c>
      <c r="N183" s="20">
        <f>IFERROR(__xludf.DUMMYFUNCTION("if(isblank(A183),,googlefinance(A183))"),161.46)</f>
        <v>161.46</v>
      </c>
      <c r="O183" s="17" t="str">
        <f t="shared" si="11"/>
        <v>Completed</v>
      </c>
      <c r="P183" s="42" t="str">
        <f t="shared" si="4"/>
        <v>Loss</v>
      </c>
      <c r="Q183" s="21">
        <f t="shared" si="5"/>
        <v>0</v>
      </c>
      <c r="R183" s="17" t="b">
        <f t="shared" si="6"/>
        <v>0</v>
      </c>
      <c r="S183" s="17">
        <f t="shared" si="12"/>
        <v>0</v>
      </c>
      <c r="T183" s="22">
        <f t="shared" si="8"/>
        <v>7</v>
      </c>
      <c r="U183" s="23"/>
      <c r="V183" s="13"/>
      <c r="W183" s="13"/>
      <c r="X183" s="13"/>
      <c r="Y183" s="13"/>
      <c r="Z183" s="13"/>
      <c r="AA183" s="24"/>
    </row>
    <row r="184" ht="13.5" hidden="1" customHeight="1">
      <c r="A184" s="13" t="s">
        <v>173</v>
      </c>
      <c r="B184" s="39">
        <v>11.0</v>
      </c>
      <c r="C184" s="22">
        <v>0.87</v>
      </c>
      <c r="D184" s="22">
        <v>36.364</v>
      </c>
      <c r="E184" s="22">
        <v>1.007</v>
      </c>
      <c r="F184" s="34">
        <v>45236.0</v>
      </c>
      <c r="G184" s="33"/>
      <c r="H184" s="34">
        <v>45237.0</v>
      </c>
      <c r="I184" s="33"/>
      <c r="J184" s="40">
        <f t="shared" si="14"/>
        <v>45236</v>
      </c>
      <c r="K184" s="18">
        <f>IFERROR(__xludf.DUMMYFUNCTION("if(isblank(J184),,index(googlefinance(A184,K$2,J184-1),2,2))"),91.74)</f>
        <v>91.74</v>
      </c>
      <c r="L184" s="41">
        <f t="shared" si="2"/>
        <v>45237</v>
      </c>
      <c r="M184" s="19">
        <f>IFERROR(__xludf.DUMMYFUNCTION("if(isblank(L184),, index(googlefinance(A184,M$2,L184-1),2,2))"),91.74)</f>
        <v>91.74</v>
      </c>
      <c r="N184" s="20">
        <f>IFERROR(__xludf.DUMMYFUNCTION("if(isblank(A184),,googlefinance(A184))"),106.15)</f>
        <v>106.15</v>
      </c>
      <c r="O184" s="17" t="str">
        <f t="shared" si="11"/>
        <v>Completed</v>
      </c>
      <c r="P184" s="42" t="str">
        <f t="shared" si="4"/>
        <v>Loss</v>
      </c>
      <c r="Q184" s="21">
        <f t="shared" si="5"/>
        <v>0</v>
      </c>
      <c r="R184" s="17" t="b">
        <f t="shared" si="6"/>
        <v>0</v>
      </c>
      <c r="S184" s="17">
        <f t="shared" si="12"/>
        <v>0</v>
      </c>
      <c r="T184" s="22">
        <f t="shared" si="8"/>
        <v>10</v>
      </c>
      <c r="U184" s="23"/>
      <c r="V184" s="13"/>
      <c r="W184" s="13"/>
      <c r="X184" s="13"/>
      <c r="Y184" s="13"/>
      <c r="Z184" s="13"/>
      <c r="AA184" s="24"/>
    </row>
    <row r="185" ht="13.5" hidden="1" customHeight="1">
      <c r="A185" s="13" t="s">
        <v>55</v>
      </c>
      <c r="B185" s="39">
        <v>9.0</v>
      </c>
      <c r="C185" s="22">
        <v>81.02</v>
      </c>
      <c r="D185" s="22">
        <v>55.556</v>
      </c>
      <c r="E185" s="22">
        <v>2.796</v>
      </c>
      <c r="F185" s="34">
        <v>45236.0</v>
      </c>
      <c r="G185" s="33"/>
      <c r="H185" s="34">
        <v>45239.0</v>
      </c>
      <c r="I185" s="33"/>
      <c r="J185" s="40">
        <f t="shared" si="14"/>
        <v>45236</v>
      </c>
      <c r="K185" s="18">
        <f>IFERROR(__xludf.DUMMYFUNCTION("if(isblank(J185),,index(googlefinance(A185,K$2,J185-1),2,2))"),151.7)</f>
        <v>151.7</v>
      </c>
      <c r="L185" s="41">
        <f t="shared" si="2"/>
        <v>45239</v>
      </c>
      <c r="M185" s="19">
        <f>IFERROR(__xludf.DUMMYFUNCTION("if(isblank(L185),, index(googlefinance(A185,M$2,L185-1),2,2))"),150.35)</f>
        <v>150.35</v>
      </c>
      <c r="N185" s="20">
        <f>IFERROR(__xludf.DUMMYFUNCTION("if(isblank(A185),,googlefinance(A185))"),156.55)</f>
        <v>156.55</v>
      </c>
      <c r="O185" s="17" t="str">
        <f t="shared" si="11"/>
        <v>Completed</v>
      </c>
      <c r="P185" s="42" t="str">
        <f t="shared" si="4"/>
        <v>Loss</v>
      </c>
      <c r="Q185" s="43">
        <f t="shared" si="5"/>
        <v>-8.1</v>
      </c>
      <c r="R185" s="17" t="b">
        <f t="shared" si="6"/>
        <v>0</v>
      </c>
      <c r="S185" s="17">
        <f t="shared" si="12"/>
        <v>-1.35</v>
      </c>
      <c r="T185" s="22">
        <f t="shared" si="8"/>
        <v>6</v>
      </c>
      <c r="U185" s="23"/>
      <c r="V185" s="13"/>
      <c r="W185" s="13"/>
      <c r="X185" s="13"/>
      <c r="Y185" s="13"/>
      <c r="Z185" s="13"/>
      <c r="AA185" s="24"/>
    </row>
    <row r="186" ht="13.5" hidden="1" customHeight="1">
      <c r="A186" s="13" t="s">
        <v>174</v>
      </c>
      <c r="B186" s="39">
        <v>11.0</v>
      </c>
      <c r="C186" s="22">
        <v>40.26</v>
      </c>
      <c r="D186" s="22">
        <v>36.364</v>
      </c>
      <c r="E186" s="22">
        <v>1.165</v>
      </c>
      <c r="F186" s="34">
        <v>45236.0</v>
      </c>
      <c r="G186" s="33"/>
      <c r="H186" s="34">
        <v>45237.0</v>
      </c>
      <c r="I186" s="33"/>
      <c r="J186" s="40">
        <f t="shared" si="14"/>
        <v>45236</v>
      </c>
      <c r="K186" s="18">
        <f>IFERROR(__xludf.DUMMYFUNCTION("if(isblank(J186),,index(googlefinance(A186,K$2,J186-1),2,2))"),121.76)</f>
        <v>121.76</v>
      </c>
      <c r="L186" s="41">
        <f t="shared" si="2"/>
        <v>45237</v>
      </c>
      <c r="M186" s="19">
        <f>IFERROR(__xludf.DUMMYFUNCTION("if(isblank(L186),, index(googlefinance(A186,M$2,L186-1),2,2))"),121.76)</f>
        <v>121.76</v>
      </c>
      <c r="N186" s="20">
        <f>IFERROR(__xludf.DUMMYFUNCTION("if(isblank(A186),,googlefinance(A186))"),129.17)</f>
        <v>129.17</v>
      </c>
      <c r="O186" s="17" t="str">
        <f t="shared" si="11"/>
        <v>Completed</v>
      </c>
      <c r="P186" s="42" t="str">
        <f t="shared" si="4"/>
        <v>Loss</v>
      </c>
      <c r="Q186" s="21">
        <f t="shared" si="5"/>
        <v>0</v>
      </c>
      <c r="R186" s="17" t="b">
        <f t="shared" si="6"/>
        <v>0</v>
      </c>
      <c r="S186" s="17">
        <f t="shared" si="12"/>
        <v>0</v>
      </c>
      <c r="T186" s="22">
        <f t="shared" si="8"/>
        <v>8</v>
      </c>
      <c r="U186" s="23"/>
      <c r="V186" s="13"/>
      <c r="W186" s="13"/>
      <c r="X186" s="13"/>
      <c r="Y186" s="13"/>
      <c r="Z186" s="13"/>
      <c r="AA186" s="24"/>
    </row>
    <row r="187" ht="13.5" hidden="1" customHeight="1">
      <c r="A187" s="13" t="s">
        <v>175</v>
      </c>
      <c r="B187" s="39">
        <v>9.0</v>
      </c>
      <c r="C187" s="22">
        <v>139.688</v>
      </c>
      <c r="D187" s="22">
        <v>33.333</v>
      </c>
      <c r="E187" s="22">
        <v>1.666</v>
      </c>
      <c r="F187" s="34">
        <v>45236.0</v>
      </c>
      <c r="G187" s="33"/>
      <c r="H187" s="34">
        <v>45239.0</v>
      </c>
      <c r="I187" s="33"/>
      <c r="J187" s="40">
        <f t="shared" si="14"/>
        <v>45236</v>
      </c>
      <c r="K187" s="18">
        <f>IFERROR(__xludf.DUMMYFUNCTION("if(isblank(J187),,index(googlefinance(A187,K$2,J187-1),2,2))"),31.18)</f>
        <v>31.18</v>
      </c>
      <c r="L187" s="41">
        <f t="shared" si="2"/>
        <v>45239</v>
      </c>
      <c r="M187" s="19">
        <f>IFERROR(__xludf.DUMMYFUNCTION("if(isblank(L187),, index(googlefinance(A187,M$2,L187-1),2,2))"),30.82)</f>
        <v>30.82</v>
      </c>
      <c r="N187" s="20">
        <f>IFERROR(__xludf.DUMMYFUNCTION("if(isblank(A187),,googlefinance(A187))"),27.62)</f>
        <v>27.62</v>
      </c>
      <c r="O187" s="17" t="str">
        <f t="shared" si="11"/>
        <v>Completed</v>
      </c>
      <c r="P187" s="42" t="str">
        <f t="shared" si="4"/>
        <v>Loss</v>
      </c>
      <c r="Q187" s="43">
        <f t="shared" si="5"/>
        <v>-11.52</v>
      </c>
      <c r="R187" s="17" t="b">
        <f t="shared" si="6"/>
        <v>0</v>
      </c>
      <c r="S187" s="17">
        <f t="shared" si="12"/>
        <v>-0.36</v>
      </c>
      <c r="T187" s="22">
        <f t="shared" si="8"/>
        <v>32</v>
      </c>
      <c r="U187" s="23"/>
      <c r="V187" s="13"/>
      <c r="W187" s="13"/>
      <c r="X187" s="13"/>
      <c r="Y187" s="13"/>
      <c r="Z187" s="13"/>
      <c r="AA187" s="24"/>
    </row>
    <row r="188" ht="13.5" hidden="1" customHeight="1">
      <c r="A188" s="13" t="s">
        <v>176</v>
      </c>
      <c r="B188" s="22">
        <v>10.0</v>
      </c>
      <c r="C188" s="22">
        <v>988.49</v>
      </c>
      <c r="D188" s="22">
        <v>50.0</v>
      </c>
      <c r="E188" s="47">
        <v>5.72</v>
      </c>
      <c r="F188" s="34">
        <v>45236.0</v>
      </c>
      <c r="G188" s="33"/>
      <c r="H188" s="34">
        <v>45278.0</v>
      </c>
      <c r="I188" s="33"/>
      <c r="J188" s="40">
        <f t="shared" si="14"/>
        <v>45236</v>
      </c>
      <c r="K188" s="18">
        <f>IFERROR(__xludf.DUMMYFUNCTION("if(isblank(J188),,index(googlefinance(A188,K$2,J188-1),2,2))"),36.76)</f>
        <v>36.76</v>
      </c>
      <c r="L188" s="41">
        <f t="shared" si="2"/>
        <v>45278</v>
      </c>
      <c r="M188" s="19">
        <f>IFERROR(__xludf.DUMMYFUNCTION("if(isblank(L188),, index(googlefinance(A188,M$2,L188-1),2,2))"),42.33)</f>
        <v>42.33</v>
      </c>
      <c r="N188" s="20">
        <f>IFERROR(__xludf.DUMMYFUNCTION("if(isblank(A188),,googlefinance(A188))"),41.99)</f>
        <v>41.99</v>
      </c>
      <c r="O188" s="17" t="str">
        <f t="shared" si="11"/>
        <v>Completed</v>
      </c>
      <c r="P188" s="37" t="str">
        <f t="shared" si="4"/>
        <v>Profit</v>
      </c>
      <c r="Q188" s="38">
        <f t="shared" si="5"/>
        <v>150.39</v>
      </c>
      <c r="R188" s="17" t="b">
        <f t="shared" si="6"/>
        <v>1</v>
      </c>
      <c r="S188" s="17">
        <f t="shared" si="12"/>
        <v>5.57</v>
      </c>
      <c r="T188" s="22">
        <f t="shared" si="8"/>
        <v>27</v>
      </c>
      <c r="U188" s="23"/>
      <c r="V188" s="13"/>
      <c r="W188" s="13"/>
      <c r="X188" s="13"/>
      <c r="Y188" s="13"/>
      <c r="Z188" s="13"/>
      <c r="AA188" s="24"/>
    </row>
    <row r="189" ht="13.5" hidden="1" customHeight="1">
      <c r="A189" s="13" t="s">
        <v>177</v>
      </c>
      <c r="B189" s="39">
        <v>12.0</v>
      </c>
      <c r="C189" s="22">
        <v>91.38</v>
      </c>
      <c r="D189" s="22">
        <v>58.333</v>
      </c>
      <c r="E189" s="22">
        <v>1.651</v>
      </c>
      <c r="F189" s="34">
        <v>45236.0</v>
      </c>
      <c r="G189" s="33"/>
      <c r="H189" s="34">
        <v>45275.0</v>
      </c>
      <c r="I189" s="33"/>
      <c r="J189" s="40">
        <f t="shared" si="14"/>
        <v>45236</v>
      </c>
      <c r="K189" s="18">
        <f>IFERROR(__xludf.DUMMYFUNCTION("if(isblank(J189),,index(googlefinance(A189,K$2,J189-1),2,2))"),104.93)</f>
        <v>104.93</v>
      </c>
      <c r="L189" s="41">
        <f t="shared" si="2"/>
        <v>45275</v>
      </c>
      <c r="M189" s="19">
        <f>IFERROR(__xludf.DUMMYFUNCTION("if(isblank(L189),, index(googlefinance(A189,M$2,L189-1),2,2))"),137.12)</f>
        <v>137.12</v>
      </c>
      <c r="N189" s="20">
        <f>IFERROR(__xludf.DUMMYFUNCTION("if(isblank(A189),,googlefinance(A189))"),133.39)</f>
        <v>133.39</v>
      </c>
      <c r="O189" s="17" t="str">
        <f t="shared" si="11"/>
        <v>Completed</v>
      </c>
      <c r="P189" s="37" t="str">
        <f t="shared" si="4"/>
        <v>Profit</v>
      </c>
      <c r="Q189" s="38">
        <f t="shared" si="5"/>
        <v>289.71</v>
      </c>
      <c r="R189" s="17" t="b">
        <f t="shared" si="6"/>
        <v>1</v>
      </c>
      <c r="S189" s="17">
        <f t="shared" si="12"/>
        <v>32.19</v>
      </c>
      <c r="T189" s="22">
        <f t="shared" si="8"/>
        <v>9</v>
      </c>
      <c r="U189" s="23"/>
      <c r="V189" s="13"/>
      <c r="W189" s="13"/>
      <c r="X189" s="13"/>
      <c r="Y189" s="13"/>
      <c r="Z189" s="13"/>
      <c r="AA189" s="24"/>
    </row>
    <row r="190" ht="13.5" hidden="1" customHeight="1">
      <c r="A190" s="13" t="s">
        <v>81</v>
      </c>
      <c r="B190" s="39">
        <v>8.0</v>
      </c>
      <c r="C190" s="22">
        <v>139.65</v>
      </c>
      <c r="D190" s="22">
        <v>37.5</v>
      </c>
      <c r="E190" s="22">
        <v>1.955</v>
      </c>
      <c r="F190" s="34">
        <v>45237.0</v>
      </c>
      <c r="G190" s="33"/>
      <c r="H190" s="34">
        <v>45259.0</v>
      </c>
      <c r="I190" s="33"/>
      <c r="J190" s="40">
        <f t="shared" si="14"/>
        <v>45237</v>
      </c>
      <c r="K190" s="18">
        <f>IFERROR(__xludf.DUMMYFUNCTION("if(isblank(J190),,index(googlefinance(A190,K$2,J190-1),2,2))"),333.03)</f>
        <v>333.03</v>
      </c>
      <c r="L190" s="41">
        <f t="shared" si="2"/>
        <v>45259</v>
      </c>
      <c r="M190" s="19">
        <f>IFERROR(__xludf.DUMMYFUNCTION("if(isblank(L190),, index(googlefinance(A190,M$2,L190-1),2,2))"),352.42)</f>
        <v>352.42</v>
      </c>
      <c r="N190" s="20">
        <f>IFERROR(__xludf.DUMMYFUNCTION("if(isblank(A190),,googlefinance(A190))"),362.05)</f>
        <v>362.05</v>
      </c>
      <c r="O190" s="17" t="str">
        <f t="shared" si="11"/>
        <v>Completed</v>
      </c>
      <c r="P190" s="37" t="str">
        <f t="shared" si="4"/>
        <v>Profit</v>
      </c>
      <c r="Q190" s="38">
        <f t="shared" si="5"/>
        <v>58.17</v>
      </c>
      <c r="R190" s="17" t="b">
        <f t="shared" si="6"/>
        <v>1</v>
      </c>
      <c r="S190" s="17">
        <f t="shared" si="12"/>
        <v>19.39</v>
      </c>
      <c r="T190" s="22">
        <f t="shared" si="8"/>
        <v>3</v>
      </c>
      <c r="U190" s="23"/>
      <c r="V190" s="13"/>
      <c r="W190" s="13"/>
      <c r="X190" s="13"/>
      <c r="Y190" s="13"/>
      <c r="Z190" s="13"/>
      <c r="AA190" s="24"/>
    </row>
    <row r="191" ht="13.5" hidden="1" customHeight="1">
      <c r="A191" s="13" t="s">
        <v>178</v>
      </c>
      <c r="B191" s="39">
        <v>12.0</v>
      </c>
      <c r="C191" s="22">
        <v>282.81</v>
      </c>
      <c r="D191" s="22">
        <v>50.0</v>
      </c>
      <c r="E191" s="22">
        <v>2.731</v>
      </c>
      <c r="F191" s="34">
        <v>45238.0</v>
      </c>
      <c r="G191" s="33"/>
      <c r="H191" s="34">
        <v>45264.0</v>
      </c>
      <c r="I191" s="33"/>
      <c r="J191" s="40">
        <f t="shared" si="14"/>
        <v>45238</v>
      </c>
      <c r="K191" s="18">
        <f>IFERROR(__xludf.DUMMYFUNCTION("if(isblank(J191),,index(googlefinance(A191,K$2,J191-1),2,2))"),33.16)</f>
        <v>33.16</v>
      </c>
      <c r="L191" s="41">
        <f t="shared" si="2"/>
        <v>45264</v>
      </c>
      <c r="M191" s="19">
        <f>IFERROR(__xludf.DUMMYFUNCTION("if(isblank(L191),, index(googlefinance(A191,M$2,L191-1),2,2))"),34.08)</f>
        <v>34.08</v>
      </c>
      <c r="N191" s="20">
        <f>IFERROR(__xludf.DUMMYFUNCTION("if(isblank(A191),,googlefinance(A191))"),37.52)</f>
        <v>37.52</v>
      </c>
      <c r="O191" s="17" t="str">
        <f t="shared" si="11"/>
        <v>Completed</v>
      </c>
      <c r="P191" s="37" t="str">
        <f t="shared" si="4"/>
        <v>Profit</v>
      </c>
      <c r="Q191" s="38">
        <f t="shared" si="5"/>
        <v>27.6</v>
      </c>
      <c r="R191" s="17" t="b">
        <f t="shared" si="6"/>
        <v>1</v>
      </c>
      <c r="S191" s="17">
        <f t="shared" si="12"/>
        <v>0.92</v>
      </c>
      <c r="T191" s="22">
        <f t="shared" si="8"/>
        <v>30</v>
      </c>
      <c r="U191" s="23"/>
      <c r="V191" s="13"/>
      <c r="W191" s="13"/>
      <c r="X191" s="13"/>
      <c r="Y191" s="13"/>
      <c r="Z191" s="13"/>
      <c r="AA191" s="24"/>
    </row>
    <row r="192" ht="13.5" hidden="1" customHeight="1">
      <c r="A192" s="13" t="s">
        <v>128</v>
      </c>
      <c r="B192" s="22">
        <v>18.0</v>
      </c>
      <c r="C192" s="22">
        <v>207.1</v>
      </c>
      <c r="D192" s="22">
        <v>27.778</v>
      </c>
      <c r="E192" s="47">
        <v>2.011</v>
      </c>
      <c r="F192" s="34">
        <v>45238.0</v>
      </c>
      <c r="G192" s="33"/>
      <c r="H192" s="34">
        <v>45278.0</v>
      </c>
      <c r="I192" s="33"/>
      <c r="J192" s="40">
        <f t="shared" si="14"/>
        <v>45238</v>
      </c>
      <c r="K192" s="18">
        <f>IFERROR(__xludf.DUMMYFUNCTION("if(isblank(J192),,index(googlefinance(A192,K$2,J192-1),2,2))"),107.2)</f>
        <v>107.2</v>
      </c>
      <c r="L192" s="41">
        <f t="shared" si="2"/>
        <v>45278</v>
      </c>
      <c r="M192" s="19">
        <f>IFERROR(__xludf.DUMMYFUNCTION("if(isblank(L192),, index(googlefinance(A192,M$2,L192-1),2,2))"),151.61)</f>
        <v>151.61</v>
      </c>
      <c r="N192" s="20">
        <f>IFERROR(__xludf.DUMMYFUNCTION("if(isblank(A192),,googlefinance(A192))"),141.57)</f>
        <v>141.57</v>
      </c>
      <c r="O192" s="17" t="str">
        <f t="shared" si="11"/>
        <v>Completed</v>
      </c>
      <c r="P192" s="37" t="str">
        <f t="shared" si="4"/>
        <v>Profit</v>
      </c>
      <c r="Q192" s="38">
        <f t="shared" si="5"/>
        <v>399.69</v>
      </c>
      <c r="R192" s="17" t="b">
        <f t="shared" si="6"/>
        <v>1</v>
      </c>
      <c r="S192" s="17">
        <f t="shared" si="12"/>
        <v>44.41</v>
      </c>
      <c r="T192" s="22">
        <f t="shared" si="8"/>
        <v>9</v>
      </c>
      <c r="U192" s="23"/>
      <c r="V192" s="13"/>
      <c r="W192" s="13"/>
      <c r="X192" s="13"/>
      <c r="Y192" s="13"/>
      <c r="Z192" s="13"/>
      <c r="AA192" s="24"/>
    </row>
    <row r="193" ht="13.5" hidden="1" customHeight="1">
      <c r="A193" s="13" t="s">
        <v>96</v>
      </c>
      <c r="B193" s="39">
        <v>13.0</v>
      </c>
      <c r="C193" s="22">
        <v>173.07</v>
      </c>
      <c r="D193" s="22">
        <v>46.154</v>
      </c>
      <c r="E193" s="22">
        <v>1.741</v>
      </c>
      <c r="F193" s="34">
        <v>45244.0</v>
      </c>
      <c r="G193" s="33"/>
      <c r="H193" s="34">
        <v>45272.0</v>
      </c>
      <c r="I193" s="33"/>
      <c r="J193" s="40">
        <f t="shared" si="14"/>
        <v>45244</v>
      </c>
      <c r="K193" s="18">
        <f>IFERROR(__xludf.DUMMYFUNCTION("if(isblank(J193),,index(googlefinance(A193,K$2,J193-1),2,2))"),63.84)</f>
        <v>63.84</v>
      </c>
      <c r="L193" s="41">
        <f t="shared" si="2"/>
        <v>45272</v>
      </c>
      <c r="M193" s="19">
        <f>IFERROR(__xludf.DUMMYFUNCTION("if(isblank(L193),, index(googlefinance(A193,M$2,L193-1),2,2))"),74.14)</f>
        <v>74.14</v>
      </c>
      <c r="N193" s="20">
        <f>IFERROR(__xludf.DUMMYFUNCTION("if(isblank(A193),,googlefinance(A193))"),73.75)</f>
        <v>73.75</v>
      </c>
      <c r="O193" s="17" t="str">
        <f t="shared" si="11"/>
        <v>Completed</v>
      </c>
      <c r="P193" s="37" t="str">
        <f t="shared" si="4"/>
        <v>Profit</v>
      </c>
      <c r="Q193" s="38">
        <f t="shared" si="5"/>
        <v>154.5</v>
      </c>
      <c r="R193" s="17" t="b">
        <f t="shared" si="6"/>
        <v>1</v>
      </c>
      <c r="S193" s="17">
        <f t="shared" si="12"/>
        <v>10.3</v>
      </c>
      <c r="T193" s="22">
        <f t="shared" si="8"/>
        <v>15</v>
      </c>
      <c r="U193" s="23"/>
      <c r="V193" s="13"/>
      <c r="W193" s="13"/>
      <c r="X193" s="13"/>
      <c r="Y193" s="13"/>
      <c r="Z193" s="13"/>
      <c r="AA193" s="24"/>
    </row>
    <row r="194" ht="13.5" hidden="1" customHeight="1">
      <c r="A194" s="13" t="s">
        <v>179</v>
      </c>
      <c r="B194" s="39">
        <v>11.0</v>
      </c>
      <c r="C194" s="22">
        <v>0.61</v>
      </c>
      <c r="D194" s="22">
        <v>9.091</v>
      </c>
      <c r="E194" s="22">
        <v>1.002</v>
      </c>
      <c r="F194" s="34">
        <v>45244.0</v>
      </c>
      <c r="G194" s="33"/>
      <c r="H194" s="34">
        <v>45251.0</v>
      </c>
      <c r="I194" s="33"/>
      <c r="J194" s="40">
        <f t="shared" si="14"/>
        <v>45244</v>
      </c>
      <c r="K194" s="18">
        <f>IFERROR(__xludf.DUMMYFUNCTION("if(isblank(J194),,index(googlefinance(A194,K$2,J194-1),2,2))"),51.21)</f>
        <v>51.21</v>
      </c>
      <c r="L194" s="41">
        <f t="shared" si="2"/>
        <v>45251</v>
      </c>
      <c r="M194" s="19">
        <f>IFERROR(__xludf.DUMMYFUNCTION("if(isblank(L194),, index(googlefinance(A194,M$2,L194-1),2,2))"),55.09)</f>
        <v>55.09</v>
      </c>
      <c r="N194" s="20">
        <f>IFERROR(__xludf.DUMMYFUNCTION("if(isblank(A194),,googlefinance(A194))"),67.36)</f>
        <v>67.36</v>
      </c>
      <c r="O194" s="17" t="str">
        <f t="shared" si="11"/>
        <v>Completed</v>
      </c>
      <c r="P194" s="37" t="str">
        <f t="shared" si="4"/>
        <v>Profit</v>
      </c>
      <c r="Q194" s="38">
        <f t="shared" si="5"/>
        <v>73.72</v>
      </c>
      <c r="R194" s="17" t="b">
        <f t="shared" si="6"/>
        <v>1</v>
      </c>
      <c r="S194" s="17">
        <f t="shared" si="12"/>
        <v>3.88</v>
      </c>
      <c r="T194" s="22">
        <f t="shared" si="8"/>
        <v>19</v>
      </c>
      <c r="U194" s="23"/>
      <c r="V194" s="13"/>
      <c r="W194" s="13"/>
      <c r="X194" s="13"/>
      <c r="Y194" s="13"/>
      <c r="Z194" s="13"/>
      <c r="AA194" s="24"/>
    </row>
    <row r="195" ht="13.5" hidden="1" customHeight="1">
      <c r="A195" s="13" t="s">
        <v>180</v>
      </c>
      <c r="B195" s="39">
        <v>11.0</v>
      </c>
      <c r="C195" s="22">
        <v>33.94</v>
      </c>
      <c r="D195" s="22">
        <v>45.455</v>
      </c>
      <c r="E195" s="22">
        <v>1.243</v>
      </c>
      <c r="F195" s="33"/>
      <c r="G195" s="34">
        <v>45246.0</v>
      </c>
      <c r="H195" s="33"/>
      <c r="I195" s="34">
        <v>45273.0</v>
      </c>
      <c r="J195" s="35">
        <f t="shared" si="14"/>
        <v>45246</v>
      </c>
      <c r="K195" s="18">
        <f>IFERROR(__xludf.DUMMYFUNCTION("if(isblank(J195),,index(googlefinance(A195,K$2,J195-1),2,2))"),169.78)</f>
        <v>169.78</v>
      </c>
      <c r="L195" s="36">
        <f t="shared" si="2"/>
        <v>45273</v>
      </c>
      <c r="M195" s="19">
        <f>IFERROR(__xludf.DUMMYFUNCTION("if(isblank(L195),, index(googlefinance(A195,M$2,L195-1),2,2))"),151.36)</f>
        <v>151.36</v>
      </c>
      <c r="N195" s="20">
        <f>IFERROR(__xludf.DUMMYFUNCTION("if(isblank(A195),,googlefinance(A195))"),170.36)</f>
        <v>170.36</v>
      </c>
      <c r="O195" s="17" t="str">
        <f t="shared" si="11"/>
        <v>Completed</v>
      </c>
      <c r="P195" s="37" t="str">
        <f t="shared" si="4"/>
        <v>Profit</v>
      </c>
      <c r="Q195" s="38">
        <f t="shared" si="5"/>
        <v>92.1</v>
      </c>
      <c r="R195" s="17" t="b">
        <f t="shared" si="6"/>
        <v>1</v>
      </c>
      <c r="S195" s="17">
        <f t="shared" si="12"/>
        <v>-18.42</v>
      </c>
      <c r="T195" s="22">
        <f t="shared" si="8"/>
        <v>5</v>
      </c>
      <c r="U195" s="23"/>
      <c r="V195" s="13"/>
      <c r="W195" s="13"/>
      <c r="X195" s="13"/>
      <c r="Y195" s="13"/>
      <c r="Z195" s="13"/>
      <c r="AA195" s="24"/>
    </row>
    <row r="196" ht="13.5" hidden="1" customHeight="1">
      <c r="A196" s="13" t="s">
        <v>39</v>
      </c>
      <c r="B196" s="39">
        <v>16.0</v>
      </c>
      <c r="C196" s="22">
        <v>123.335</v>
      </c>
      <c r="D196" s="22">
        <v>31.25</v>
      </c>
      <c r="E196" s="47">
        <v>1.201</v>
      </c>
      <c r="F196" s="33"/>
      <c r="G196" s="34">
        <v>45247.0</v>
      </c>
      <c r="H196" s="33"/>
      <c r="I196" s="34">
        <v>45268.0</v>
      </c>
      <c r="J196" s="35">
        <f t="shared" si="14"/>
        <v>45247</v>
      </c>
      <c r="K196" s="18">
        <f>IFERROR(__xludf.DUMMYFUNCTION("if(isblank(J196),,index(googlefinance(A196,K$2,J196-1),2,2))"),31.58)</f>
        <v>31.58</v>
      </c>
      <c r="L196" s="36">
        <f t="shared" si="2"/>
        <v>45268</v>
      </c>
      <c r="M196" s="19">
        <f>IFERROR(__xludf.DUMMYFUNCTION("if(isblank(L196),, index(googlefinance(A196,M$2,L196-1),2,2))"),32.24)</f>
        <v>32.24</v>
      </c>
      <c r="N196" s="20">
        <f>IFERROR(__xludf.DUMMYFUNCTION("if(isblank(A196),,googlefinance(A196))"),37.59)</f>
        <v>37.59</v>
      </c>
      <c r="O196" s="17" t="str">
        <f t="shared" si="11"/>
        <v>Completed</v>
      </c>
      <c r="P196" s="42" t="str">
        <f t="shared" si="4"/>
        <v>Loss</v>
      </c>
      <c r="Q196" s="43">
        <f t="shared" si="5"/>
        <v>-20.46</v>
      </c>
      <c r="R196" s="17" t="b">
        <f t="shared" si="6"/>
        <v>0</v>
      </c>
      <c r="S196" s="17">
        <f t="shared" si="12"/>
        <v>0.66</v>
      </c>
      <c r="T196" s="22">
        <f t="shared" si="8"/>
        <v>31</v>
      </c>
      <c r="U196" s="23"/>
      <c r="V196" s="13"/>
      <c r="W196" s="13"/>
      <c r="X196" s="13"/>
      <c r="Y196" s="13"/>
      <c r="Z196" s="13"/>
      <c r="AA196" s="24"/>
    </row>
    <row r="197" ht="13.5" hidden="1" customHeight="1">
      <c r="A197" s="13" t="s">
        <v>77</v>
      </c>
      <c r="B197" s="39">
        <v>20.0</v>
      </c>
      <c r="C197" s="22">
        <v>287.44</v>
      </c>
      <c r="D197" s="22">
        <v>50.0</v>
      </c>
      <c r="E197" s="22">
        <v>2.171</v>
      </c>
      <c r="F197" s="33"/>
      <c r="G197" s="34">
        <v>45251.0</v>
      </c>
      <c r="H197" s="33"/>
      <c r="I197" s="34">
        <v>45252.0</v>
      </c>
      <c r="J197" s="35">
        <f t="shared" si="14"/>
        <v>45251</v>
      </c>
      <c r="K197" s="18">
        <f>IFERROR(__xludf.DUMMYFUNCTION("if(isblank(J197),,index(googlefinance(A197,K$2,J197-1),2,2))"),331.2)</f>
        <v>331.2</v>
      </c>
      <c r="L197" s="36">
        <f t="shared" si="2"/>
        <v>45252</v>
      </c>
      <c r="M197" s="19">
        <f>IFERROR(__xludf.DUMMYFUNCTION("if(isblank(L197),, index(googlefinance(A197,M$2,L197-1),2,2))"),325.93)</f>
        <v>325.93</v>
      </c>
      <c r="N197" s="20">
        <f>IFERROR(__xludf.DUMMYFUNCTION("if(isblank(A197),,googlefinance(A197))"),311.24)</f>
        <v>311.24</v>
      </c>
      <c r="O197" s="17" t="str">
        <f t="shared" si="11"/>
        <v>Completed</v>
      </c>
      <c r="P197" s="37" t="str">
        <f t="shared" si="4"/>
        <v>Profit</v>
      </c>
      <c r="Q197" s="38">
        <f t="shared" si="5"/>
        <v>15.81</v>
      </c>
      <c r="R197" s="17" t="b">
        <f t="shared" si="6"/>
        <v>1</v>
      </c>
      <c r="S197" s="17">
        <f t="shared" si="12"/>
        <v>-5.27</v>
      </c>
      <c r="T197" s="22">
        <f t="shared" si="8"/>
        <v>3</v>
      </c>
      <c r="U197" s="23"/>
      <c r="V197" s="13"/>
      <c r="W197" s="13"/>
      <c r="X197" s="13"/>
      <c r="Y197" s="13"/>
      <c r="Z197" s="13"/>
      <c r="AA197" s="24"/>
    </row>
    <row r="198" ht="13.5" hidden="1" customHeight="1">
      <c r="A198" s="13" t="s">
        <v>147</v>
      </c>
      <c r="B198" s="39">
        <v>12.0</v>
      </c>
      <c r="C198" s="22">
        <v>37.58</v>
      </c>
      <c r="D198" s="22">
        <v>25.0</v>
      </c>
      <c r="E198" s="22">
        <v>1.139</v>
      </c>
      <c r="F198" s="33"/>
      <c r="G198" s="34">
        <v>45252.0</v>
      </c>
      <c r="H198" s="33"/>
      <c r="I198" s="34">
        <v>45259.0</v>
      </c>
      <c r="J198" s="35">
        <f t="shared" si="14"/>
        <v>45252</v>
      </c>
      <c r="K198" s="18">
        <f>IFERROR(__xludf.DUMMYFUNCTION("if(isblank(J198),,index(googlefinance(A198,K$2,J198-1),2,2))"),217.67)</f>
        <v>217.67</v>
      </c>
      <c r="L198" s="36">
        <f t="shared" si="2"/>
        <v>45259</v>
      </c>
      <c r="M198" s="19">
        <f>IFERROR(__xludf.DUMMYFUNCTION("if(isblank(L198),, index(googlefinance(A198,M$2,L198-1),2,2))"),207.37)</f>
        <v>207.37</v>
      </c>
      <c r="N198" s="20">
        <f>IFERROR(__xludf.DUMMYFUNCTION("if(isblank(A198),,googlefinance(A198))"),258.3)</f>
        <v>258.3</v>
      </c>
      <c r="O198" s="17" t="str">
        <f t="shared" si="11"/>
        <v>Completed</v>
      </c>
      <c r="P198" s="37" t="str">
        <f t="shared" si="4"/>
        <v>Profit</v>
      </c>
      <c r="Q198" s="38">
        <f t="shared" si="5"/>
        <v>41.2</v>
      </c>
      <c r="R198" s="17" t="b">
        <f t="shared" si="6"/>
        <v>1</v>
      </c>
      <c r="S198" s="17">
        <f t="shared" si="12"/>
        <v>-10.3</v>
      </c>
      <c r="T198" s="22">
        <f t="shared" si="8"/>
        <v>4</v>
      </c>
      <c r="U198" s="23"/>
      <c r="V198" s="13"/>
      <c r="W198" s="13"/>
      <c r="X198" s="13"/>
      <c r="Y198" s="13"/>
      <c r="Z198" s="13"/>
      <c r="AA198" s="24"/>
    </row>
    <row r="199" ht="13.5" hidden="1" customHeight="1">
      <c r="A199" s="13" t="s">
        <v>83</v>
      </c>
      <c r="B199" s="39">
        <v>14.0</v>
      </c>
      <c r="C199" s="17">
        <v>150.26</v>
      </c>
      <c r="D199" s="22">
        <v>42.857</v>
      </c>
      <c r="E199" s="22">
        <v>1.987</v>
      </c>
      <c r="F199" s="33"/>
      <c r="G199" s="34">
        <v>45258.0</v>
      </c>
      <c r="H199" s="33"/>
      <c r="I199" s="34">
        <v>45260.0</v>
      </c>
      <c r="J199" s="35">
        <f t="shared" si="14"/>
        <v>45258</v>
      </c>
      <c r="K199" s="18">
        <f>IFERROR(__xludf.DUMMYFUNCTION("if(isblank(J199),,index(googlefinance(A199,K$2,J199-1),2,2))"),71.53)</f>
        <v>71.53</v>
      </c>
      <c r="L199" s="36">
        <f t="shared" si="2"/>
        <v>45260</v>
      </c>
      <c r="M199" s="19">
        <f>IFERROR(__xludf.DUMMYFUNCTION("if(isblank(L199),, index(googlefinance(A199,M$2,L199-1),2,2))"),70.6)</f>
        <v>70.6</v>
      </c>
      <c r="N199" s="20">
        <f>IFERROR(__xludf.DUMMYFUNCTION("if(isblank(A199),,googlefinance(A199))"),73.79)</f>
        <v>73.79</v>
      </c>
      <c r="O199" s="17" t="str">
        <f t="shared" si="11"/>
        <v>Completed</v>
      </c>
      <c r="P199" s="37" t="str">
        <f t="shared" si="4"/>
        <v>Profit</v>
      </c>
      <c r="Q199" s="38">
        <f t="shared" si="5"/>
        <v>12.09</v>
      </c>
      <c r="R199" s="17" t="b">
        <f t="shared" si="6"/>
        <v>1</v>
      </c>
      <c r="S199" s="17">
        <f t="shared" si="12"/>
        <v>-0.93</v>
      </c>
      <c r="T199" s="22">
        <f t="shared" si="8"/>
        <v>13</v>
      </c>
      <c r="U199" s="23"/>
      <c r="V199" s="13"/>
      <c r="W199" s="13"/>
      <c r="X199" s="13"/>
      <c r="Y199" s="13"/>
      <c r="Z199" s="13"/>
      <c r="AA199" s="24"/>
    </row>
    <row r="200" ht="13.5" hidden="1" customHeight="1">
      <c r="A200" s="13" t="s">
        <v>181</v>
      </c>
      <c r="B200" s="39">
        <v>16.0</v>
      </c>
      <c r="C200" s="17">
        <v>122.3</v>
      </c>
      <c r="D200" s="22">
        <v>31.25</v>
      </c>
      <c r="E200" s="22">
        <v>1.533</v>
      </c>
      <c r="F200" s="22"/>
      <c r="G200" s="34">
        <v>45259.0</v>
      </c>
      <c r="H200" s="48"/>
      <c r="I200" s="34">
        <v>45268.0</v>
      </c>
      <c r="J200" s="35">
        <f t="shared" si="14"/>
        <v>45259</v>
      </c>
      <c r="K200" s="18">
        <f>IFERROR(__xludf.DUMMYFUNCTION("if(isblank(J200),,index(googlefinance(A200,K$2,J200-1),2,2))"),946.35)</f>
        <v>946.35</v>
      </c>
      <c r="L200" s="36">
        <f t="shared" si="2"/>
        <v>45268</v>
      </c>
      <c r="M200" s="19">
        <f>IFERROR(__xludf.DUMMYFUNCTION("if(isblank(L200),, index(googlefinance(A200,M$2,L200-1),2,2))"),922.26)</f>
        <v>922.26</v>
      </c>
      <c r="N200" s="20">
        <f>IFERROR(__xludf.DUMMYFUNCTION("if(isblank(A200),,googlefinance(A200))"),1245.48)</f>
        <v>1245.48</v>
      </c>
      <c r="O200" s="17" t="str">
        <f t="shared" si="11"/>
        <v>Completed</v>
      </c>
      <c r="P200" s="37" t="str">
        <f t="shared" si="4"/>
        <v>Profit</v>
      </c>
      <c r="Q200" s="38">
        <f t="shared" si="5"/>
        <v>24.09</v>
      </c>
      <c r="R200" s="17" t="b">
        <f t="shared" si="6"/>
        <v>1</v>
      </c>
      <c r="S200" s="17">
        <f t="shared" si="12"/>
        <v>-24.09</v>
      </c>
      <c r="T200" s="22">
        <f t="shared" si="8"/>
        <v>1</v>
      </c>
      <c r="U200" s="23"/>
      <c r="V200" s="13"/>
      <c r="W200" s="13"/>
      <c r="X200" s="13"/>
      <c r="Y200" s="13"/>
      <c r="Z200" s="13"/>
      <c r="AA200" s="24"/>
    </row>
    <row r="201" ht="13.5" hidden="1" customHeight="1">
      <c r="A201" s="13" t="s">
        <v>182</v>
      </c>
      <c r="B201" s="39">
        <v>7.0</v>
      </c>
      <c r="C201" s="17">
        <v>129.99</v>
      </c>
      <c r="D201" s="22">
        <v>71.429</v>
      </c>
      <c r="E201" s="22">
        <v>5.49</v>
      </c>
      <c r="F201" s="34">
        <v>45260.0</v>
      </c>
      <c r="G201" s="48"/>
      <c r="H201" s="34">
        <v>45278.0</v>
      </c>
      <c r="I201" s="48"/>
      <c r="J201" s="40">
        <f t="shared" si="14"/>
        <v>45260</v>
      </c>
      <c r="K201" s="18">
        <f>IFERROR(__xludf.DUMMYFUNCTION("if(isblank(J201),,index(googlefinance(A201,K$2,J201-1),2,2))"),75.23)</f>
        <v>75.23</v>
      </c>
      <c r="L201" s="41">
        <f t="shared" si="2"/>
        <v>45278</v>
      </c>
      <c r="M201" s="19">
        <f>IFERROR(__xludf.DUMMYFUNCTION("if(isblank(L201),, index(googlefinance(A201,M$2,L201-1),2,2))"),79.5)</f>
        <v>79.5</v>
      </c>
      <c r="N201" s="20">
        <f>IFERROR(__xludf.DUMMYFUNCTION("if(isblank(A201),,googlefinance(A201))"),71.58)</f>
        <v>71.58</v>
      </c>
      <c r="O201" s="17" t="str">
        <f t="shared" si="11"/>
        <v>Completed</v>
      </c>
      <c r="P201" s="37" t="str">
        <f t="shared" si="4"/>
        <v>Profit</v>
      </c>
      <c r="Q201" s="38">
        <f t="shared" si="5"/>
        <v>55.51</v>
      </c>
      <c r="R201" s="17" t="b">
        <f t="shared" si="6"/>
        <v>1</v>
      </c>
      <c r="S201" s="17">
        <f t="shared" si="12"/>
        <v>4.27</v>
      </c>
      <c r="T201" s="22">
        <f t="shared" si="8"/>
        <v>13</v>
      </c>
      <c r="U201" s="23"/>
      <c r="V201" s="13"/>
      <c r="W201" s="13"/>
      <c r="X201" s="13"/>
      <c r="Y201" s="13"/>
      <c r="Z201" s="13"/>
      <c r="AA201" s="24"/>
    </row>
    <row r="202" ht="13.5" hidden="1" customHeight="1">
      <c r="A202" s="13" t="s">
        <v>183</v>
      </c>
      <c r="B202" s="39">
        <v>13.0</v>
      </c>
      <c r="C202" s="22">
        <v>52.32</v>
      </c>
      <c r="D202" s="22">
        <v>53.846</v>
      </c>
      <c r="E202" s="22">
        <v>1.757</v>
      </c>
      <c r="F202" s="34">
        <v>45261.0</v>
      </c>
      <c r="G202" s="48"/>
      <c r="H202" s="34">
        <v>45268.0</v>
      </c>
      <c r="I202" s="48"/>
      <c r="J202" s="40">
        <f t="shared" si="14"/>
        <v>45261</v>
      </c>
      <c r="K202" s="18">
        <f>IFERROR(__xludf.DUMMYFUNCTION("if(isblank(J202),,index(googlefinance(A202,K$2,J202-1),2,2))"),30.59)</f>
        <v>30.59</v>
      </c>
      <c r="L202" s="41">
        <f t="shared" si="2"/>
        <v>45268</v>
      </c>
      <c r="M202" s="19">
        <f>IFERROR(__xludf.DUMMYFUNCTION("if(isblank(L202),, index(googlefinance(A202,M$2,L202-1),2,2))"),31.85)</f>
        <v>31.85</v>
      </c>
      <c r="N202" s="20">
        <f>IFERROR(__xludf.DUMMYFUNCTION("if(isblank(A202),,googlefinance(A202))"),28.99)</f>
        <v>28.99</v>
      </c>
      <c r="O202" s="17" t="str">
        <f t="shared" si="11"/>
        <v>Completed</v>
      </c>
      <c r="P202" s="37" t="str">
        <f t="shared" si="4"/>
        <v>Profit</v>
      </c>
      <c r="Q202" s="38">
        <f t="shared" si="5"/>
        <v>40.32</v>
      </c>
      <c r="R202" s="17" t="b">
        <f t="shared" si="6"/>
        <v>1</v>
      </c>
      <c r="S202" s="17">
        <f t="shared" si="12"/>
        <v>1.26</v>
      </c>
      <c r="T202" s="22">
        <f t="shared" si="8"/>
        <v>32</v>
      </c>
      <c r="U202" s="23"/>
      <c r="V202" s="13"/>
      <c r="W202" s="13"/>
      <c r="X202" s="13"/>
      <c r="Y202" s="13"/>
      <c r="Z202" s="13"/>
      <c r="AA202" s="24"/>
    </row>
    <row r="203" ht="13.5" hidden="1" customHeight="1">
      <c r="A203" s="13" t="s">
        <v>178</v>
      </c>
      <c r="B203" s="39">
        <v>12.0</v>
      </c>
      <c r="C203" s="22">
        <v>282.81</v>
      </c>
      <c r="D203" s="22">
        <v>50.0</v>
      </c>
      <c r="E203" s="22">
        <v>2.731</v>
      </c>
      <c r="F203" s="48"/>
      <c r="G203" s="34">
        <v>45264.0</v>
      </c>
      <c r="H203" s="48"/>
      <c r="I203" s="34">
        <v>45272.0</v>
      </c>
      <c r="J203" s="35">
        <f t="shared" si="14"/>
        <v>45264</v>
      </c>
      <c r="K203" s="18">
        <f>IFERROR(__xludf.DUMMYFUNCTION("if(isblank(J203),,index(googlefinance(A203,K$2,J203-1),2,2))"),34.08)</f>
        <v>34.08</v>
      </c>
      <c r="L203" s="36">
        <f t="shared" si="2"/>
        <v>45272</v>
      </c>
      <c r="M203" s="19">
        <f>IFERROR(__xludf.DUMMYFUNCTION("if(isblank(L203),, index(googlefinance(A203,M$2,L203-1),2,2))"),35.75)</f>
        <v>35.75</v>
      </c>
      <c r="N203" s="20">
        <f>IFERROR(__xludf.DUMMYFUNCTION("if(isblank(A203),,googlefinance(A203))"),37.52)</f>
        <v>37.52</v>
      </c>
      <c r="O203" s="17" t="str">
        <f t="shared" si="11"/>
        <v>Completed</v>
      </c>
      <c r="P203" s="42" t="str">
        <f t="shared" si="4"/>
        <v>Loss</v>
      </c>
      <c r="Q203" s="43">
        <f t="shared" si="5"/>
        <v>-48.43</v>
      </c>
      <c r="R203" s="17" t="b">
        <f t="shared" si="6"/>
        <v>0</v>
      </c>
      <c r="S203" s="17">
        <f t="shared" si="12"/>
        <v>1.67</v>
      </c>
      <c r="T203" s="22">
        <f t="shared" si="8"/>
        <v>29</v>
      </c>
      <c r="U203" s="23"/>
      <c r="V203" s="13"/>
      <c r="W203" s="13"/>
      <c r="X203" s="13"/>
      <c r="Y203" s="13"/>
      <c r="Z203" s="13"/>
      <c r="AA203" s="24"/>
    </row>
    <row r="204" ht="13.5" hidden="1" customHeight="1">
      <c r="A204" s="13" t="s">
        <v>46</v>
      </c>
      <c r="B204" s="39">
        <v>11.0</v>
      </c>
      <c r="C204" s="22">
        <v>88.3</v>
      </c>
      <c r="D204" s="22">
        <v>36.364</v>
      </c>
      <c r="E204" s="17">
        <v>1.912</v>
      </c>
      <c r="F204" s="48"/>
      <c r="G204" s="34">
        <v>45264.0</v>
      </c>
      <c r="H204" s="48"/>
      <c r="I204" s="34">
        <v>45273.0</v>
      </c>
      <c r="J204" s="35">
        <f t="shared" si="14"/>
        <v>45264</v>
      </c>
      <c r="K204" s="18">
        <f>IFERROR(__xludf.DUMMYFUNCTION("if(isblank(J204),,index(googlefinance(A204,K$2,J204-1),2,2))"),63.28)</f>
        <v>63.28</v>
      </c>
      <c r="L204" s="36">
        <f t="shared" si="2"/>
        <v>45273</v>
      </c>
      <c r="M204" s="19">
        <f>IFERROR(__xludf.DUMMYFUNCTION("if(isblank(L204),, index(googlefinance(A204,M$2,L204-1),2,2))"),62.49)</f>
        <v>62.49</v>
      </c>
      <c r="N204" s="20">
        <f>IFERROR(__xludf.DUMMYFUNCTION("if(isblank(A204),,googlefinance(A204))"),59.79)</f>
        <v>59.79</v>
      </c>
      <c r="O204" s="17" t="str">
        <f t="shared" si="11"/>
        <v>Completed</v>
      </c>
      <c r="P204" s="37" t="str">
        <f t="shared" si="4"/>
        <v>Profit</v>
      </c>
      <c r="Q204" s="38">
        <f t="shared" si="5"/>
        <v>11.85</v>
      </c>
      <c r="R204" s="17" t="b">
        <f t="shared" si="6"/>
        <v>1</v>
      </c>
      <c r="S204" s="17">
        <f t="shared" si="12"/>
        <v>-0.79</v>
      </c>
      <c r="T204" s="22">
        <f t="shared" si="8"/>
        <v>15</v>
      </c>
      <c r="U204" s="23"/>
      <c r="V204" s="13"/>
      <c r="W204" s="13"/>
      <c r="X204" s="13"/>
      <c r="Y204" s="13"/>
      <c r="Z204" s="13"/>
      <c r="AA204" s="24"/>
    </row>
    <row r="205" ht="13.5" hidden="1" customHeight="1">
      <c r="A205" s="13" t="s">
        <v>88</v>
      </c>
      <c r="B205" s="39">
        <v>13.0</v>
      </c>
      <c r="C205" s="22">
        <v>120.2</v>
      </c>
      <c r="D205" s="22">
        <v>30.769</v>
      </c>
      <c r="E205" s="22">
        <v>2.0</v>
      </c>
      <c r="F205" s="48"/>
      <c r="G205" s="34">
        <v>45264.0</v>
      </c>
      <c r="H205" s="48"/>
      <c r="I205" s="34">
        <v>45271.0</v>
      </c>
      <c r="J205" s="35">
        <f t="shared" si="14"/>
        <v>45264</v>
      </c>
      <c r="K205" s="18">
        <f>IFERROR(__xludf.DUMMYFUNCTION("if(isblank(J205),,index(googlefinance(A205,K$2,J205-1),2,2))"),92.93)</f>
        <v>92.93</v>
      </c>
      <c r="L205" s="36">
        <f t="shared" si="2"/>
        <v>45271</v>
      </c>
      <c r="M205" s="19">
        <f>IFERROR(__xludf.DUMMYFUNCTION("if(isblank(L205),, index(googlefinance(A205,M$2,L205-1),2,2))"),92.99)</f>
        <v>92.99</v>
      </c>
      <c r="N205" s="20">
        <f>IFERROR(__xludf.DUMMYFUNCTION("if(isblank(A205),,googlefinance(A205))"),89.65)</f>
        <v>89.65</v>
      </c>
      <c r="O205" s="17" t="str">
        <f t="shared" si="11"/>
        <v>Completed</v>
      </c>
      <c r="P205" s="42" t="str">
        <f t="shared" si="4"/>
        <v>Loss</v>
      </c>
      <c r="Q205" s="43">
        <f t="shared" si="5"/>
        <v>-0.6</v>
      </c>
      <c r="R205" s="17" t="b">
        <f t="shared" si="6"/>
        <v>0</v>
      </c>
      <c r="S205" s="17">
        <f t="shared" si="12"/>
        <v>0.06</v>
      </c>
      <c r="T205" s="22">
        <f t="shared" si="8"/>
        <v>10</v>
      </c>
      <c r="U205" s="23"/>
      <c r="V205" s="13"/>
      <c r="W205" s="13"/>
      <c r="X205" s="13"/>
      <c r="Y205" s="13"/>
      <c r="Z205" s="13"/>
      <c r="AA205" s="24"/>
    </row>
    <row r="206" ht="13.5" hidden="1" customHeight="1">
      <c r="A206" s="13" t="s">
        <v>99</v>
      </c>
      <c r="B206" s="39">
        <v>6.0</v>
      </c>
      <c r="C206" s="22">
        <v>5.51</v>
      </c>
      <c r="D206" s="22">
        <v>16.667</v>
      </c>
      <c r="E206" s="22">
        <v>1.038</v>
      </c>
      <c r="F206" s="48"/>
      <c r="G206" s="34">
        <v>45265.0</v>
      </c>
      <c r="H206" s="48"/>
      <c r="I206" s="34">
        <v>45279.0</v>
      </c>
      <c r="J206" s="35">
        <f t="shared" si="14"/>
        <v>45265</v>
      </c>
      <c r="K206" s="18">
        <f>IFERROR(__xludf.DUMMYFUNCTION("if(isblank(J206),,index(googlefinance(A206,K$2,J206-1),2,2))"),107.74)</f>
        <v>107.74</v>
      </c>
      <c r="L206" s="36">
        <f t="shared" si="2"/>
        <v>45279</v>
      </c>
      <c r="M206" s="19">
        <f>IFERROR(__xludf.DUMMYFUNCTION("if(isblank(L206),, index(googlefinance(A206,M$2,L206-1),2,2))"),103.73)</f>
        <v>103.73</v>
      </c>
      <c r="N206" s="20">
        <f>IFERROR(__xludf.DUMMYFUNCTION("if(isblank(A206),,googlefinance(A206))"),91.68)</f>
        <v>91.68</v>
      </c>
      <c r="O206" s="17" t="str">
        <f t="shared" si="11"/>
        <v>Completed</v>
      </c>
      <c r="P206" s="37" t="str">
        <f t="shared" si="4"/>
        <v>Profit</v>
      </c>
      <c r="Q206" s="38">
        <f t="shared" si="5"/>
        <v>36.09</v>
      </c>
      <c r="R206" s="17" t="b">
        <f t="shared" si="6"/>
        <v>1</v>
      </c>
      <c r="S206" s="17">
        <f t="shared" si="12"/>
        <v>-4.01</v>
      </c>
      <c r="T206" s="22">
        <f t="shared" si="8"/>
        <v>9</v>
      </c>
      <c r="U206" s="23"/>
      <c r="V206" s="13"/>
      <c r="W206" s="13"/>
      <c r="X206" s="13"/>
      <c r="Y206" s="13"/>
      <c r="Z206" s="13"/>
      <c r="AA206" s="24"/>
    </row>
    <row r="207" ht="13.5" hidden="1" customHeight="1">
      <c r="A207" s="13" t="s">
        <v>184</v>
      </c>
      <c r="B207" s="39">
        <v>7.0</v>
      </c>
      <c r="C207" s="22">
        <v>67.76</v>
      </c>
      <c r="D207" s="22">
        <v>42.857</v>
      </c>
      <c r="E207" s="22">
        <v>2.524</v>
      </c>
      <c r="F207" s="48"/>
      <c r="G207" s="34">
        <v>45265.0</v>
      </c>
      <c r="H207" s="48"/>
      <c r="I207" s="34">
        <v>45272.0</v>
      </c>
      <c r="J207" s="35">
        <f t="shared" si="14"/>
        <v>45265</v>
      </c>
      <c r="K207" s="18">
        <f>IFERROR(__xludf.DUMMYFUNCTION("if(isblank(J207),,index(googlefinance(A207,K$2,J207-1),2,2))"),124.17)</f>
        <v>124.17</v>
      </c>
      <c r="L207" s="36">
        <f t="shared" si="2"/>
        <v>45272</v>
      </c>
      <c r="M207" s="19">
        <f>IFERROR(__xludf.DUMMYFUNCTION("if(isblank(L207),, index(googlefinance(A207,M$2,L207-1),2,2))"),120.97)</f>
        <v>120.97</v>
      </c>
      <c r="N207" s="20">
        <f>IFERROR(__xludf.DUMMYFUNCTION("if(isblank(A207),,googlefinance(A207))"),118.29)</f>
        <v>118.29</v>
      </c>
      <c r="O207" s="17" t="str">
        <f t="shared" si="11"/>
        <v>Completed</v>
      </c>
      <c r="P207" s="37" t="str">
        <f t="shared" si="4"/>
        <v>Profit</v>
      </c>
      <c r="Q207" s="38">
        <f t="shared" si="5"/>
        <v>25.6</v>
      </c>
      <c r="R207" s="17" t="b">
        <f t="shared" si="6"/>
        <v>1</v>
      </c>
      <c r="S207" s="17">
        <f t="shared" si="12"/>
        <v>-3.2</v>
      </c>
      <c r="T207" s="22">
        <f t="shared" si="8"/>
        <v>8</v>
      </c>
      <c r="U207" s="23"/>
      <c r="V207" s="13"/>
      <c r="W207" s="13"/>
      <c r="X207" s="13"/>
      <c r="Y207" s="13"/>
      <c r="Z207" s="13"/>
      <c r="AA207" s="24"/>
    </row>
    <row r="208" ht="13.5" hidden="1" customHeight="1">
      <c r="A208" s="13" t="s">
        <v>185</v>
      </c>
      <c r="B208" s="39">
        <v>7.0</v>
      </c>
      <c r="C208" s="22">
        <v>226.58</v>
      </c>
      <c r="D208" s="22">
        <v>28.571</v>
      </c>
      <c r="E208" s="22">
        <v>3.959</v>
      </c>
      <c r="F208" s="48"/>
      <c r="G208" s="34">
        <v>45265.0</v>
      </c>
      <c r="H208" s="48"/>
      <c r="I208" s="34">
        <v>45271.0</v>
      </c>
      <c r="J208" s="35">
        <f t="shared" si="14"/>
        <v>45265</v>
      </c>
      <c r="K208" s="18">
        <f>IFERROR(__xludf.DUMMYFUNCTION("if(isblank(J208),,index(googlefinance(A208,K$2,J208-1),2,2))"),22.06)</f>
        <v>22.06</v>
      </c>
      <c r="L208" s="36">
        <f t="shared" si="2"/>
        <v>45271</v>
      </c>
      <c r="M208" s="19">
        <f>IFERROR(__xludf.DUMMYFUNCTION("if(isblank(L208),, index(googlefinance(A208,M$2,L208-1),2,2))"),22.07)</f>
        <v>22.07</v>
      </c>
      <c r="N208" s="20">
        <f>IFERROR(__xludf.DUMMYFUNCTION("if(isblank(A208),,googlefinance(A208))"),26.24)</f>
        <v>26.24</v>
      </c>
      <c r="O208" s="17" t="str">
        <f t="shared" si="11"/>
        <v>Completed</v>
      </c>
      <c r="P208" s="42" t="str">
        <f t="shared" si="4"/>
        <v>Loss</v>
      </c>
      <c r="Q208" s="43">
        <f t="shared" si="5"/>
        <v>-0.45</v>
      </c>
      <c r="R208" s="17" t="b">
        <f t="shared" si="6"/>
        <v>0</v>
      </c>
      <c r="S208" s="17">
        <f t="shared" si="12"/>
        <v>0.01</v>
      </c>
      <c r="T208" s="22">
        <f t="shared" si="8"/>
        <v>45</v>
      </c>
      <c r="U208" s="23"/>
      <c r="V208" s="13"/>
      <c r="W208" s="13"/>
      <c r="X208" s="13"/>
      <c r="Y208" s="13"/>
      <c r="Z208" s="13"/>
      <c r="AA208" s="24"/>
    </row>
    <row r="209" ht="13.5" hidden="1" customHeight="1">
      <c r="A209" s="13" t="s">
        <v>36</v>
      </c>
      <c r="B209" s="39">
        <v>12.0</v>
      </c>
      <c r="C209" s="22">
        <v>96.96</v>
      </c>
      <c r="D209" s="22">
        <v>41.667</v>
      </c>
      <c r="E209" s="17">
        <v>1.582</v>
      </c>
      <c r="F209" s="48"/>
      <c r="G209" s="34">
        <v>45266.0</v>
      </c>
      <c r="H209" s="48"/>
      <c r="I209" s="34">
        <v>45271.0</v>
      </c>
      <c r="J209" s="35">
        <f t="shared" si="14"/>
        <v>45266</v>
      </c>
      <c r="K209" s="18">
        <f>IFERROR(__xludf.DUMMYFUNCTION("if(isblank(J209),,index(googlefinance(A209,K$2,J209-1),2,2))"),262.18)</f>
        <v>262.18</v>
      </c>
      <c r="L209" s="36">
        <f t="shared" si="2"/>
        <v>45271</v>
      </c>
      <c r="M209" s="19">
        <f>IFERROR(__xludf.DUMMYFUNCTION("if(isblank(L209),, index(googlefinance(A209,M$2,L209-1),2,2))"),268.75)</f>
        <v>268.75</v>
      </c>
      <c r="N209" s="20">
        <f>IFERROR(__xludf.DUMMYFUNCTION("if(isblank(A209),,googlefinance(A209))"),290.3)</f>
        <v>290.3</v>
      </c>
      <c r="O209" s="17" t="str">
        <f t="shared" si="11"/>
        <v>Completed</v>
      </c>
      <c r="P209" s="42" t="str">
        <f t="shared" si="4"/>
        <v>Loss</v>
      </c>
      <c r="Q209" s="43">
        <f t="shared" si="5"/>
        <v>-19.71</v>
      </c>
      <c r="R209" s="17" t="b">
        <f t="shared" si="6"/>
        <v>0</v>
      </c>
      <c r="S209" s="17">
        <f t="shared" si="12"/>
        <v>6.57</v>
      </c>
      <c r="T209" s="22">
        <f t="shared" si="8"/>
        <v>3</v>
      </c>
      <c r="U209" s="23"/>
      <c r="V209" s="13"/>
      <c r="W209" s="13"/>
      <c r="X209" s="13"/>
      <c r="Y209" s="13"/>
      <c r="Z209" s="13"/>
      <c r="AA209" s="24"/>
    </row>
    <row r="210" ht="13.5" hidden="1" customHeight="1">
      <c r="A210" s="13" t="s">
        <v>80</v>
      </c>
      <c r="B210" s="39">
        <v>10.0</v>
      </c>
      <c r="C210" s="22">
        <v>144.06</v>
      </c>
      <c r="D210" s="22">
        <v>10.0</v>
      </c>
      <c r="E210" s="22">
        <v>1.788</v>
      </c>
      <c r="F210" s="48"/>
      <c r="G210" s="34">
        <v>45266.0</v>
      </c>
      <c r="H210" s="48"/>
      <c r="I210" s="34">
        <v>45271.0</v>
      </c>
      <c r="J210" s="35">
        <f t="shared" si="14"/>
        <v>45266</v>
      </c>
      <c r="K210" s="18">
        <f>IFERROR(__xludf.DUMMYFUNCTION("if(isblank(J210),,index(googlefinance(A210,K$2,J210-1),2,2))"),22.72)</f>
        <v>22.72</v>
      </c>
      <c r="L210" s="36">
        <f t="shared" si="2"/>
        <v>45271</v>
      </c>
      <c r="M210" s="19">
        <f>IFERROR(__xludf.DUMMYFUNCTION("if(isblank(L210),, index(googlefinance(A210,M$2,L210-1),2,2))"),23.1)</f>
        <v>23.1</v>
      </c>
      <c r="N210" s="20">
        <f>IFERROR(__xludf.DUMMYFUNCTION("if(isblank(A210),,googlefinance(A210))"),27.41)</f>
        <v>27.41</v>
      </c>
      <c r="O210" s="17" t="str">
        <f t="shared" si="11"/>
        <v>Completed</v>
      </c>
      <c r="P210" s="42" t="str">
        <f t="shared" si="4"/>
        <v>Loss</v>
      </c>
      <c r="Q210" s="43">
        <f t="shared" si="5"/>
        <v>-16.72</v>
      </c>
      <c r="R210" s="17" t="b">
        <f t="shared" si="6"/>
        <v>0</v>
      </c>
      <c r="S210" s="17">
        <f t="shared" si="12"/>
        <v>0.38</v>
      </c>
      <c r="T210" s="22">
        <f t="shared" si="8"/>
        <v>44</v>
      </c>
      <c r="U210" s="23"/>
      <c r="V210" s="13"/>
      <c r="W210" s="13"/>
      <c r="X210" s="13"/>
      <c r="Y210" s="13"/>
      <c r="Z210" s="13"/>
      <c r="AA210" s="24"/>
    </row>
    <row r="211" ht="13.5" hidden="1" customHeight="1">
      <c r="A211" s="13" t="s">
        <v>186</v>
      </c>
      <c r="B211" s="39">
        <v>11.0</v>
      </c>
      <c r="C211" s="22">
        <v>429.66</v>
      </c>
      <c r="D211" s="22">
        <v>45.455</v>
      </c>
      <c r="E211" s="22">
        <v>3.425</v>
      </c>
      <c r="F211" s="48"/>
      <c r="G211" s="34">
        <v>45266.0</v>
      </c>
      <c r="H211" s="48"/>
      <c r="I211" s="34">
        <v>45282.0</v>
      </c>
      <c r="J211" s="35">
        <f t="shared" si="14"/>
        <v>45266</v>
      </c>
      <c r="K211" s="18">
        <f>IFERROR(__xludf.DUMMYFUNCTION("if(isblank(J211),,index(googlefinance(A211,K$2,J211-1),2,2))"),36.26)</f>
        <v>36.26</v>
      </c>
      <c r="L211" s="36">
        <f t="shared" si="2"/>
        <v>45282</v>
      </c>
      <c r="M211" s="19">
        <f>IFERROR(__xludf.DUMMYFUNCTION("if(isblank(L211),, index(googlefinance(A211,M$2,L211-1),2,2))"),34.97)</f>
        <v>34.97</v>
      </c>
      <c r="N211" s="20">
        <f>IFERROR(__xludf.DUMMYFUNCTION("if(isblank(A211),,googlefinance(A211))"),34.31)</f>
        <v>34.31</v>
      </c>
      <c r="O211" s="17" t="str">
        <f t="shared" si="11"/>
        <v>Completed</v>
      </c>
      <c r="P211" s="37" t="str">
        <f t="shared" si="4"/>
        <v>Profit</v>
      </c>
      <c r="Q211" s="38">
        <f t="shared" si="5"/>
        <v>34.83</v>
      </c>
      <c r="R211" s="17" t="b">
        <f t="shared" si="6"/>
        <v>1</v>
      </c>
      <c r="S211" s="17">
        <f t="shared" si="12"/>
        <v>-1.29</v>
      </c>
      <c r="T211" s="22">
        <f t="shared" si="8"/>
        <v>27</v>
      </c>
      <c r="U211" s="23"/>
      <c r="V211" s="13"/>
      <c r="W211" s="13"/>
      <c r="X211" s="13"/>
      <c r="Y211" s="13"/>
      <c r="Z211" s="13"/>
      <c r="AA211" s="24"/>
    </row>
    <row r="212" ht="13.5" hidden="1" customHeight="1">
      <c r="A212" s="13" t="s">
        <v>187</v>
      </c>
      <c r="B212" s="39">
        <v>16.0</v>
      </c>
      <c r="C212" s="22">
        <v>389.78</v>
      </c>
      <c r="D212" s="22">
        <v>43.75</v>
      </c>
      <c r="E212" s="22">
        <v>2.145</v>
      </c>
      <c r="F212" s="48"/>
      <c r="G212" s="34">
        <v>45268.0</v>
      </c>
      <c r="H212" s="48"/>
      <c r="I212" s="34">
        <v>45273.0</v>
      </c>
      <c r="J212" s="35">
        <f t="shared" si="14"/>
        <v>45268</v>
      </c>
      <c r="K212" s="18">
        <f>IFERROR(__xludf.DUMMYFUNCTION("if(isblank(J212),,index(googlefinance(A212,K$2,J212-1),2,2))"),124.62)</f>
        <v>124.62</v>
      </c>
      <c r="L212" s="36">
        <f t="shared" si="2"/>
        <v>45273</v>
      </c>
      <c r="M212" s="19">
        <f>IFERROR(__xludf.DUMMYFUNCTION("if(isblank(L212),, index(googlefinance(A212,M$2,L212-1),2,2))"),125.22)</f>
        <v>125.22</v>
      </c>
      <c r="N212" s="20">
        <f>IFERROR(__xludf.DUMMYFUNCTION("if(isblank(A212),,googlefinance(A212))"),143.81)</f>
        <v>143.81</v>
      </c>
      <c r="O212" s="17" t="str">
        <f t="shared" si="11"/>
        <v>Completed</v>
      </c>
      <c r="P212" s="42" t="str">
        <f t="shared" si="4"/>
        <v>Loss</v>
      </c>
      <c r="Q212" s="43">
        <f t="shared" si="5"/>
        <v>-4.8</v>
      </c>
      <c r="R212" s="17" t="b">
        <f t="shared" si="6"/>
        <v>0</v>
      </c>
      <c r="S212" s="17">
        <f t="shared" si="12"/>
        <v>0.6</v>
      </c>
      <c r="T212" s="22">
        <f t="shared" si="8"/>
        <v>8</v>
      </c>
      <c r="U212" s="23"/>
      <c r="V212" s="13"/>
      <c r="W212" s="13"/>
      <c r="X212" s="13"/>
      <c r="Y212" s="13"/>
      <c r="Z212" s="13"/>
      <c r="AA212" s="24"/>
    </row>
    <row r="213" ht="13.5" hidden="1" customHeight="1">
      <c r="A213" s="13" t="s">
        <v>188</v>
      </c>
      <c r="B213" s="39">
        <v>15.0</v>
      </c>
      <c r="C213" s="22">
        <v>193.84</v>
      </c>
      <c r="D213" s="22">
        <v>33.333</v>
      </c>
      <c r="E213" s="22">
        <v>1.539</v>
      </c>
      <c r="F213" s="48"/>
      <c r="G213" s="34">
        <v>45268.0</v>
      </c>
      <c r="H213" s="48"/>
      <c r="I213" s="34">
        <v>45274.0</v>
      </c>
      <c r="J213" s="35">
        <f t="shared" si="14"/>
        <v>45268</v>
      </c>
      <c r="K213" s="18">
        <f>IFERROR(__xludf.DUMMYFUNCTION("if(isblank(J213),,index(googlefinance(A213,K$2,J213-1),2,2))"),114.41)</f>
        <v>114.41</v>
      </c>
      <c r="L213" s="36">
        <f t="shared" si="2"/>
        <v>45274</v>
      </c>
      <c r="M213" s="19">
        <f>IFERROR(__xludf.DUMMYFUNCTION("if(isblank(L213),, index(googlefinance(A213,M$2,L213-1),2,2))"),115.36)</f>
        <v>115.36</v>
      </c>
      <c r="N213" s="20">
        <f>IFERROR(__xludf.DUMMYFUNCTION("if(isblank(A213),,googlefinance(A213))"),123.34)</f>
        <v>123.34</v>
      </c>
      <c r="O213" s="17" t="str">
        <f t="shared" si="11"/>
        <v>Completed</v>
      </c>
      <c r="P213" s="42" t="str">
        <f t="shared" si="4"/>
        <v>Loss</v>
      </c>
      <c r="Q213" s="43">
        <f t="shared" si="5"/>
        <v>-7.6</v>
      </c>
      <c r="R213" s="17" t="b">
        <f t="shared" si="6"/>
        <v>0</v>
      </c>
      <c r="S213" s="17">
        <f t="shared" si="12"/>
        <v>0.95</v>
      </c>
      <c r="T213" s="22">
        <f t="shared" si="8"/>
        <v>8</v>
      </c>
      <c r="U213" s="23"/>
      <c r="V213" s="13"/>
      <c r="W213" s="13"/>
      <c r="X213" s="13"/>
      <c r="Y213" s="13"/>
      <c r="Z213" s="13"/>
      <c r="AA213" s="24"/>
    </row>
    <row r="214" ht="13.5" hidden="1" customHeight="1">
      <c r="A214" s="13" t="s">
        <v>146</v>
      </c>
      <c r="B214" s="39">
        <v>11.0</v>
      </c>
      <c r="C214" s="22">
        <v>184.14</v>
      </c>
      <c r="D214" s="22">
        <v>36.364</v>
      </c>
      <c r="E214" s="17">
        <v>1.735</v>
      </c>
      <c r="F214" s="33"/>
      <c r="G214" s="34">
        <v>45268.0</v>
      </c>
      <c r="H214" s="48"/>
      <c r="I214" s="34">
        <v>45273.0</v>
      </c>
      <c r="J214" s="35">
        <f t="shared" si="14"/>
        <v>45268</v>
      </c>
      <c r="K214" s="18">
        <f>IFERROR(__xludf.DUMMYFUNCTION("if(isblank(J214),,index(googlefinance(A214,K$2,J214-1),2,2))"),163.22)</f>
        <v>163.22</v>
      </c>
      <c r="L214" s="36">
        <f t="shared" si="2"/>
        <v>45273</v>
      </c>
      <c r="M214" s="19">
        <f>IFERROR(__xludf.DUMMYFUNCTION("if(isblank(L214),, index(googlefinance(A214,M$2,L214-1),2,2))"),163.76)</f>
        <v>163.76</v>
      </c>
      <c r="N214" s="20">
        <f>IFERROR(__xludf.DUMMYFUNCTION("if(isblank(A214),,googlefinance(A214))"),185.58)</f>
        <v>185.58</v>
      </c>
      <c r="O214" s="17" t="str">
        <f t="shared" si="11"/>
        <v>Completed</v>
      </c>
      <c r="P214" s="42" t="str">
        <f t="shared" si="4"/>
        <v>Loss</v>
      </c>
      <c r="Q214" s="43">
        <f t="shared" si="5"/>
        <v>-3.24</v>
      </c>
      <c r="R214" s="17" t="b">
        <f t="shared" si="6"/>
        <v>0</v>
      </c>
      <c r="S214" s="17">
        <f t="shared" si="12"/>
        <v>0.54</v>
      </c>
      <c r="T214" s="22">
        <f t="shared" si="8"/>
        <v>6</v>
      </c>
      <c r="U214" s="23"/>
      <c r="V214" s="13"/>
      <c r="W214" s="13"/>
      <c r="X214" s="13"/>
      <c r="Y214" s="13"/>
      <c r="Z214" s="13"/>
      <c r="AA214" s="24"/>
    </row>
    <row r="215" ht="13.5" hidden="1" customHeight="1">
      <c r="A215" s="13" t="s">
        <v>189</v>
      </c>
      <c r="B215" s="39">
        <v>12.0</v>
      </c>
      <c r="C215" s="22">
        <v>257.865</v>
      </c>
      <c r="D215" s="22">
        <v>66.667</v>
      </c>
      <c r="E215" s="22">
        <v>2.292</v>
      </c>
      <c r="F215" s="33"/>
      <c r="G215" s="34">
        <v>45275.0</v>
      </c>
      <c r="H215" s="48"/>
      <c r="I215" s="34">
        <v>45287.0</v>
      </c>
      <c r="J215" s="35">
        <f t="shared" si="14"/>
        <v>45275</v>
      </c>
      <c r="K215" s="18">
        <f>IFERROR(__xludf.DUMMYFUNCTION("if(isblank(J215),,index(googlefinance(A215,K$2,J215-1),2,2))"),68.28)</f>
        <v>68.28</v>
      </c>
      <c r="L215" s="36">
        <f t="shared" si="2"/>
        <v>45287</v>
      </c>
      <c r="M215" s="19">
        <f>IFERROR(__xludf.DUMMYFUNCTION("if(isblank(L215),, index(googlefinance(A215,M$2,L215-1),2,2))"),68.16)</f>
        <v>68.16</v>
      </c>
      <c r="N215" s="20">
        <f>IFERROR(__xludf.DUMMYFUNCTION("if(isblank(A215),,googlefinance(A215))"),66.15)</f>
        <v>66.15</v>
      </c>
      <c r="O215" s="17" t="str">
        <f t="shared" si="11"/>
        <v>Completed</v>
      </c>
      <c r="P215" s="37" t="str">
        <f t="shared" si="4"/>
        <v>Profit</v>
      </c>
      <c r="Q215" s="38">
        <f t="shared" si="5"/>
        <v>1.68</v>
      </c>
      <c r="R215" s="17" t="b">
        <f t="shared" si="6"/>
        <v>1</v>
      </c>
      <c r="S215" s="17">
        <f t="shared" si="12"/>
        <v>-0.12</v>
      </c>
      <c r="T215" s="22">
        <f t="shared" si="8"/>
        <v>14</v>
      </c>
      <c r="U215" s="23"/>
      <c r="V215" s="13"/>
      <c r="W215" s="13"/>
      <c r="X215" s="13"/>
      <c r="Y215" s="13"/>
      <c r="Z215" s="13"/>
      <c r="AA215" s="24"/>
    </row>
    <row r="216" ht="13.5" hidden="1" customHeight="1">
      <c r="A216" s="13" t="s">
        <v>131</v>
      </c>
      <c r="B216" s="39">
        <v>13.0</v>
      </c>
      <c r="C216" s="22">
        <v>3.05</v>
      </c>
      <c r="D216" s="22">
        <v>30.769</v>
      </c>
      <c r="E216" s="22">
        <v>1.013</v>
      </c>
      <c r="F216" s="33"/>
      <c r="G216" s="34">
        <v>45275.0</v>
      </c>
      <c r="H216" s="48"/>
      <c r="I216" s="34">
        <v>45288.0</v>
      </c>
      <c r="J216" s="35">
        <f t="shared" si="14"/>
        <v>45275</v>
      </c>
      <c r="K216" s="18">
        <f>IFERROR(__xludf.DUMMYFUNCTION("if(isblank(J216),,index(googlefinance(A216,K$2,J216-1),2,2))"),62.78)</f>
        <v>62.78</v>
      </c>
      <c r="L216" s="36">
        <f t="shared" si="2"/>
        <v>45288</v>
      </c>
      <c r="M216" s="19">
        <f>IFERROR(__xludf.DUMMYFUNCTION("if(isblank(L216),, index(googlefinance(A216,M$2,L216-1),2,2))"),60.58)</f>
        <v>60.58</v>
      </c>
      <c r="N216" s="20">
        <f>IFERROR(__xludf.DUMMYFUNCTION("if(isblank(A216),,googlefinance(A216))"),57.03)</f>
        <v>57.03</v>
      </c>
      <c r="O216" s="17" t="str">
        <f t="shared" si="11"/>
        <v>Completed</v>
      </c>
      <c r="P216" s="37" t="str">
        <f t="shared" si="4"/>
        <v>Profit</v>
      </c>
      <c r="Q216" s="38">
        <f t="shared" si="5"/>
        <v>33</v>
      </c>
      <c r="R216" s="17" t="b">
        <f t="shared" si="6"/>
        <v>1</v>
      </c>
      <c r="S216" s="17">
        <f t="shared" si="12"/>
        <v>-2.2</v>
      </c>
      <c r="T216" s="22">
        <f t="shared" si="8"/>
        <v>15</v>
      </c>
      <c r="U216" s="23"/>
      <c r="V216" s="13"/>
      <c r="W216" s="13"/>
      <c r="X216" s="13"/>
      <c r="Y216" s="13"/>
      <c r="Z216" s="13"/>
      <c r="AA216" s="24"/>
    </row>
    <row r="217" ht="13.5" hidden="1" customHeight="1">
      <c r="A217" s="13" t="s">
        <v>45</v>
      </c>
      <c r="B217" s="39">
        <v>7.0</v>
      </c>
      <c r="C217" s="22">
        <v>624.45</v>
      </c>
      <c r="D217" s="22">
        <v>57.143</v>
      </c>
      <c r="E217" s="22">
        <v>5.575</v>
      </c>
      <c r="F217" s="34">
        <v>45275.0</v>
      </c>
      <c r="G217" s="33"/>
      <c r="H217" s="48"/>
      <c r="I217" s="48"/>
      <c r="J217" s="40">
        <f t="shared" si="14"/>
        <v>45275</v>
      </c>
      <c r="K217" s="18">
        <f>IFERROR(__xludf.DUMMYFUNCTION("if(isblank(J217),,index(googlefinance(A217,K$2,J217-1),2,2))"),58.76)</f>
        <v>58.76</v>
      </c>
      <c r="L217" s="49" t="str">
        <f t="shared" si="2"/>
        <v/>
      </c>
      <c r="M217" s="19" t="str">
        <f>IFERROR(__xludf.DUMMYFUNCTION("if(isblank(L217),, index(googlefinance(A217,M$2,L217-1),2,2))"),"")</f>
        <v/>
      </c>
      <c r="N217" s="20">
        <f>IFERROR(__xludf.DUMMYFUNCTION("if(isblank(A217),,googlefinance(A217))"),60.52)</f>
        <v>60.52</v>
      </c>
      <c r="O217" s="50" t="str">
        <f t="shared" si="11"/>
        <v>Ongoing</v>
      </c>
      <c r="P217" s="37" t="str">
        <f t="shared" si="4"/>
        <v>Profit</v>
      </c>
      <c r="Q217" s="38">
        <f t="shared" si="5"/>
        <v>29.92</v>
      </c>
      <c r="R217" s="17" t="b">
        <f t="shared" si="6"/>
        <v>1</v>
      </c>
      <c r="S217" s="17">
        <f t="shared" si="12"/>
        <v>1.76</v>
      </c>
      <c r="T217" s="22">
        <f t="shared" si="8"/>
        <v>17</v>
      </c>
      <c r="U217" s="23"/>
      <c r="V217" s="13"/>
      <c r="W217" s="13"/>
      <c r="X217" s="13"/>
      <c r="Y217" s="13"/>
      <c r="Z217" s="13"/>
      <c r="AA217" s="24"/>
    </row>
    <row r="218" ht="13.5" hidden="1" customHeight="1">
      <c r="A218" s="13" t="s">
        <v>109</v>
      </c>
      <c r="B218" s="39">
        <v>12.0</v>
      </c>
      <c r="C218" s="22">
        <v>339.73</v>
      </c>
      <c r="D218" s="22">
        <v>41.667</v>
      </c>
      <c r="E218" s="22">
        <v>2.329</v>
      </c>
      <c r="F218" s="34">
        <v>45275.0</v>
      </c>
      <c r="G218" s="33"/>
      <c r="H218" s="48"/>
      <c r="I218" s="48"/>
      <c r="J218" s="40">
        <f t="shared" si="14"/>
        <v>45275</v>
      </c>
      <c r="K218" s="18">
        <f>IFERROR(__xludf.DUMMYFUNCTION("if(isblank(J218),,index(googlefinance(A218,K$2,J218-1),2,2))"),52.42)</f>
        <v>52.42</v>
      </c>
      <c r="L218" s="49" t="str">
        <f t="shared" si="2"/>
        <v/>
      </c>
      <c r="M218" s="19" t="str">
        <f>IFERROR(__xludf.DUMMYFUNCTION("if(isblank(L218),, index(googlefinance(A218,M$2,L218-1),2,2))"),"")</f>
        <v/>
      </c>
      <c r="N218" s="20">
        <f>IFERROR(__xludf.DUMMYFUNCTION("if(isblank(A218),,googlefinance(A218))"),48.57)</f>
        <v>48.57</v>
      </c>
      <c r="O218" s="50" t="str">
        <f t="shared" si="11"/>
        <v>Ongoing</v>
      </c>
      <c r="P218" s="42" t="str">
        <f t="shared" si="4"/>
        <v>Loss</v>
      </c>
      <c r="Q218" s="43">
        <f t="shared" si="5"/>
        <v>-73.15</v>
      </c>
      <c r="R218" s="17" t="b">
        <f t="shared" si="6"/>
        <v>0</v>
      </c>
      <c r="S218" s="17">
        <f t="shared" si="12"/>
        <v>-3.85</v>
      </c>
      <c r="T218" s="22">
        <f t="shared" si="8"/>
        <v>19</v>
      </c>
      <c r="U218" s="23"/>
      <c r="V218" s="13"/>
      <c r="W218" s="13"/>
      <c r="X218" s="13"/>
      <c r="Y218" s="13"/>
      <c r="Z218" s="13"/>
      <c r="AA218" s="24"/>
    </row>
    <row r="219" ht="13.5" hidden="1" customHeight="1">
      <c r="A219" s="13" t="s">
        <v>132</v>
      </c>
      <c r="B219" s="39">
        <v>11.0</v>
      </c>
      <c r="C219" s="22">
        <v>81.88</v>
      </c>
      <c r="D219" s="22">
        <v>63.636</v>
      </c>
      <c r="E219" s="22">
        <v>2.456</v>
      </c>
      <c r="F219" s="33"/>
      <c r="G219" s="34">
        <v>45278.0</v>
      </c>
      <c r="H219" s="48"/>
      <c r="I219" s="34">
        <v>45293.0</v>
      </c>
      <c r="J219" s="35">
        <f t="shared" si="14"/>
        <v>45278</v>
      </c>
      <c r="K219" s="18">
        <f>IFERROR(__xludf.DUMMYFUNCTION("if(isblank(J219),,index(googlefinance(A219,K$2,J219-1),2,2))"),43.76)</f>
        <v>43.76</v>
      </c>
      <c r="L219" s="36">
        <f t="shared" si="2"/>
        <v>45293</v>
      </c>
      <c r="M219" s="19">
        <f>IFERROR(__xludf.DUMMYFUNCTION("if(isblank(L219),, index(googlefinance(A219,M$2,L219-1),2,2))"),44.74)</f>
        <v>44.74</v>
      </c>
      <c r="N219" s="20">
        <f>IFERROR(__xludf.DUMMYFUNCTION("if(isblank(A219),,googlefinance(A219))"),41.45)</f>
        <v>41.45</v>
      </c>
      <c r="O219" s="17" t="str">
        <f t="shared" si="11"/>
        <v>Completed</v>
      </c>
      <c r="P219" s="42" t="str">
        <f t="shared" si="4"/>
        <v>Loss</v>
      </c>
      <c r="Q219" s="43">
        <f t="shared" si="5"/>
        <v>-21.56</v>
      </c>
      <c r="R219" s="17" t="b">
        <f t="shared" si="6"/>
        <v>0</v>
      </c>
      <c r="S219" s="17">
        <f t="shared" si="12"/>
        <v>0.98</v>
      </c>
      <c r="T219" s="22">
        <f t="shared" si="8"/>
        <v>22</v>
      </c>
      <c r="U219" s="23"/>
      <c r="V219" s="13"/>
      <c r="W219" s="13"/>
      <c r="X219" s="13"/>
      <c r="Y219" s="13"/>
      <c r="Z219" s="13"/>
      <c r="AA219" s="24"/>
    </row>
    <row r="220" ht="13.5" hidden="1" customHeight="1">
      <c r="A220" s="13" t="s">
        <v>43</v>
      </c>
      <c r="B220" s="39">
        <v>12.0</v>
      </c>
      <c r="C220" s="22">
        <v>296.31</v>
      </c>
      <c r="D220" s="22">
        <v>33.333</v>
      </c>
      <c r="E220" s="22">
        <v>3.573</v>
      </c>
      <c r="F220" s="33"/>
      <c r="G220" s="34">
        <v>45278.0</v>
      </c>
      <c r="H220" s="48"/>
      <c r="I220" s="34">
        <v>45288.0</v>
      </c>
      <c r="J220" s="35">
        <f t="shared" si="14"/>
        <v>45278</v>
      </c>
      <c r="K220" s="18">
        <f>IFERROR(__xludf.DUMMYFUNCTION("if(isblank(J220),,index(googlefinance(A220,K$2,J220-1),2,2))"),51.46)</f>
        <v>51.46</v>
      </c>
      <c r="L220" s="36">
        <f t="shared" si="2"/>
        <v>45288</v>
      </c>
      <c r="M220" s="19">
        <f>IFERROR(__xludf.DUMMYFUNCTION("if(isblank(L220),, index(googlefinance(A220,M$2,L220-1),2,2))"),51.85)</f>
        <v>51.85</v>
      </c>
      <c r="N220" s="20">
        <f>IFERROR(__xludf.DUMMYFUNCTION("if(isblank(A220),,googlefinance(A220))"),50.03)</f>
        <v>50.03</v>
      </c>
      <c r="O220" s="17" t="str">
        <f t="shared" si="11"/>
        <v>Completed</v>
      </c>
      <c r="P220" s="42" t="str">
        <f t="shared" si="4"/>
        <v>Loss</v>
      </c>
      <c r="Q220" s="43">
        <f t="shared" si="5"/>
        <v>-7.41</v>
      </c>
      <c r="R220" s="17" t="b">
        <f t="shared" si="6"/>
        <v>0</v>
      </c>
      <c r="S220" s="17">
        <f t="shared" si="12"/>
        <v>0.39</v>
      </c>
      <c r="T220" s="22">
        <f t="shared" si="8"/>
        <v>19</v>
      </c>
      <c r="U220" s="23"/>
      <c r="V220" s="13"/>
      <c r="W220" s="13"/>
      <c r="X220" s="13"/>
      <c r="Y220" s="13"/>
      <c r="Z220" s="13"/>
      <c r="AA220" s="24"/>
    </row>
    <row r="221" ht="13.5" hidden="1" customHeight="1">
      <c r="A221" s="13" t="s">
        <v>190</v>
      </c>
      <c r="B221" s="39">
        <v>9.0</v>
      </c>
      <c r="C221" s="22">
        <v>455.73</v>
      </c>
      <c r="D221" s="22">
        <v>44.444</v>
      </c>
      <c r="E221" s="22">
        <v>3.993</v>
      </c>
      <c r="F221" s="33"/>
      <c r="G221" s="34">
        <v>45278.0</v>
      </c>
      <c r="H221" s="48"/>
      <c r="I221" s="34">
        <v>45282.0</v>
      </c>
      <c r="J221" s="35">
        <f t="shared" si="14"/>
        <v>45278</v>
      </c>
      <c r="K221" s="18">
        <f>IFERROR(__xludf.DUMMYFUNCTION("if(isblank(J221),,index(googlefinance(A221,K$2,J221-1),2,2))"),60.62)</f>
        <v>60.62</v>
      </c>
      <c r="L221" s="36">
        <f t="shared" si="2"/>
        <v>45282</v>
      </c>
      <c r="M221" s="19">
        <f>IFERROR(__xludf.DUMMYFUNCTION("if(isblank(L221),, index(googlefinance(A221,M$2,L221-1),2,2))"),61.69)</f>
        <v>61.69</v>
      </c>
      <c r="N221" s="20">
        <f>IFERROR(__xludf.DUMMYFUNCTION("if(isblank(A221),,googlefinance(A221))"),57.96)</f>
        <v>57.96</v>
      </c>
      <c r="O221" s="17" t="str">
        <f t="shared" si="11"/>
        <v>Completed</v>
      </c>
      <c r="P221" s="42" t="str">
        <f t="shared" si="4"/>
        <v>Loss</v>
      </c>
      <c r="Q221" s="43">
        <f t="shared" si="5"/>
        <v>-17.12</v>
      </c>
      <c r="R221" s="17" t="b">
        <f t="shared" si="6"/>
        <v>0</v>
      </c>
      <c r="S221" s="17">
        <f t="shared" si="12"/>
        <v>1.07</v>
      </c>
      <c r="T221" s="22">
        <f t="shared" si="8"/>
        <v>16</v>
      </c>
      <c r="U221" s="23"/>
      <c r="V221" s="13"/>
      <c r="W221" s="13"/>
      <c r="X221" s="13"/>
      <c r="Y221" s="13"/>
      <c r="Z221" s="13"/>
      <c r="AA221" s="24"/>
    </row>
    <row r="222" ht="13.5" hidden="1" customHeight="1">
      <c r="A222" s="13" t="s">
        <v>191</v>
      </c>
      <c r="B222" s="39">
        <v>8.0</v>
      </c>
      <c r="C222" s="22">
        <v>74.67</v>
      </c>
      <c r="D222" s="22">
        <v>37.5</v>
      </c>
      <c r="E222" s="22">
        <v>2.228</v>
      </c>
      <c r="F222" s="33"/>
      <c r="G222" s="34">
        <v>45278.0</v>
      </c>
      <c r="H222" s="48"/>
      <c r="I222" s="34">
        <v>45282.0</v>
      </c>
      <c r="J222" s="35">
        <f t="shared" si="14"/>
        <v>45278</v>
      </c>
      <c r="K222" s="18">
        <f>IFERROR(__xludf.DUMMYFUNCTION("if(isblank(J222),,index(googlefinance(A222,K$2,J222-1),2,2))"),32.4)</f>
        <v>32.4</v>
      </c>
      <c r="L222" s="36">
        <f t="shared" si="2"/>
        <v>45282</v>
      </c>
      <c r="M222" s="19">
        <f>IFERROR(__xludf.DUMMYFUNCTION("if(isblank(L222),, index(googlefinance(A222,M$2,L222-1),2,2))"),32.52)</f>
        <v>32.52</v>
      </c>
      <c r="N222" s="20">
        <f>IFERROR(__xludf.DUMMYFUNCTION("if(isblank(A222),,googlefinance(A222))"),30.97)</f>
        <v>30.97</v>
      </c>
      <c r="O222" s="17" t="str">
        <f t="shared" si="11"/>
        <v>Completed</v>
      </c>
      <c r="P222" s="42" t="str">
        <f t="shared" si="4"/>
        <v>Loss</v>
      </c>
      <c r="Q222" s="43">
        <f t="shared" si="5"/>
        <v>-3.6</v>
      </c>
      <c r="R222" s="17" t="b">
        <f t="shared" si="6"/>
        <v>0</v>
      </c>
      <c r="S222" s="17">
        <f t="shared" si="12"/>
        <v>0.12</v>
      </c>
      <c r="T222" s="22">
        <f t="shared" si="8"/>
        <v>30</v>
      </c>
      <c r="U222" s="23"/>
      <c r="V222" s="13"/>
      <c r="W222" s="13"/>
      <c r="X222" s="13"/>
      <c r="Y222" s="13"/>
      <c r="Z222" s="13"/>
      <c r="AA222" s="24"/>
    </row>
    <row r="223" ht="13.5" hidden="1" customHeight="1">
      <c r="A223" s="13" t="s">
        <v>78</v>
      </c>
      <c r="B223" s="39">
        <v>7.0</v>
      </c>
      <c r="C223" s="22">
        <v>103.4</v>
      </c>
      <c r="D223" s="22">
        <v>42.857</v>
      </c>
      <c r="E223" s="22">
        <v>1.976</v>
      </c>
      <c r="F223" s="34">
        <v>45278.0</v>
      </c>
      <c r="G223" s="33"/>
      <c r="H223" s="34">
        <v>45288.0</v>
      </c>
      <c r="I223" s="48"/>
      <c r="J223" s="40">
        <f t="shared" si="14"/>
        <v>45278</v>
      </c>
      <c r="K223" s="18">
        <f>IFERROR(__xludf.DUMMYFUNCTION("if(isblank(J223),,index(googlefinance(A223,K$2,J223-1),2,2))"),101.65)</f>
        <v>101.65</v>
      </c>
      <c r="L223" s="41">
        <f t="shared" si="2"/>
        <v>45288</v>
      </c>
      <c r="M223" s="19">
        <f>IFERROR(__xludf.DUMMYFUNCTION("if(isblank(L223),, index(googlefinance(A223,M$2,L223-1),2,2))"),101.66)</f>
        <v>101.66</v>
      </c>
      <c r="N223" s="20">
        <f>IFERROR(__xludf.DUMMYFUNCTION("if(isblank(A223),,googlefinance(A223))"),103.73)</f>
        <v>103.73</v>
      </c>
      <c r="O223" s="17" t="str">
        <f t="shared" si="11"/>
        <v>Completed</v>
      </c>
      <c r="P223" s="37" t="str">
        <f t="shared" si="4"/>
        <v>Profit</v>
      </c>
      <c r="Q223" s="38">
        <f t="shared" si="5"/>
        <v>0.09</v>
      </c>
      <c r="R223" s="17" t="b">
        <f t="shared" si="6"/>
        <v>1</v>
      </c>
      <c r="S223" s="17">
        <f t="shared" si="12"/>
        <v>0.01</v>
      </c>
      <c r="T223" s="22">
        <f t="shared" si="8"/>
        <v>9</v>
      </c>
      <c r="U223" s="23"/>
      <c r="V223" s="13"/>
      <c r="W223" s="13"/>
      <c r="X223" s="13"/>
      <c r="Y223" s="13"/>
      <c r="Z223" s="13"/>
      <c r="AA223" s="24"/>
    </row>
    <row r="224" ht="13.5" hidden="1" customHeight="1">
      <c r="A224" s="13" t="s">
        <v>35</v>
      </c>
      <c r="B224" s="39">
        <v>14.0</v>
      </c>
      <c r="C224" s="22">
        <v>102.58</v>
      </c>
      <c r="D224" s="22">
        <v>50.0</v>
      </c>
      <c r="E224" s="22">
        <v>1.611</v>
      </c>
      <c r="F224" s="33"/>
      <c r="G224" s="34">
        <v>45279.0</v>
      </c>
      <c r="H224" s="48"/>
      <c r="I224" s="34">
        <v>45293.0</v>
      </c>
      <c r="J224" s="35">
        <f t="shared" si="14"/>
        <v>45279</v>
      </c>
      <c r="K224" s="18">
        <f>IFERROR(__xludf.DUMMYFUNCTION("if(isblank(J224),,index(googlefinance(A224,K$2,J224-1),2,2))"),29.49)</f>
        <v>29.49</v>
      </c>
      <c r="L224" s="36">
        <f t="shared" si="2"/>
        <v>45293</v>
      </c>
      <c r="M224" s="19">
        <f>IFERROR(__xludf.DUMMYFUNCTION("if(isblank(L224),, index(googlefinance(A224,M$2,L224-1),2,2))"),29.53)</f>
        <v>29.53</v>
      </c>
      <c r="N224" s="20">
        <f>IFERROR(__xludf.DUMMYFUNCTION("if(isblank(A224),,googlefinance(A224))"),27.21)</f>
        <v>27.21</v>
      </c>
      <c r="O224" s="17" t="str">
        <f t="shared" si="11"/>
        <v>Completed</v>
      </c>
      <c r="P224" s="42" t="str">
        <f t="shared" si="4"/>
        <v>Loss</v>
      </c>
      <c r="Q224" s="43">
        <f t="shared" si="5"/>
        <v>-1.32</v>
      </c>
      <c r="R224" s="17" t="b">
        <f t="shared" si="6"/>
        <v>0</v>
      </c>
      <c r="S224" s="17">
        <f t="shared" si="12"/>
        <v>0.04</v>
      </c>
      <c r="T224" s="22">
        <f t="shared" si="8"/>
        <v>33</v>
      </c>
      <c r="U224" s="23"/>
      <c r="V224" s="13"/>
      <c r="W224" s="13"/>
      <c r="X224" s="13"/>
      <c r="Y224" s="13"/>
      <c r="Z224" s="13"/>
      <c r="AA224" s="24"/>
    </row>
    <row r="225" ht="13.5" hidden="1" customHeight="1">
      <c r="A225" s="13" t="s">
        <v>98</v>
      </c>
      <c r="B225" s="39">
        <v>11.0</v>
      </c>
      <c r="C225" s="22">
        <v>235.18</v>
      </c>
      <c r="D225" s="22">
        <v>45.455</v>
      </c>
      <c r="E225" s="22">
        <v>2.571</v>
      </c>
      <c r="F225" s="33"/>
      <c r="G225" s="34">
        <v>45279.0</v>
      </c>
      <c r="H225" s="48"/>
      <c r="I225" s="34">
        <v>45293.0</v>
      </c>
      <c r="J225" s="35">
        <f t="shared" si="14"/>
        <v>45279</v>
      </c>
      <c r="K225" s="18">
        <f>IFERROR(__xludf.DUMMYFUNCTION("if(isblank(J225),,index(googlefinance(A225,K$2,J225-1),2,2))"),366.24)</f>
        <v>366.24</v>
      </c>
      <c r="L225" s="36">
        <f t="shared" si="2"/>
        <v>45293</v>
      </c>
      <c r="M225" s="19">
        <f>IFERROR(__xludf.DUMMYFUNCTION("if(isblank(L225),, index(googlefinance(A225,M$2,L225-1),2,2))"),371.53)</f>
        <v>371.53</v>
      </c>
      <c r="N225" s="20">
        <f>IFERROR(__xludf.DUMMYFUNCTION("if(isblank(A225),,googlefinance(A225))"),401.72)</f>
        <v>401.72</v>
      </c>
      <c r="O225" s="17" t="str">
        <f t="shared" si="11"/>
        <v>Completed</v>
      </c>
      <c r="P225" s="42" t="str">
        <f t="shared" si="4"/>
        <v>Loss</v>
      </c>
      <c r="Q225" s="43">
        <f t="shared" si="5"/>
        <v>-10.58</v>
      </c>
      <c r="R225" s="17" t="b">
        <f t="shared" si="6"/>
        <v>0</v>
      </c>
      <c r="S225" s="17">
        <f t="shared" si="12"/>
        <v>5.29</v>
      </c>
      <c r="T225" s="22">
        <f t="shared" si="8"/>
        <v>2</v>
      </c>
      <c r="U225" s="23"/>
      <c r="V225" s="13"/>
      <c r="W225" s="13"/>
      <c r="X225" s="13"/>
      <c r="Y225" s="13"/>
      <c r="Z225" s="13"/>
      <c r="AA225" s="24"/>
    </row>
    <row r="226" ht="13.5" hidden="1" customHeight="1">
      <c r="A226" s="13" t="s">
        <v>175</v>
      </c>
      <c r="B226" s="39">
        <v>10.0</v>
      </c>
      <c r="C226" s="22">
        <v>91.688</v>
      </c>
      <c r="D226" s="22">
        <v>30.0</v>
      </c>
      <c r="E226" s="22">
        <v>1.356</v>
      </c>
      <c r="F226" s="34">
        <v>45279.0</v>
      </c>
      <c r="G226" s="33"/>
      <c r="H226" s="48" t="s">
        <v>192</v>
      </c>
      <c r="I226" s="48"/>
      <c r="J226" s="40">
        <f t="shared" si="14"/>
        <v>45279</v>
      </c>
      <c r="K226" s="18">
        <f>IFERROR(__xludf.DUMMYFUNCTION("if(isblank(J226),,index(googlefinance(A226,K$2,J226-1),2,2))"),27.06)</f>
        <v>27.06</v>
      </c>
      <c r="L226" s="49" t="str">
        <f t="shared" si="2"/>
        <v>2024/01/10</v>
      </c>
      <c r="M226" s="19">
        <f>IFERROR(__xludf.DUMMYFUNCTION("if(isblank(L226),, index(googlefinance(A226,M$2,L226-1),2,2))"),29.4)</f>
        <v>29.4</v>
      </c>
      <c r="N226" s="20">
        <f>IFERROR(__xludf.DUMMYFUNCTION("if(isblank(A226),,googlefinance(A226))"),27.62)</f>
        <v>27.62</v>
      </c>
      <c r="O226" s="50" t="str">
        <f t="shared" si="11"/>
        <v>Completed</v>
      </c>
      <c r="P226" s="37" t="str">
        <f t="shared" si="4"/>
        <v>Profit</v>
      </c>
      <c r="Q226" s="38">
        <f t="shared" si="5"/>
        <v>84.24</v>
      </c>
      <c r="R226" s="17" t="b">
        <f t="shared" si="6"/>
        <v>1</v>
      </c>
      <c r="S226" s="17">
        <f t="shared" si="12"/>
        <v>2.34</v>
      </c>
      <c r="T226" s="22">
        <f t="shared" si="8"/>
        <v>36</v>
      </c>
      <c r="U226" s="23"/>
      <c r="V226" s="24"/>
      <c r="W226" s="24"/>
      <c r="X226" s="24"/>
      <c r="Y226" s="13"/>
      <c r="Z226" s="13"/>
      <c r="AA226" s="24"/>
    </row>
    <row r="227" ht="13.5" hidden="1" customHeight="1">
      <c r="A227" s="13" t="s">
        <v>193</v>
      </c>
      <c r="B227" s="39">
        <v>10.0</v>
      </c>
      <c r="C227" s="22">
        <v>0.39</v>
      </c>
      <c r="D227" s="22">
        <v>30.0</v>
      </c>
      <c r="E227" s="22">
        <v>1.002</v>
      </c>
      <c r="F227" s="33"/>
      <c r="G227" s="34">
        <v>45279.0</v>
      </c>
      <c r="H227" s="48"/>
      <c r="I227" s="34">
        <v>45287.0</v>
      </c>
      <c r="J227" s="35">
        <f t="shared" si="14"/>
        <v>45279</v>
      </c>
      <c r="K227" s="18">
        <f>IFERROR(__xludf.DUMMYFUNCTION("if(isblank(J227),,index(googlefinance(A227,K$2,J227-1),2,2))"),850.87)</f>
        <v>850.87</v>
      </c>
      <c r="L227" s="36">
        <f t="shared" si="2"/>
        <v>45287</v>
      </c>
      <c r="M227" s="19">
        <f>IFERROR(__xludf.DUMMYFUNCTION("if(isblank(L227),, index(googlefinance(A227,M$2,L227-1),2,2))"),849.53)</f>
        <v>849.53</v>
      </c>
      <c r="N227" s="20">
        <f>IFERROR(__xludf.DUMMYFUNCTION("if(isblank(A227),,googlefinance(A227))"),948.05)</f>
        <v>948.05</v>
      </c>
      <c r="O227" s="17" t="str">
        <f t="shared" si="11"/>
        <v>Completed</v>
      </c>
      <c r="P227" s="37" t="str">
        <f t="shared" si="4"/>
        <v>Profit</v>
      </c>
      <c r="Q227" s="38">
        <f t="shared" si="5"/>
        <v>1.34</v>
      </c>
      <c r="R227" s="17" t="b">
        <f t="shared" si="6"/>
        <v>1</v>
      </c>
      <c r="S227" s="17">
        <f t="shared" si="12"/>
        <v>-1.34</v>
      </c>
      <c r="T227" s="22">
        <f t="shared" si="8"/>
        <v>1</v>
      </c>
      <c r="U227" s="23"/>
      <c r="V227" s="13"/>
      <c r="W227" s="13"/>
      <c r="X227" s="13"/>
      <c r="Y227" s="13"/>
      <c r="Z227" s="13"/>
      <c r="AA227" s="24"/>
    </row>
    <row r="228" ht="13.5" hidden="1" customHeight="1">
      <c r="A228" s="13" t="s">
        <v>148</v>
      </c>
      <c r="B228" s="39">
        <v>11.0</v>
      </c>
      <c r="C228" s="22">
        <v>16.73</v>
      </c>
      <c r="D228" s="22">
        <v>9.091</v>
      </c>
      <c r="E228" s="22">
        <v>1.065</v>
      </c>
      <c r="F228" s="48"/>
      <c r="G228" s="34">
        <v>45280.0</v>
      </c>
      <c r="H228" s="48"/>
      <c r="I228" s="48" t="s">
        <v>194</v>
      </c>
      <c r="J228" s="35">
        <f t="shared" si="14"/>
        <v>45280</v>
      </c>
      <c r="K228" s="18">
        <f>IFERROR(__xludf.DUMMYFUNCTION("if(isblank(J228),,index(googlefinance(A228,K$2,J228-1),2,2))"),280.0)</f>
        <v>280</v>
      </c>
      <c r="L228" s="49" t="str">
        <f t="shared" si="2"/>
        <v>2024/01/19</v>
      </c>
      <c r="M228" s="19">
        <f>IFERROR(__xludf.DUMMYFUNCTION("if(isblank(L228),, index(googlefinance(A228,M$2,L228-1),2,2))"),244.07)</f>
        <v>244.07</v>
      </c>
      <c r="N228" s="20">
        <f>IFERROR(__xludf.DUMMYFUNCTION("if(isblank(A228),,googlefinance(A228))"),237.59)</f>
        <v>237.59</v>
      </c>
      <c r="O228" s="50" t="str">
        <f t="shared" si="11"/>
        <v>Completed</v>
      </c>
      <c r="P228" s="37" t="str">
        <f t="shared" si="4"/>
        <v>Profit</v>
      </c>
      <c r="Q228" s="38">
        <f t="shared" si="5"/>
        <v>107.79</v>
      </c>
      <c r="R228" s="17" t="b">
        <f t="shared" si="6"/>
        <v>1</v>
      </c>
      <c r="S228" s="17">
        <f t="shared" si="12"/>
        <v>-35.93</v>
      </c>
      <c r="T228" s="22">
        <f t="shared" si="8"/>
        <v>3</v>
      </c>
      <c r="U228" s="23"/>
      <c r="V228" s="13"/>
      <c r="W228" s="13"/>
      <c r="X228" s="13"/>
      <c r="Y228" s="13"/>
      <c r="Z228" s="13"/>
      <c r="AA228" s="24"/>
    </row>
    <row r="229" ht="13.5" hidden="1" customHeight="1">
      <c r="A229" s="13" t="s">
        <v>157</v>
      </c>
      <c r="B229" s="39">
        <v>11.0</v>
      </c>
      <c r="C229" s="22">
        <v>131.34</v>
      </c>
      <c r="D229" s="22">
        <v>36.364</v>
      </c>
      <c r="E229" s="22">
        <v>1.63</v>
      </c>
      <c r="F229" s="48"/>
      <c r="G229" s="34">
        <v>45280.0</v>
      </c>
      <c r="H229" s="48"/>
      <c r="I229" s="34">
        <v>45293.0</v>
      </c>
      <c r="J229" s="35">
        <f t="shared" si="14"/>
        <v>45280</v>
      </c>
      <c r="K229" s="18">
        <f>IFERROR(__xludf.DUMMYFUNCTION("if(isblank(J229),,index(googlefinance(A229,K$2,J229-1),2,2))"),139.36)</f>
        <v>139.36</v>
      </c>
      <c r="L229" s="36">
        <f t="shared" si="2"/>
        <v>45293</v>
      </c>
      <c r="M229" s="19">
        <f>IFERROR(__xludf.DUMMYFUNCTION("if(isblank(L229),, index(googlefinance(A229,M$2,L229-1),2,2))"),139.03)</f>
        <v>139.03</v>
      </c>
      <c r="N229" s="20">
        <f>IFERROR(__xludf.DUMMYFUNCTION("if(isblank(A229),,googlefinance(A229))"),138.31)</f>
        <v>138.31</v>
      </c>
      <c r="O229" s="17" t="str">
        <f t="shared" si="11"/>
        <v>Completed</v>
      </c>
      <c r="P229" s="37" t="str">
        <f t="shared" si="4"/>
        <v>Profit</v>
      </c>
      <c r="Q229" s="38">
        <f t="shared" si="5"/>
        <v>2.31</v>
      </c>
      <c r="R229" s="17" t="b">
        <f t="shared" si="6"/>
        <v>1</v>
      </c>
      <c r="S229" s="17">
        <f t="shared" si="12"/>
        <v>-0.33</v>
      </c>
      <c r="T229" s="22">
        <f t="shared" si="8"/>
        <v>7</v>
      </c>
      <c r="U229" s="23"/>
      <c r="V229" s="13"/>
      <c r="W229" s="13"/>
      <c r="X229" s="13"/>
      <c r="Y229" s="13"/>
      <c r="Z229" s="13"/>
      <c r="AA229" s="24"/>
    </row>
    <row r="230" ht="13.5" hidden="1" customHeight="1">
      <c r="A230" s="13" t="s">
        <v>149</v>
      </c>
      <c r="B230" s="39">
        <v>8.0</v>
      </c>
      <c r="C230" s="22">
        <v>18.927</v>
      </c>
      <c r="D230" s="22">
        <v>25.0</v>
      </c>
      <c r="E230" s="22">
        <v>1.067</v>
      </c>
      <c r="F230" s="48"/>
      <c r="G230" s="34">
        <v>45280.0</v>
      </c>
      <c r="H230" s="48"/>
      <c r="I230" s="34">
        <v>45286.0</v>
      </c>
      <c r="J230" s="35">
        <f t="shared" si="14"/>
        <v>45280</v>
      </c>
      <c r="K230" s="18">
        <f>IFERROR(__xludf.DUMMYFUNCTION("if(isblank(J230),,index(googlefinance(A230,K$2,J230-1),2,2))"),496.04)</f>
        <v>496.04</v>
      </c>
      <c r="L230" s="36">
        <f t="shared" si="2"/>
        <v>45286</v>
      </c>
      <c r="M230" s="19">
        <f>IFERROR(__xludf.DUMMYFUNCTION("if(isblank(L230),, index(googlefinance(A230,M$2,L230-1),2,2))"),492.79)</f>
        <v>492.79</v>
      </c>
      <c r="N230" s="20">
        <f>IFERROR(__xludf.DUMMYFUNCTION("if(isblank(A230),,googlefinance(A230))"),726.13)</f>
        <v>726.13</v>
      </c>
      <c r="O230" s="17" t="str">
        <f t="shared" si="11"/>
        <v>Completed</v>
      </c>
      <c r="P230" s="37" t="str">
        <f t="shared" si="4"/>
        <v>Profit</v>
      </c>
      <c r="Q230" s="38">
        <f t="shared" si="5"/>
        <v>6.5</v>
      </c>
      <c r="R230" s="17" t="b">
        <f t="shared" si="6"/>
        <v>1</v>
      </c>
      <c r="S230" s="17">
        <f t="shared" si="12"/>
        <v>-3.25</v>
      </c>
      <c r="T230" s="22">
        <f t="shared" si="8"/>
        <v>2</v>
      </c>
      <c r="U230" s="23"/>
      <c r="V230" s="13"/>
      <c r="W230" s="13"/>
      <c r="X230" s="13"/>
      <c r="Y230" s="13"/>
      <c r="Z230" s="13"/>
      <c r="AA230" s="24"/>
    </row>
    <row r="231" ht="13.5" hidden="1" customHeight="1">
      <c r="A231" s="13" t="s">
        <v>195</v>
      </c>
      <c r="B231" s="39">
        <v>8.0</v>
      </c>
      <c r="C231" s="22">
        <v>297.94</v>
      </c>
      <c r="D231" s="22">
        <v>37.5</v>
      </c>
      <c r="E231" s="22">
        <v>1.868</v>
      </c>
      <c r="F231" s="48"/>
      <c r="G231" s="34">
        <v>45282.0</v>
      </c>
      <c r="H231" s="48"/>
      <c r="I231" s="48" t="s">
        <v>196</v>
      </c>
      <c r="J231" s="35">
        <f t="shared" si="14"/>
        <v>45282</v>
      </c>
      <c r="K231" s="18">
        <f>IFERROR(__xludf.DUMMYFUNCTION("if(isblank(J231),,index(googlefinance(A231,K$2,J231-1),2,2))"),78.55)</f>
        <v>78.55</v>
      </c>
      <c r="L231" s="49" t="str">
        <f t="shared" si="2"/>
        <v>2024/01/29</v>
      </c>
      <c r="M231" s="19">
        <f>IFERROR(__xludf.DUMMYFUNCTION("if(isblank(L231),, index(googlefinance(A231,M$2,L231-1),2,2))"),72.95)</f>
        <v>72.95</v>
      </c>
      <c r="N231" s="20">
        <f>IFERROR(__xludf.DUMMYFUNCTION("if(isblank(A231),,googlefinance(A231))"),71.88)</f>
        <v>71.88</v>
      </c>
      <c r="O231" s="50" t="str">
        <f t="shared" si="11"/>
        <v>Completed</v>
      </c>
      <c r="P231" s="37" t="str">
        <f t="shared" si="4"/>
        <v>Profit</v>
      </c>
      <c r="Q231" s="38">
        <f t="shared" si="5"/>
        <v>67.2</v>
      </c>
      <c r="R231" s="17" t="b">
        <f t="shared" si="6"/>
        <v>1</v>
      </c>
      <c r="S231" s="17">
        <f t="shared" si="12"/>
        <v>-5.6</v>
      </c>
      <c r="T231" s="22">
        <f t="shared" si="8"/>
        <v>12</v>
      </c>
      <c r="U231" s="23"/>
      <c r="V231" s="13"/>
      <c r="W231" s="13"/>
      <c r="X231" s="13"/>
      <c r="Y231" s="13"/>
      <c r="Z231" s="13"/>
      <c r="AA231" s="24"/>
    </row>
    <row r="232" ht="13.5" hidden="1" customHeight="1">
      <c r="A232" s="13" t="s">
        <v>92</v>
      </c>
      <c r="B232" s="39">
        <v>11.0</v>
      </c>
      <c r="C232" s="22">
        <v>5.15</v>
      </c>
      <c r="D232" s="22">
        <v>36.364</v>
      </c>
      <c r="E232" s="22">
        <v>1.031</v>
      </c>
      <c r="F232" s="48"/>
      <c r="G232" s="34">
        <v>45282.0</v>
      </c>
      <c r="H232" s="48"/>
      <c r="I232" s="48" t="s">
        <v>197</v>
      </c>
      <c r="J232" s="35">
        <f t="shared" si="14"/>
        <v>45282</v>
      </c>
      <c r="K232" s="18">
        <f>IFERROR(__xludf.DUMMYFUNCTION("if(isblank(J232),,index(googlefinance(A232,K$2,J232-1),2,2))"),122.53)</f>
        <v>122.53</v>
      </c>
      <c r="L232" s="49" t="str">
        <f t="shared" si="2"/>
        <v>2024/01/11</v>
      </c>
      <c r="M232" s="19">
        <f>IFERROR(__xludf.DUMMYFUNCTION("if(isblank(L232),, index(googlefinance(A232,M$2,L232-1),2,2))"),103.77)</f>
        <v>103.77</v>
      </c>
      <c r="N232" s="20">
        <f>IFERROR(__xludf.DUMMYFUNCTION("if(isblank(A232),,googlefinance(A232))"),103.51)</f>
        <v>103.51</v>
      </c>
      <c r="O232" s="50" t="str">
        <f t="shared" si="11"/>
        <v>Completed</v>
      </c>
      <c r="P232" s="37" t="str">
        <f t="shared" si="4"/>
        <v>Profit</v>
      </c>
      <c r="Q232" s="38">
        <f t="shared" si="5"/>
        <v>150.08</v>
      </c>
      <c r="R232" s="17" t="b">
        <f t="shared" si="6"/>
        <v>1</v>
      </c>
      <c r="S232" s="17">
        <f t="shared" si="12"/>
        <v>-18.76</v>
      </c>
      <c r="T232" s="22">
        <f t="shared" si="8"/>
        <v>8</v>
      </c>
      <c r="U232" s="23"/>
      <c r="V232" s="13"/>
      <c r="W232" s="13"/>
      <c r="X232" s="13"/>
      <c r="Y232" s="13"/>
      <c r="Z232" s="13"/>
      <c r="AA232" s="24"/>
    </row>
    <row r="233" ht="13.5" hidden="1" customHeight="1">
      <c r="A233" s="13" t="s">
        <v>117</v>
      </c>
      <c r="B233" s="39">
        <v>14.0</v>
      </c>
      <c r="C233" s="22">
        <v>34.47</v>
      </c>
      <c r="D233" s="22">
        <v>42.857</v>
      </c>
      <c r="E233" s="22">
        <v>1.18</v>
      </c>
      <c r="F233" s="33"/>
      <c r="G233" s="34">
        <v>45282.0</v>
      </c>
      <c r="H233" s="48"/>
      <c r="I233" s="48" t="s">
        <v>198</v>
      </c>
      <c r="J233" s="35">
        <f t="shared" si="14"/>
        <v>45282</v>
      </c>
      <c r="K233" s="18">
        <f>IFERROR(__xludf.DUMMYFUNCTION("if(isblank(J233),,index(googlefinance(A233,K$2,J233-1),2,2))"),118.9)</f>
        <v>118.9</v>
      </c>
      <c r="L233" s="49" t="str">
        <f t="shared" si="2"/>
        <v>2024/01/17</v>
      </c>
      <c r="M233" s="19">
        <f>IFERROR(__xludf.DUMMYFUNCTION("if(isblank(L233),, index(googlefinance(A233,M$2,L233-1),2,2))"),119.81)</f>
        <v>119.81</v>
      </c>
      <c r="N233" s="20">
        <f>IFERROR(__xludf.DUMMYFUNCTION("if(isblank(A233),,googlefinance(A233))"),123.38)</f>
        <v>123.38</v>
      </c>
      <c r="O233" s="50" t="str">
        <f t="shared" si="11"/>
        <v>Completed</v>
      </c>
      <c r="P233" s="37" t="str">
        <f t="shared" si="4"/>
        <v>Loss</v>
      </c>
      <c r="Q233" s="38">
        <f t="shared" si="5"/>
        <v>-7.28</v>
      </c>
      <c r="R233" s="17" t="b">
        <f t="shared" si="6"/>
        <v>0</v>
      </c>
      <c r="S233" s="17">
        <f t="shared" si="12"/>
        <v>0.91</v>
      </c>
      <c r="T233" s="22">
        <f t="shared" si="8"/>
        <v>8</v>
      </c>
      <c r="U233" s="23"/>
      <c r="V233" s="13"/>
      <c r="W233" s="13"/>
      <c r="X233" s="13"/>
      <c r="Y233" s="13"/>
      <c r="Z233" s="13"/>
      <c r="AA233" s="24"/>
    </row>
    <row r="234" ht="13.5" hidden="1" customHeight="1">
      <c r="A234" s="13" t="s">
        <v>48</v>
      </c>
      <c r="B234" s="39">
        <v>13.0</v>
      </c>
      <c r="C234" s="22">
        <v>63.964</v>
      </c>
      <c r="D234" s="22">
        <v>38.462</v>
      </c>
      <c r="E234" s="22">
        <v>1.358</v>
      </c>
      <c r="F234" s="34">
        <v>45288.0</v>
      </c>
      <c r="G234" s="48"/>
      <c r="H234" s="48" t="s">
        <v>197</v>
      </c>
      <c r="I234" s="48"/>
      <c r="J234" s="40">
        <f t="shared" si="14"/>
        <v>45288</v>
      </c>
      <c r="K234" s="18">
        <f>IFERROR(__xludf.DUMMYFUNCTION("if(isblank(J234),,index(googlefinance(A234,K$2,J234-1),2,2))"),35.41)</f>
        <v>35.41</v>
      </c>
      <c r="L234" s="49" t="str">
        <f t="shared" si="2"/>
        <v>2024/01/11</v>
      </c>
      <c r="M234" s="19">
        <f>IFERROR(__xludf.DUMMYFUNCTION("if(isblank(L234),, index(googlefinance(A234,M$2,L234-1),2,2))"),36.64)</f>
        <v>36.64</v>
      </c>
      <c r="N234" s="20">
        <f>IFERROR(__xludf.DUMMYFUNCTION("if(isblank(A234),,googlefinance(A234))"),34.91)</f>
        <v>34.91</v>
      </c>
      <c r="O234" s="50" t="str">
        <f t="shared" si="11"/>
        <v>Completed</v>
      </c>
      <c r="P234" s="37" t="str">
        <f t="shared" si="4"/>
        <v>Profit</v>
      </c>
      <c r="Q234" s="38">
        <f t="shared" si="5"/>
        <v>34.44</v>
      </c>
      <c r="R234" s="17" t="b">
        <f t="shared" si="6"/>
        <v>1</v>
      </c>
      <c r="S234" s="17">
        <f t="shared" si="12"/>
        <v>1.23</v>
      </c>
      <c r="T234" s="22">
        <f t="shared" si="8"/>
        <v>28</v>
      </c>
      <c r="U234" s="23"/>
      <c r="V234" s="13"/>
      <c r="W234" s="51"/>
      <c r="X234" s="13"/>
      <c r="Y234" s="13"/>
      <c r="Z234" s="13"/>
      <c r="AA234" s="24"/>
    </row>
    <row r="235" ht="13.5" hidden="1" customHeight="1">
      <c r="A235" s="13" t="s">
        <v>36</v>
      </c>
      <c r="B235" s="39">
        <v>12.0</v>
      </c>
      <c r="C235" s="22">
        <v>52.68</v>
      </c>
      <c r="D235" s="22">
        <v>41.667</v>
      </c>
      <c r="E235" s="22">
        <v>1.25</v>
      </c>
      <c r="F235" s="48"/>
      <c r="G235" s="34">
        <v>45289.0</v>
      </c>
      <c r="H235" s="48"/>
      <c r="I235" s="48" t="s">
        <v>192</v>
      </c>
      <c r="J235" s="35">
        <f t="shared" si="14"/>
        <v>45289</v>
      </c>
      <c r="K235" s="18">
        <f>IFERROR(__xludf.DUMMYFUNCTION("if(isblank(J235),,index(googlefinance(A235,K$2,J235-1),2,2))"),273.24)</f>
        <v>273.24</v>
      </c>
      <c r="L235" s="49" t="str">
        <f t="shared" si="2"/>
        <v>2024/01/10</v>
      </c>
      <c r="M235" s="19">
        <f>IFERROR(__xludf.DUMMYFUNCTION("if(isblank(L235),, index(googlefinance(A235,M$2,L235-1),2,2))"),261.75)</f>
        <v>261.75</v>
      </c>
      <c r="N235" s="20">
        <f>IFERROR(__xludf.DUMMYFUNCTION("if(isblank(A235),,googlefinance(A235))"),290.3)</f>
        <v>290.3</v>
      </c>
      <c r="O235" s="50" t="str">
        <f t="shared" si="11"/>
        <v>Completed</v>
      </c>
      <c r="P235" s="37" t="str">
        <f t="shared" si="4"/>
        <v>Profit</v>
      </c>
      <c r="Q235" s="38">
        <f t="shared" si="5"/>
        <v>34.47</v>
      </c>
      <c r="R235" s="17" t="b">
        <f t="shared" si="6"/>
        <v>1</v>
      </c>
      <c r="S235" s="17">
        <f t="shared" si="12"/>
        <v>-11.49</v>
      </c>
      <c r="T235" s="22">
        <f t="shared" si="8"/>
        <v>3</v>
      </c>
      <c r="U235" s="23"/>
      <c r="V235" s="13"/>
      <c r="W235" s="13"/>
      <c r="X235" s="13"/>
      <c r="Y235" s="13"/>
      <c r="Z235" s="13"/>
      <c r="AA235" s="24"/>
    </row>
    <row r="236" ht="13.5" hidden="1" customHeight="1">
      <c r="A236" s="13" t="s">
        <v>140</v>
      </c>
      <c r="B236" s="39">
        <v>9.0</v>
      </c>
      <c r="C236" s="22">
        <v>99.813</v>
      </c>
      <c r="D236" s="22">
        <v>44.444</v>
      </c>
      <c r="E236" s="22">
        <v>1.968</v>
      </c>
      <c r="F236" s="48"/>
      <c r="G236" s="34">
        <v>45293.0</v>
      </c>
      <c r="H236" s="48"/>
      <c r="I236" s="48" t="s">
        <v>199</v>
      </c>
      <c r="J236" s="35">
        <f t="shared" si="14"/>
        <v>45293</v>
      </c>
      <c r="K236" s="18">
        <f>IFERROR(__xludf.DUMMYFUNCTION("if(isblank(J236),,index(googlefinance(A236,K$2,J236-1),2,2))"),139.56)</f>
        <v>139.56</v>
      </c>
      <c r="L236" s="49" t="str">
        <f t="shared" si="2"/>
        <v>2024/01/08</v>
      </c>
      <c r="M236" s="19">
        <f>IFERROR(__xludf.DUMMYFUNCTION("if(isblank(L236),, index(googlefinance(A236,M$2,L236-1),2,2))"),140.53)</f>
        <v>140.53</v>
      </c>
      <c r="N236" s="20">
        <f>IFERROR(__xludf.DUMMYFUNCTION("if(isblank(A236),,googlefinance(A236))"),141.76)</f>
        <v>141.76</v>
      </c>
      <c r="O236" s="50" t="str">
        <f t="shared" si="11"/>
        <v>Completed</v>
      </c>
      <c r="P236" s="37" t="str">
        <f t="shared" si="4"/>
        <v>Loss</v>
      </c>
      <c r="Q236" s="38">
        <f t="shared" si="5"/>
        <v>-6.79</v>
      </c>
      <c r="R236" s="17" t="b">
        <f t="shared" si="6"/>
        <v>0</v>
      </c>
      <c r="S236" s="17">
        <f t="shared" si="12"/>
        <v>0.97</v>
      </c>
      <c r="T236" s="22">
        <f t="shared" si="8"/>
        <v>7</v>
      </c>
      <c r="U236" s="23"/>
      <c r="V236" s="13"/>
      <c r="W236" s="13"/>
      <c r="X236" s="13"/>
      <c r="Y236" s="13"/>
      <c r="Z236" s="13"/>
      <c r="AA236" s="24"/>
    </row>
    <row r="237" ht="13.5" hidden="1" customHeight="1">
      <c r="A237" s="13" t="s">
        <v>135</v>
      </c>
      <c r="B237" s="39">
        <v>8.0</v>
      </c>
      <c r="C237" s="22">
        <v>263.024</v>
      </c>
      <c r="D237" s="22">
        <v>75.0</v>
      </c>
      <c r="E237" s="22">
        <v>6.32</v>
      </c>
      <c r="F237" s="48"/>
      <c r="G237" s="34">
        <v>45293.0</v>
      </c>
      <c r="H237" s="48"/>
      <c r="I237" s="48" t="s">
        <v>199</v>
      </c>
      <c r="J237" s="35">
        <f t="shared" si="14"/>
        <v>45293</v>
      </c>
      <c r="K237" s="18">
        <f>IFERROR(__xludf.DUMMYFUNCTION("if(isblank(J237),,index(googlefinance(A237,K$2,J237-1),2,2))"),138.17)</f>
        <v>138.17</v>
      </c>
      <c r="L237" s="49" t="str">
        <f t="shared" si="2"/>
        <v>2024/01/08</v>
      </c>
      <c r="M237" s="19">
        <f>IFERROR(__xludf.DUMMYFUNCTION("if(isblank(L237),, index(googlefinance(A237,M$2,L237-1),2,2))"),138.84)</f>
        <v>138.84</v>
      </c>
      <c r="N237" s="20">
        <f>IFERROR(__xludf.DUMMYFUNCTION("if(isblank(A237),,googlefinance(A237))"),140.52)</f>
        <v>140.52</v>
      </c>
      <c r="O237" s="50" t="str">
        <f t="shared" si="11"/>
        <v>Completed</v>
      </c>
      <c r="P237" s="37" t="str">
        <f t="shared" si="4"/>
        <v>Loss</v>
      </c>
      <c r="Q237" s="38">
        <f t="shared" si="5"/>
        <v>-4.69</v>
      </c>
      <c r="R237" s="17" t="b">
        <f t="shared" si="6"/>
        <v>0</v>
      </c>
      <c r="S237" s="17">
        <f t="shared" si="12"/>
        <v>0.67</v>
      </c>
      <c r="T237" s="22">
        <f t="shared" si="8"/>
        <v>7</v>
      </c>
      <c r="U237" s="23"/>
      <c r="V237" s="13"/>
      <c r="W237" s="13"/>
      <c r="X237" s="13"/>
      <c r="Y237" s="13"/>
      <c r="Z237" s="13"/>
      <c r="AA237" s="24"/>
    </row>
    <row r="238" ht="13.5" hidden="1" customHeight="1">
      <c r="A238" s="13" t="s">
        <v>200</v>
      </c>
      <c r="B238" s="39">
        <v>12.0</v>
      </c>
      <c r="C238" s="22">
        <v>65.52</v>
      </c>
      <c r="D238" s="22">
        <v>50.0</v>
      </c>
      <c r="E238" s="22">
        <v>1.317</v>
      </c>
      <c r="F238" s="48"/>
      <c r="G238" s="34">
        <v>45294.0</v>
      </c>
      <c r="H238" s="48"/>
      <c r="I238" s="48" t="s">
        <v>201</v>
      </c>
      <c r="J238" s="35">
        <f t="shared" si="14"/>
        <v>45294</v>
      </c>
      <c r="K238" s="18">
        <f>IFERROR(__xludf.DUMMYFUNCTION("if(isblank(J238),,index(googlefinance(A238,K$2,J238-1),2,2))"),193.58)</f>
        <v>193.58</v>
      </c>
      <c r="L238" s="49" t="str">
        <f t="shared" si="2"/>
        <v>2024/01/18</v>
      </c>
      <c r="M238" s="19">
        <f>IFERROR(__xludf.DUMMYFUNCTION("if(isblank(L238),, index(googlefinance(A238,M$2,L238-1),2,2))"),185.43)</f>
        <v>185.43</v>
      </c>
      <c r="N238" s="20">
        <f>IFERROR(__xludf.DUMMYFUNCTION("if(isblank(A238),,googlefinance(A238))"),188.24)</f>
        <v>188.24</v>
      </c>
      <c r="O238" s="50" t="str">
        <f t="shared" si="11"/>
        <v>Completed</v>
      </c>
      <c r="P238" s="37" t="str">
        <f t="shared" si="4"/>
        <v>Profit</v>
      </c>
      <c r="Q238" s="38">
        <f t="shared" si="5"/>
        <v>40.75</v>
      </c>
      <c r="R238" s="17" t="b">
        <f t="shared" si="6"/>
        <v>1</v>
      </c>
      <c r="S238" s="17">
        <f t="shared" si="12"/>
        <v>-8.15</v>
      </c>
      <c r="T238" s="22">
        <f t="shared" si="8"/>
        <v>5</v>
      </c>
      <c r="U238" s="23"/>
      <c r="V238" s="13"/>
      <c r="W238" s="13"/>
      <c r="X238" s="13"/>
      <c r="Y238" s="13"/>
      <c r="Z238" s="13"/>
      <c r="AA238" s="24"/>
    </row>
    <row r="239" ht="13.5" hidden="1" customHeight="1">
      <c r="A239" s="13" t="s">
        <v>202</v>
      </c>
      <c r="B239" s="39">
        <v>7.0</v>
      </c>
      <c r="C239" s="22">
        <v>16.83</v>
      </c>
      <c r="D239" s="22">
        <v>57.143</v>
      </c>
      <c r="E239" s="22">
        <v>1.153</v>
      </c>
      <c r="F239" s="48"/>
      <c r="G239" s="34">
        <v>45294.0</v>
      </c>
      <c r="H239" s="48"/>
      <c r="I239" s="48" t="s">
        <v>201</v>
      </c>
      <c r="J239" s="35">
        <f t="shared" si="14"/>
        <v>45294</v>
      </c>
      <c r="K239" s="18">
        <f>IFERROR(__xludf.DUMMYFUNCTION("if(isblank(J239),,index(googlefinance(A239,K$2,J239-1),2,2))"),716.92)</f>
        <v>716.92</v>
      </c>
      <c r="L239" s="49" t="str">
        <f t="shared" si="2"/>
        <v>2024/01/18</v>
      </c>
      <c r="M239" s="19">
        <f>IFERROR(__xludf.DUMMYFUNCTION("if(isblank(L239),, index(googlefinance(A239,M$2,L239-1),2,2))"),712.27)</f>
        <v>712.27</v>
      </c>
      <c r="N239" s="20">
        <f>IFERROR(__xludf.DUMMYFUNCTION("if(isblank(A239),,googlefinance(A239))"),928.94)</f>
        <v>928.94</v>
      </c>
      <c r="O239" s="50" t="str">
        <f t="shared" si="11"/>
        <v>Completed</v>
      </c>
      <c r="P239" s="37" t="str">
        <f t="shared" si="4"/>
        <v>Profit</v>
      </c>
      <c r="Q239" s="38">
        <f t="shared" si="5"/>
        <v>4.65</v>
      </c>
      <c r="R239" s="17" t="b">
        <f t="shared" si="6"/>
        <v>1</v>
      </c>
      <c r="S239" s="17">
        <f t="shared" si="12"/>
        <v>-4.65</v>
      </c>
      <c r="T239" s="22">
        <f t="shared" si="8"/>
        <v>1</v>
      </c>
      <c r="U239" s="23"/>
      <c r="V239" s="13"/>
      <c r="W239" s="13"/>
      <c r="X239" s="13"/>
      <c r="Y239" s="13"/>
      <c r="Z239" s="13"/>
      <c r="AA239" s="24"/>
    </row>
    <row r="240" ht="13.5" hidden="1" customHeight="1">
      <c r="A240" s="13" t="s">
        <v>203</v>
      </c>
      <c r="B240" s="39">
        <v>14.0</v>
      </c>
      <c r="C240" s="22">
        <v>96.71</v>
      </c>
      <c r="D240" s="22">
        <v>42.857</v>
      </c>
      <c r="E240" s="22">
        <v>1.496</v>
      </c>
      <c r="F240" s="48"/>
      <c r="G240" s="34">
        <v>45294.0</v>
      </c>
      <c r="H240" s="48"/>
      <c r="I240" s="48" t="s">
        <v>192</v>
      </c>
      <c r="J240" s="35">
        <f t="shared" si="14"/>
        <v>45294</v>
      </c>
      <c r="K240" s="18">
        <f>IFERROR(__xludf.DUMMYFUNCTION("if(isblank(J240),,index(googlefinance(A240,K$2,J240-1),2,2))"),462.74)</f>
        <v>462.74</v>
      </c>
      <c r="L240" s="49" t="str">
        <f t="shared" si="2"/>
        <v>2024/01/10</v>
      </c>
      <c r="M240" s="19">
        <f>IFERROR(__xludf.DUMMYFUNCTION("if(isblank(L240),, index(googlefinance(A240,M$2,L240-1),2,2))"),454.51)</f>
        <v>454.51</v>
      </c>
      <c r="N240" s="20">
        <f>IFERROR(__xludf.DUMMYFUNCTION("if(isblank(A240),,googlefinance(A240))"),458.42)</f>
        <v>458.42</v>
      </c>
      <c r="O240" s="50" t="str">
        <f t="shared" si="11"/>
        <v>Completed</v>
      </c>
      <c r="P240" s="37" t="str">
        <f t="shared" si="4"/>
        <v>Profit</v>
      </c>
      <c r="Q240" s="38">
        <f t="shared" si="5"/>
        <v>16.46</v>
      </c>
      <c r="R240" s="17" t="b">
        <f t="shared" si="6"/>
        <v>1</v>
      </c>
      <c r="S240" s="17">
        <f t="shared" si="12"/>
        <v>-8.23</v>
      </c>
      <c r="T240" s="22">
        <f t="shared" si="8"/>
        <v>2</v>
      </c>
      <c r="U240" s="23"/>
      <c r="V240" s="13"/>
      <c r="W240" s="13"/>
      <c r="X240" s="13"/>
      <c r="Y240" s="13"/>
      <c r="Z240" s="13"/>
      <c r="AA240" s="24"/>
    </row>
    <row r="241" ht="13.5" hidden="1" customHeight="1">
      <c r="A241" s="13" t="s">
        <v>204</v>
      </c>
      <c r="B241" s="39">
        <v>13.0</v>
      </c>
      <c r="C241" s="22">
        <v>76.48</v>
      </c>
      <c r="D241" s="22">
        <v>23.077</v>
      </c>
      <c r="E241" s="22">
        <v>1.133</v>
      </c>
      <c r="F241" s="48"/>
      <c r="G241" s="34">
        <v>45294.0</v>
      </c>
      <c r="H241" s="48"/>
      <c r="I241" s="48" t="s">
        <v>197</v>
      </c>
      <c r="J241" s="35">
        <f t="shared" si="14"/>
        <v>45294</v>
      </c>
      <c r="K241" s="18">
        <f>IFERROR(__xludf.DUMMYFUNCTION("if(isblank(J241),,index(googlefinance(A241,K$2,J241-1),2,2))"),749.3)</f>
        <v>749.3</v>
      </c>
      <c r="L241" s="49" t="str">
        <f t="shared" si="2"/>
        <v>2024/01/11</v>
      </c>
      <c r="M241" s="19">
        <f>IFERROR(__xludf.DUMMYFUNCTION("if(isblank(L241),, index(googlefinance(A241,M$2,L241-1),2,2))"),749.69)</f>
        <v>749.69</v>
      </c>
      <c r="N241" s="20">
        <f>IFERROR(__xludf.DUMMYFUNCTION("if(isblank(A241),,googlefinance(A241))"),926.03)</f>
        <v>926.03</v>
      </c>
      <c r="O241" s="50" t="str">
        <f t="shared" si="11"/>
        <v>Completed</v>
      </c>
      <c r="P241" s="37" t="str">
        <f t="shared" si="4"/>
        <v>Loss</v>
      </c>
      <c r="Q241" s="38">
        <f t="shared" si="5"/>
        <v>-0.39</v>
      </c>
      <c r="R241" s="17" t="b">
        <f t="shared" si="6"/>
        <v>0</v>
      </c>
      <c r="S241" s="17">
        <f t="shared" si="12"/>
        <v>0.39</v>
      </c>
      <c r="T241" s="22">
        <f t="shared" si="8"/>
        <v>1</v>
      </c>
      <c r="U241" s="23"/>
      <c r="V241" s="13"/>
      <c r="W241" s="13"/>
      <c r="X241" s="13"/>
      <c r="Y241" s="13"/>
      <c r="Z241" s="13"/>
      <c r="AA241" s="24"/>
    </row>
    <row r="242" ht="13.5" hidden="1" customHeight="1">
      <c r="A242" s="13" t="s">
        <v>205</v>
      </c>
      <c r="B242" s="39">
        <v>12.0</v>
      </c>
      <c r="C242" s="22">
        <v>48.5</v>
      </c>
      <c r="D242" s="22">
        <v>41.667</v>
      </c>
      <c r="E242" s="22">
        <v>1.147</v>
      </c>
      <c r="F242" s="48"/>
      <c r="G242" s="34">
        <v>45294.0</v>
      </c>
      <c r="H242" s="48"/>
      <c r="I242" s="48" t="s">
        <v>206</v>
      </c>
      <c r="J242" s="35">
        <f t="shared" si="14"/>
        <v>45294</v>
      </c>
      <c r="K242" s="18">
        <f>IFERROR(__xludf.DUMMYFUNCTION("if(isblank(J242),,index(googlefinance(A242,K$2,J242-1),2,2))"),604.0)</f>
        <v>604</v>
      </c>
      <c r="L242" s="49" t="str">
        <f t="shared" si="2"/>
        <v>2024/01/16</v>
      </c>
      <c r="M242" s="19">
        <f>IFERROR(__xludf.DUMMYFUNCTION("if(isblank(L242),, index(googlefinance(A242,M$2,L242-1),2,2))"),596.41)</f>
        <v>596.41</v>
      </c>
      <c r="N242" s="20">
        <f>IFERROR(__xludf.DUMMYFUNCTION("if(isblank(A242),,googlefinance(A242))"),730.5)</f>
        <v>730.5</v>
      </c>
      <c r="O242" s="50" t="str">
        <f t="shared" si="11"/>
        <v>Completed</v>
      </c>
      <c r="P242" s="37" t="str">
        <f t="shared" si="4"/>
        <v>Profit</v>
      </c>
      <c r="Q242" s="38">
        <f t="shared" si="5"/>
        <v>7.59</v>
      </c>
      <c r="R242" s="17" t="b">
        <f t="shared" si="6"/>
        <v>1</v>
      </c>
      <c r="S242" s="17">
        <f t="shared" si="12"/>
        <v>-7.59</v>
      </c>
      <c r="T242" s="22">
        <f t="shared" si="8"/>
        <v>1</v>
      </c>
      <c r="U242" s="23"/>
      <c r="V242" s="13"/>
      <c r="W242" s="13"/>
      <c r="X242" s="13"/>
      <c r="Y242" s="13"/>
      <c r="Z242" s="13"/>
      <c r="AA242" s="24"/>
    </row>
    <row r="243" ht="15.75" hidden="1" customHeight="1">
      <c r="A243" s="13" t="s">
        <v>102</v>
      </c>
      <c r="B243" s="17">
        <v>10.0</v>
      </c>
      <c r="C243" s="17">
        <v>122.22</v>
      </c>
      <c r="D243" s="17">
        <v>40.0</v>
      </c>
      <c r="E243" s="17">
        <v>1.491</v>
      </c>
      <c r="F243" s="17"/>
      <c r="G243" s="34">
        <v>45295.0</v>
      </c>
      <c r="H243" s="17"/>
      <c r="I243" s="17" t="s">
        <v>197</v>
      </c>
      <c r="J243" s="35">
        <f t="shared" si="14"/>
        <v>45295</v>
      </c>
      <c r="K243" s="18">
        <f>IFERROR(__xludf.DUMMYFUNCTION("if(isblank(J243),,index(googlefinance(A243,K$2,J243-1),2,2))"),337.92)</f>
        <v>337.92</v>
      </c>
      <c r="L243" s="49" t="str">
        <f t="shared" si="2"/>
        <v>2024/01/11</v>
      </c>
      <c r="M243" s="19">
        <f>IFERROR(__xludf.DUMMYFUNCTION("if(isblank(L243),, index(googlefinance(A243,M$2,L243-1),2,2))"),345.33)</f>
        <v>345.33</v>
      </c>
      <c r="N243" s="20">
        <f>IFERROR(__xludf.DUMMYFUNCTION("if(isblank(A243),,googlefinance(A243))"),369.48)</f>
        <v>369.48</v>
      </c>
      <c r="O243" s="50" t="str">
        <f t="shared" si="11"/>
        <v>Completed</v>
      </c>
      <c r="P243" s="37" t="str">
        <f t="shared" si="4"/>
        <v>Loss</v>
      </c>
      <c r="Q243" s="38">
        <f t="shared" si="5"/>
        <v>-14.82</v>
      </c>
      <c r="R243" s="17" t="b">
        <f t="shared" si="6"/>
        <v>0</v>
      </c>
      <c r="S243" s="17">
        <f t="shared" si="12"/>
        <v>7.41</v>
      </c>
      <c r="T243" s="22">
        <f t="shared" si="8"/>
        <v>2</v>
      </c>
      <c r="U243" s="23"/>
      <c r="V243" s="13"/>
      <c r="W243" s="13"/>
      <c r="X243" s="13"/>
      <c r="Y243" s="13"/>
      <c r="Z243" s="13"/>
      <c r="AA243" s="24"/>
    </row>
    <row r="244" ht="15.75" hidden="1" customHeight="1">
      <c r="A244" s="13" t="s">
        <v>181</v>
      </c>
      <c r="B244" s="17">
        <v>17.0</v>
      </c>
      <c r="C244" s="17">
        <v>118.83</v>
      </c>
      <c r="D244" s="17">
        <v>29.412</v>
      </c>
      <c r="E244" s="17">
        <v>1.51</v>
      </c>
      <c r="F244" s="17"/>
      <c r="G244" s="34">
        <v>45295.0</v>
      </c>
      <c r="H244" s="17"/>
      <c r="I244" s="17" t="s">
        <v>197</v>
      </c>
      <c r="J244" s="35">
        <f t="shared" si="14"/>
        <v>45295</v>
      </c>
      <c r="K244" s="18">
        <f>IFERROR(__xludf.DUMMYFUNCTION("if(isblank(J244),,index(googlefinance(A244,K$2,J244-1),2,2))"),1058.58)</f>
        <v>1058.58</v>
      </c>
      <c r="L244" s="49" t="str">
        <f t="shared" si="2"/>
        <v>2024/01/11</v>
      </c>
      <c r="M244" s="19">
        <f>IFERROR(__xludf.DUMMYFUNCTION("if(isblank(L244),, index(googlefinance(A244,M$2,L244-1),2,2))"),1080.57)</f>
        <v>1080.57</v>
      </c>
      <c r="N244" s="20">
        <f>IFERROR(__xludf.DUMMYFUNCTION("if(isblank(A244),,googlefinance(A244))"),1245.48)</f>
        <v>1245.48</v>
      </c>
      <c r="O244" s="50" t="str">
        <f t="shared" si="11"/>
        <v>Completed</v>
      </c>
      <c r="P244" s="37" t="str">
        <f t="shared" si="4"/>
        <v>Loss</v>
      </c>
      <c r="Q244" s="21">
        <f t="shared" si="5"/>
        <v>0</v>
      </c>
      <c r="R244" s="17" t="b">
        <f t="shared" si="6"/>
        <v>0</v>
      </c>
      <c r="S244" s="17">
        <f t="shared" si="12"/>
        <v>21.99</v>
      </c>
      <c r="T244" s="22">
        <f t="shared" si="8"/>
        <v>0</v>
      </c>
      <c r="U244" s="23"/>
      <c r="V244" s="13"/>
      <c r="W244" s="13"/>
      <c r="X244" s="13"/>
      <c r="Y244" s="13"/>
      <c r="Z244" s="13"/>
      <c r="AA244" s="24"/>
    </row>
    <row r="245" ht="15.75" hidden="1" customHeight="1">
      <c r="A245" s="13" t="s">
        <v>207</v>
      </c>
      <c r="B245" s="17">
        <v>9.0</v>
      </c>
      <c r="C245" s="17">
        <v>1.29</v>
      </c>
      <c r="D245" s="17">
        <v>44.444</v>
      </c>
      <c r="E245" s="17">
        <v>1.013</v>
      </c>
      <c r="F245" s="17"/>
      <c r="G245" s="34">
        <v>45295.0</v>
      </c>
      <c r="H245" s="17"/>
      <c r="I245" s="17" t="s">
        <v>208</v>
      </c>
      <c r="J245" s="35">
        <f t="shared" si="14"/>
        <v>45295</v>
      </c>
      <c r="K245" s="18">
        <f>IFERROR(__xludf.DUMMYFUNCTION("if(isblank(J245),,index(googlefinance(A245,K$2,J245-1),2,2))"),580.28)</f>
        <v>580.28</v>
      </c>
      <c r="L245" s="49" t="str">
        <f t="shared" si="2"/>
        <v>2024/01/13</v>
      </c>
      <c r="M245" s="19">
        <f>IFERROR(__xludf.DUMMYFUNCTION("if(isblank(L245),, index(googlefinance(A245,M$2,L245-1),2,2))"),593.0)</f>
        <v>593</v>
      </c>
      <c r="N245" s="20">
        <f>IFERROR(__xludf.DUMMYFUNCTION("if(isblank(A245),,googlefinance(A245))"),614.66)</f>
        <v>614.66</v>
      </c>
      <c r="O245" s="50" t="str">
        <f t="shared" si="11"/>
        <v>Completed</v>
      </c>
      <c r="P245" s="37" t="str">
        <f t="shared" si="4"/>
        <v>Loss</v>
      </c>
      <c r="Q245" s="38">
        <f t="shared" si="5"/>
        <v>-12.72</v>
      </c>
      <c r="R245" s="17" t="b">
        <f t="shared" si="6"/>
        <v>0</v>
      </c>
      <c r="S245" s="17">
        <f t="shared" si="12"/>
        <v>12.72</v>
      </c>
      <c r="T245" s="22">
        <f t="shared" si="8"/>
        <v>1</v>
      </c>
      <c r="U245" s="23"/>
      <c r="V245" s="13"/>
      <c r="W245" s="13"/>
      <c r="X245" s="13"/>
      <c r="Y245" s="13"/>
      <c r="Z245" s="13"/>
      <c r="AA245" s="24"/>
    </row>
    <row r="246" ht="15.75" hidden="1" customHeight="1">
      <c r="A246" s="13" t="s">
        <v>209</v>
      </c>
      <c r="B246" s="17">
        <v>11.0</v>
      </c>
      <c r="C246" s="17">
        <v>34.6</v>
      </c>
      <c r="D246" s="17">
        <v>27.273</v>
      </c>
      <c r="E246" s="17">
        <v>1.154</v>
      </c>
      <c r="F246" s="17"/>
      <c r="G246" s="34">
        <v>45295.0</v>
      </c>
      <c r="H246" s="17"/>
      <c r="I246" s="17" t="s">
        <v>210</v>
      </c>
      <c r="J246" s="35">
        <f t="shared" si="14"/>
        <v>45295</v>
      </c>
      <c r="K246" s="18">
        <f>IFERROR(__xludf.DUMMYFUNCTION("if(isblank(J246),,index(googlefinance(A246,K$2,J246-1),2,2))"),220.01)</f>
        <v>220.01</v>
      </c>
      <c r="L246" s="49" t="str">
        <f t="shared" si="2"/>
        <v>2024/01/22</v>
      </c>
      <c r="M246" s="19">
        <f>IFERROR(__xludf.DUMMYFUNCTION("if(isblank(L246),, index(googlefinance(A246,M$2,L246-1),2,2))"),217.75)</f>
        <v>217.75</v>
      </c>
      <c r="N246" s="20">
        <f>IFERROR(__xludf.DUMMYFUNCTION("if(isblank(A246),,googlefinance(A246))"),238.6)</f>
        <v>238.6</v>
      </c>
      <c r="O246" s="50" t="str">
        <f t="shared" si="11"/>
        <v>Completed</v>
      </c>
      <c r="P246" s="42" t="str">
        <f t="shared" si="4"/>
        <v>Profit</v>
      </c>
      <c r="Q246" s="43">
        <f t="shared" si="5"/>
        <v>9.04</v>
      </c>
      <c r="R246" s="17" t="b">
        <f t="shared" si="6"/>
        <v>1</v>
      </c>
      <c r="S246" s="17">
        <f t="shared" si="12"/>
        <v>-2.26</v>
      </c>
      <c r="T246" s="22">
        <f t="shared" si="8"/>
        <v>4</v>
      </c>
      <c r="U246" s="23"/>
      <c r="V246" s="13"/>
      <c r="W246" s="13"/>
      <c r="X246" s="13"/>
      <c r="Y246" s="13"/>
      <c r="Z246" s="13"/>
      <c r="AA246" s="24"/>
    </row>
    <row r="247" ht="15.75" hidden="1" customHeight="1">
      <c r="A247" s="13" t="s">
        <v>211</v>
      </c>
      <c r="B247" s="17">
        <v>10.0</v>
      </c>
      <c r="C247" s="17">
        <v>37.73</v>
      </c>
      <c r="D247" s="17">
        <v>60.0</v>
      </c>
      <c r="E247" s="17">
        <v>1.231</v>
      </c>
      <c r="F247" s="17"/>
      <c r="G247" s="34">
        <v>45295.0</v>
      </c>
      <c r="H247" s="17"/>
      <c r="I247" s="17" t="s">
        <v>192</v>
      </c>
      <c r="J247" s="35">
        <f t="shared" si="14"/>
        <v>45295</v>
      </c>
      <c r="K247" s="18">
        <f>IFERROR(__xludf.DUMMYFUNCTION("if(isblank(J247),,index(googlefinance(A247,K$2,J247-1),2,2))"),212.27)</f>
        <v>212.27</v>
      </c>
      <c r="L247" s="49" t="str">
        <f t="shared" si="2"/>
        <v>2024/01/10</v>
      </c>
      <c r="M247" s="19">
        <f>IFERROR(__xludf.DUMMYFUNCTION("if(isblank(L247),, index(googlefinance(A247,M$2,L247-1),2,2))"),217.01)</f>
        <v>217.01</v>
      </c>
      <c r="N247" s="20">
        <f>IFERROR(__xludf.DUMMYFUNCTION("if(isblank(A247),,googlefinance(A247))"),226.85)</f>
        <v>226.85</v>
      </c>
      <c r="O247" s="50" t="str">
        <f t="shared" si="11"/>
        <v>Completed</v>
      </c>
      <c r="P247" s="42" t="str">
        <f t="shared" si="4"/>
        <v>Loss</v>
      </c>
      <c r="Q247" s="43">
        <f t="shared" si="5"/>
        <v>-18.96</v>
      </c>
      <c r="R247" s="17" t="b">
        <f t="shared" si="6"/>
        <v>0</v>
      </c>
      <c r="S247" s="17">
        <f t="shared" si="12"/>
        <v>4.74</v>
      </c>
      <c r="T247" s="22">
        <f t="shared" si="8"/>
        <v>4</v>
      </c>
      <c r="U247" s="23"/>
      <c r="V247" s="13"/>
      <c r="W247" s="13"/>
      <c r="X247" s="13"/>
      <c r="Y247" s="13"/>
      <c r="Z247" s="13"/>
      <c r="AA247" s="24"/>
    </row>
    <row r="248" ht="15.75" hidden="1" customHeight="1">
      <c r="A248" s="13" t="s">
        <v>63</v>
      </c>
      <c r="B248" s="17">
        <v>12.0</v>
      </c>
      <c r="C248" s="17">
        <v>131.94</v>
      </c>
      <c r="D248" s="17">
        <v>33.333</v>
      </c>
      <c r="E248" s="17">
        <v>1.553</v>
      </c>
      <c r="F248" s="17"/>
      <c r="G248" s="34">
        <v>45295.0</v>
      </c>
      <c r="H248" s="17"/>
      <c r="I248" s="17" t="s">
        <v>199</v>
      </c>
      <c r="J248" s="35">
        <f t="shared" si="14"/>
        <v>45295</v>
      </c>
      <c r="K248" s="18">
        <f>IFERROR(__xludf.DUMMYFUNCTION("if(isblank(J248),,index(googlefinance(A248,K$2,J248-1),2,2))"),194.45)</f>
        <v>194.45</v>
      </c>
      <c r="L248" s="49" t="str">
        <f t="shared" si="2"/>
        <v>2024/01/08</v>
      </c>
      <c r="M248" s="19">
        <f>IFERROR(__xludf.DUMMYFUNCTION("if(isblank(L248),, index(googlefinance(A248,M$2,L248-1),2,2))"),204.14)</f>
        <v>204.14</v>
      </c>
      <c r="N248" s="20">
        <f>IFERROR(__xludf.DUMMYFUNCTION("if(isblank(A248),,googlefinance(A248))"),190.82)</f>
        <v>190.82</v>
      </c>
      <c r="O248" s="50" t="str">
        <f t="shared" si="11"/>
        <v>Completed</v>
      </c>
      <c r="P248" s="42" t="str">
        <f t="shared" si="4"/>
        <v>Loss</v>
      </c>
      <c r="Q248" s="43">
        <f t="shared" si="5"/>
        <v>-48.45</v>
      </c>
      <c r="R248" s="17" t="b">
        <f t="shared" si="6"/>
        <v>0</v>
      </c>
      <c r="S248" s="17">
        <f t="shared" si="12"/>
        <v>9.69</v>
      </c>
      <c r="T248" s="22">
        <f t="shared" si="8"/>
        <v>5</v>
      </c>
      <c r="U248" s="23"/>
      <c r="V248" s="13"/>
      <c r="W248" s="13"/>
      <c r="X248" s="13"/>
      <c r="Y248" s="13"/>
      <c r="Z248" s="13"/>
      <c r="AA248" s="24"/>
    </row>
    <row r="249" ht="15.75" hidden="1" customHeight="1">
      <c r="A249" s="13" t="s">
        <v>212</v>
      </c>
      <c r="B249" s="17">
        <v>12.0</v>
      </c>
      <c r="C249" s="17">
        <v>150.57</v>
      </c>
      <c r="D249" s="17">
        <v>33.333</v>
      </c>
      <c r="E249" s="17">
        <v>1.562</v>
      </c>
      <c r="F249" s="17"/>
      <c r="G249" s="34">
        <v>45295.0</v>
      </c>
      <c r="H249" s="17"/>
      <c r="I249" s="17" t="s">
        <v>210</v>
      </c>
      <c r="J249" s="35">
        <f t="shared" si="14"/>
        <v>45295</v>
      </c>
      <c r="K249" s="18">
        <f>IFERROR(__xludf.DUMMYFUNCTION("if(isblank(J249),,index(googlefinance(A249,K$2,J249-1),2,2))"),194.66)</f>
        <v>194.66</v>
      </c>
      <c r="L249" s="49" t="str">
        <f t="shared" si="2"/>
        <v>2024/01/22</v>
      </c>
      <c r="M249" s="19">
        <f>IFERROR(__xludf.DUMMYFUNCTION("if(isblank(L249),, index(googlefinance(A249,M$2,L249-1),2,2))"),206.03)</f>
        <v>206.03</v>
      </c>
      <c r="N249" s="20">
        <f>IFERROR(__xludf.DUMMYFUNCTION("if(isblank(A249),,googlefinance(A249))"),191.01)</f>
        <v>191.01</v>
      </c>
      <c r="O249" s="50" t="str">
        <f t="shared" si="11"/>
        <v>Completed</v>
      </c>
      <c r="P249" s="42" t="str">
        <f t="shared" si="4"/>
        <v>Loss</v>
      </c>
      <c r="Q249" s="43">
        <f t="shared" si="5"/>
        <v>-56.85</v>
      </c>
      <c r="R249" s="17" t="b">
        <f t="shared" si="6"/>
        <v>0</v>
      </c>
      <c r="S249" s="17">
        <f t="shared" si="12"/>
        <v>11.37</v>
      </c>
      <c r="T249" s="22">
        <f t="shared" si="8"/>
        <v>5</v>
      </c>
      <c r="U249" s="23"/>
      <c r="V249" s="13"/>
      <c r="W249" s="13"/>
      <c r="X249" s="13"/>
      <c r="Y249" s="13"/>
      <c r="Z249" s="13"/>
      <c r="AA249" s="24"/>
    </row>
    <row r="250" ht="15.75" hidden="1" customHeight="1">
      <c r="A250" s="13" t="s">
        <v>93</v>
      </c>
      <c r="B250" s="17">
        <v>8.0</v>
      </c>
      <c r="C250" s="17">
        <v>246.85</v>
      </c>
      <c r="D250" s="17">
        <v>25.0</v>
      </c>
      <c r="E250" s="17">
        <v>2.629</v>
      </c>
      <c r="F250" s="17"/>
      <c r="G250" s="34">
        <v>45295.0</v>
      </c>
      <c r="H250" s="17"/>
      <c r="I250" s="17" t="s">
        <v>201</v>
      </c>
      <c r="J250" s="35">
        <f t="shared" si="14"/>
        <v>45295</v>
      </c>
      <c r="K250" s="18">
        <f>IFERROR(__xludf.DUMMYFUNCTION("if(isblank(J250),,index(googlefinance(A250,K$2,J250-1),2,2))"),117.45)</f>
        <v>117.45</v>
      </c>
      <c r="L250" s="49" t="str">
        <f t="shared" si="2"/>
        <v>2024/01/18</v>
      </c>
      <c r="M250" s="19">
        <f>IFERROR(__xludf.DUMMYFUNCTION("if(isblank(L250),, index(googlefinance(A250,M$2,L250-1),2,2))"),122.42)</f>
        <v>122.42</v>
      </c>
      <c r="N250" s="20">
        <f>IFERROR(__xludf.DUMMYFUNCTION("if(isblank(A250),,googlefinance(A250))"),116.09)</f>
        <v>116.09</v>
      </c>
      <c r="O250" s="50" t="str">
        <f t="shared" si="11"/>
        <v>Completed</v>
      </c>
      <c r="P250" s="42" t="str">
        <f t="shared" si="4"/>
        <v>Loss</v>
      </c>
      <c r="Q250" s="43">
        <f t="shared" si="5"/>
        <v>-39.76</v>
      </c>
      <c r="R250" s="17" t="b">
        <f t="shared" si="6"/>
        <v>0</v>
      </c>
      <c r="S250" s="17">
        <f t="shared" si="12"/>
        <v>4.97</v>
      </c>
      <c r="T250" s="22">
        <f t="shared" si="8"/>
        <v>8</v>
      </c>
      <c r="U250" s="23"/>
      <c r="V250" s="13"/>
      <c r="W250" s="13"/>
      <c r="X250" s="13"/>
      <c r="Y250" s="13"/>
      <c r="Z250" s="13"/>
      <c r="AA250" s="24"/>
    </row>
    <row r="251" ht="15.75" hidden="1" customHeight="1">
      <c r="A251" s="13" t="s">
        <v>76</v>
      </c>
      <c r="B251" s="17">
        <v>11.0</v>
      </c>
      <c r="C251" s="17">
        <v>234.82</v>
      </c>
      <c r="D251" s="17">
        <v>54.545</v>
      </c>
      <c r="E251" s="17">
        <v>1.736</v>
      </c>
      <c r="F251" s="17"/>
      <c r="G251" s="34">
        <v>45295.0</v>
      </c>
      <c r="H251" s="17"/>
      <c r="I251" s="17" t="s">
        <v>206</v>
      </c>
      <c r="J251" s="35">
        <f t="shared" si="14"/>
        <v>45295</v>
      </c>
      <c r="K251" s="18">
        <f>IFERROR(__xludf.DUMMYFUNCTION("if(isblank(J251),,index(googlefinance(A251,K$2,J251-1),2,2))"),50.34)</f>
        <v>50.34</v>
      </c>
      <c r="L251" s="49" t="str">
        <f t="shared" si="2"/>
        <v>2024/01/16</v>
      </c>
      <c r="M251" s="19">
        <f>IFERROR(__xludf.DUMMYFUNCTION("if(isblank(L251),, index(googlefinance(A251,M$2,L251-1),2,2))"),52.23)</f>
        <v>52.23</v>
      </c>
      <c r="N251" s="20">
        <f>IFERROR(__xludf.DUMMYFUNCTION("if(isblank(A251),,googlefinance(A251))"),54.0)</f>
        <v>54</v>
      </c>
      <c r="O251" s="50" t="str">
        <f t="shared" si="11"/>
        <v>Completed</v>
      </c>
      <c r="P251" s="37" t="str">
        <f t="shared" si="4"/>
        <v>Loss</v>
      </c>
      <c r="Q251" s="38">
        <f t="shared" si="5"/>
        <v>-35.91</v>
      </c>
      <c r="R251" s="17" t="b">
        <f t="shared" si="6"/>
        <v>0</v>
      </c>
      <c r="S251" s="17">
        <f t="shared" si="12"/>
        <v>1.89</v>
      </c>
      <c r="T251" s="22">
        <f t="shared" si="8"/>
        <v>19</v>
      </c>
      <c r="U251" s="23"/>
      <c r="V251" s="13"/>
      <c r="W251" s="13"/>
      <c r="X251" s="13"/>
      <c r="Y251" s="13"/>
      <c r="Z251" s="13"/>
      <c r="AA251" s="24"/>
    </row>
    <row r="252" ht="15.75" hidden="1" customHeight="1">
      <c r="A252" s="13" t="s">
        <v>142</v>
      </c>
      <c r="B252" s="17">
        <v>12.0</v>
      </c>
      <c r="C252" s="17">
        <v>441.51</v>
      </c>
      <c r="D252" s="17">
        <v>41.667</v>
      </c>
      <c r="E252" s="17">
        <v>2.222</v>
      </c>
      <c r="F252" s="17"/>
      <c r="G252" s="52">
        <v>45295.0</v>
      </c>
      <c r="H252" s="17"/>
      <c r="I252" s="17" t="s">
        <v>199</v>
      </c>
      <c r="J252" s="35">
        <f t="shared" si="14"/>
        <v>45295</v>
      </c>
      <c r="K252" s="18">
        <f>IFERROR(__xludf.DUMMYFUNCTION("if(isblank(J252),,index(googlefinance(A252,K$2,J252-1),2,2))"),210.24)</f>
        <v>210.24</v>
      </c>
      <c r="L252" s="49" t="str">
        <f t="shared" si="2"/>
        <v>2024/01/08</v>
      </c>
      <c r="M252" s="19">
        <f>IFERROR(__xludf.DUMMYFUNCTION("if(isblank(L252),, index(googlefinance(A252,M$2,L252-1),2,2))"),218.1)</f>
        <v>218.1</v>
      </c>
      <c r="N252" s="20">
        <f>IFERROR(__xludf.DUMMYFUNCTION("if(isblank(A252),,googlefinance(A252))"),252.75)</f>
        <v>252.75</v>
      </c>
      <c r="O252" s="50" t="str">
        <f t="shared" si="11"/>
        <v>Completed</v>
      </c>
      <c r="P252" s="37" t="str">
        <f t="shared" si="4"/>
        <v>Loss</v>
      </c>
      <c r="Q252" s="38">
        <f t="shared" si="5"/>
        <v>-31.44</v>
      </c>
      <c r="R252" s="17" t="b">
        <f t="shared" si="6"/>
        <v>0</v>
      </c>
      <c r="S252" s="17">
        <f t="shared" si="12"/>
        <v>7.86</v>
      </c>
      <c r="T252" s="22">
        <f t="shared" si="8"/>
        <v>4</v>
      </c>
      <c r="U252" s="23"/>
      <c r="V252" s="13"/>
      <c r="W252" s="13"/>
      <c r="X252" s="13"/>
      <c r="Y252" s="13"/>
      <c r="Z252" s="13"/>
      <c r="AA252" s="24"/>
    </row>
    <row r="253" ht="15.75" hidden="1" customHeight="1">
      <c r="A253" s="13" t="s">
        <v>151</v>
      </c>
      <c r="B253" s="17">
        <v>14.0</v>
      </c>
      <c r="C253" s="17">
        <v>220.57</v>
      </c>
      <c r="D253" s="17">
        <v>57.143</v>
      </c>
      <c r="E253" s="17">
        <v>1.795</v>
      </c>
      <c r="F253" s="17"/>
      <c r="G253" s="53">
        <v>45296.0</v>
      </c>
      <c r="H253" s="17"/>
      <c r="I253" s="17" t="s">
        <v>192</v>
      </c>
      <c r="J253" s="35">
        <f t="shared" si="14"/>
        <v>45296</v>
      </c>
      <c r="K253" s="18">
        <f>IFERROR(__xludf.DUMMYFUNCTION("if(isblank(J253),,index(googlefinance(A253,K$2,J253-1),2,2))"),197.09)</f>
        <v>197.09</v>
      </c>
      <c r="L253" s="49" t="str">
        <f t="shared" si="2"/>
        <v>2024/01/10</v>
      </c>
      <c r="M253" s="19">
        <f>IFERROR(__xludf.DUMMYFUNCTION("if(isblank(L253),, index(googlefinance(A253,M$2,L253-1),2,2))"),200.0)</f>
        <v>200</v>
      </c>
      <c r="N253" s="20">
        <f>IFERROR(__xludf.DUMMYFUNCTION("if(isblank(A253),,googlefinance(A253))"),197.92)</f>
        <v>197.92</v>
      </c>
      <c r="O253" s="50" t="str">
        <f t="shared" si="11"/>
        <v>Completed</v>
      </c>
      <c r="P253" s="37" t="str">
        <f t="shared" si="4"/>
        <v>Loss</v>
      </c>
      <c r="Q253" s="38">
        <f t="shared" si="5"/>
        <v>-14.55</v>
      </c>
      <c r="R253" s="17" t="b">
        <f t="shared" si="6"/>
        <v>0</v>
      </c>
      <c r="S253" s="17">
        <f t="shared" si="12"/>
        <v>2.91</v>
      </c>
      <c r="T253" s="22">
        <f t="shared" si="8"/>
        <v>5</v>
      </c>
      <c r="U253" s="23"/>
      <c r="V253" s="13"/>
      <c r="W253" s="13"/>
      <c r="X253" s="13"/>
      <c r="Y253" s="13"/>
      <c r="Z253" s="13"/>
      <c r="AA253" s="24"/>
    </row>
    <row r="254" ht="15.75" hidden="1" customHeight="1">
      <c r="A254" s="13" t="s">
        <v>213</v>
      </c>
      <c r="B254" s="17">
        <v>10.0</v>
      </c>
      <c r="C254" s="17">
        <v>111.89</v>
      </c>
      <c r="D254" s="17">
        <v>40.0</v>
      </c>
      <c r="E254" s="17">
        <v>1.652</v>
      </c>
      <c r="F254" s="17"/>
      <c r="G254" s="53">
        <v>45296.0</v>
      </c>
      <c r="H254" s="17"/>
      <c r="I254" s="17" t="s">
        <v>214</v>
      </c>
      <c r="J254" s="35">
        <f t="shared" si="14"/>
        <v>45296</v>
      </c>
      <c r="K254" s="18">
        <f>IFERROR(__xludf.DUMMYFUNCTION("if(isblank(J254),,index(googlefinance(A254,K$2,J254-1),2,2))"),122.9)</f>
        <v>122.9</v>
      </c>
      <c r="L254" s="49" t="str">
        <f t="shared" si="2"/>
        <v>2024/01/25</v>
      </c>
      <c r="M254" s="19">
        <f>IFERROR(__xludf.DUMMYFUNCTION("if(isblank(L254),, index(googlefinance(A254,M$2,L254-1),2,2))"),120.63)</f>
        <v>120.63</v>
      </c>
      <c r="N254" s="20">
        <f>IFERROR(__xludf.DUMMYFUNCTION("if(isblank(A254),,googlefinance(A254))"),127.89)</f>
        <v>127.89</v>
      </c>
      <c r="O254" s="50" t="str">
        <f t="shared" si="11"/>
        <v>Completed</v>
      </c>
      <c r="P254" s="37" t="str">
        <f t="shared" si="4"/>
        <v>Profit</v>
      </c>
      <c r="Q254" s="38">
        <f t="shared" si="5"/>
        <v>18.16</v>
      </c>
      <c r="R254" s="17" t="b">
        <f t="shared" si="6"/>
        <v>1</v>
      </c>
      <c r="S254" s="17">
        <f t="shared" si="12"/>
        <v>-2.27</v>
      </c>
      <c r="T254" s="22">
        <f t="shared" si="8"/>
        <v>8</v>
      </c>
      <c r="U254" s="23"/>
      <c r="V254" s="13"/>
      <c r="W254" s="13"/>
      <c r="X254" s="13"/>
      <c r="Y254" s="13"/>
      <c r="Z254" s="13"/>
      <c r="AA254" s="24"/>
    </row>
    <row r="255" ht="15.75" hidden="1" customHeight="1">
      <c r="A255" s="13" t="s">
        <v>215</v>
      </c>
      <c r="B255" s="17">
        <v>14.0</v>
      </c>
      <c r="C255" s="17">
        <v>53.59</v>
      </c>
      <c r="D255" s="17">
        <v>42.857</v>
      </c>
      <c r="E255" s="17">
        <v>1.215</v>
      </c>
      <c r="F255" s="17"/>
      <c r="G255" s="53">
        <v>45296.0</v>
      </c>
      <c r="H255" s="17"/>
      <c r="I255" s="17" t="s">
        <v>210</v>
      </c>
      <c r="J255" s="35">
        <f t="shared" si="14"/>
        <v>45296</v>
      </c>
      <c r="K255" s="18">
        <f>IFERROR(__xludf.DUMMYFUNCTION("if(isblank(J255),,index(googlefinance(A255,K$2,J255-1),2,2))"),87.42)</f>
        <v>87.42</v>
      </c>
      <c r="L255" s="49" t="str">
        <f t="shared" si="2"/>
        <v>2024/01/22</v>
      </c>
      <c r="M255" s="19">
        <f>IFERROR(__xludf.DUMMYFUNCTION("if(isblank(L255),, index(googlefinance(A255,M$2,L255-1),2,2))"),87.41)</f>
        <v>87.41</v>
      </c>
      <c r="N255" s="20">
        <f>IFERROR(__xludf.DUMMYFUNCTION("if(isblank(A255),,googlefinance(A255))"),93.13)</f>
        <v>93.13</v>
      </c>
      <c r="O255" s="50" t="str">
        <f t="shared" si="11"/>
        <v>Completed</v>
      </c>
      <c r="P255" s="37" t="str">
        <f t="shared" si="4"/>
        <v>Profit</v>
      </c>
      <c r="Q255" s="38">
        <f t="shared" si="5"/>
        <v>0.11</v>
      </c>
      <c r="R255" s="17" t="b">
        <f t="shared" si="6"/>
        <v>1</v>
      </c>
      <c r="S255" s="17">
        <f t="shared" si="12"/>
        <v>-0.01</v>
      </c>
      <c r="T255" s="22">
        <f t="shared" si="8"/>
        <v>11</v>
      </c>
      <c r="U255" s="23"/>
      <c r="V255" s="13"/>
      <c r="W255" s="13"/>
      <c r="X255" s="13"/>
      <c r="Y255" s="13"/>
      <c r="Z255" s="13"/>
      <c r="AA255" s="24"/>
    </row>
    <row r="256" ht="15.75" hidden="1" customHeight="1">
      <c r="A256" s="13" t="s">
        <v>216</v>
      </c>
      <c r="B256" s="17">
        <v>10.0</v>
      </c>
      <c r="C256" s="17">
        <v>339.09</v>
      </c>
      <c r="D256" s="17">
        <v>30.0</v>
      </c>
      <c r="E256" s="17">
        <v>2.032</v>
      </c>
      <c r="F256" s="17"/>
      <c r="G256" s="53">
        <v>45296.0</v>
      </c>
      <c r="H256" s="17"/>
      <c r="I256" s="17" t="s">
        <v>217</v>
      </c>
      <c r="J256" s="35">
        <f t="shared" si="14"/>
        <v>45296</v>
      </c>
      <c r="K256" s="18">
        <f>IFERROR(__xludf.DUMMYFUNCTION("if(isblank(J256),,index(googlefinance(A256,K$2,J256-1),2,2))"),118.07)</f>
        <v>118.07</v>
      </c>
      <c r="L256" s="49" t="str">
        <f t="shared" si="2"/>
        <v>2024/01/23</v>
      </c>
      <c r="M256" s="19">
        <f>IFERROR(__xludf.DUMMYFUNCTION("if(isblank(L256),, index(googlefinance(A256,M$2,L256-1),2,2))"),107.15)</f>
        <v>107.15</v>
      </c>
      <c r="N256" s="20">
        <f>IFERROR(__xludf.DUMMYFUNCTION("if(isblank(A256),,googlefinance(A256))"),131.87)</f>
        <v>131.87</v>
      </c>
      <c r="O256" s="50" t="str">
        <f t="shared" si="11"/>
        <v>Completed</v>
      </c>
      <c r="P256" s="37" t="str">
        <f t="shared" si="4"/>
        <v>Profit</v>
      </c>
      <c r="Q256" s="38">
        <f t="shared" si="5"/>
        <v>87.36</v>
      </c>
      <c r="R256" s="17" t="b">
        <f t="shared" si="6"/>
        <v>1</v>
      </c>
      <c r="S256" s="17">
        <f t="shared" si="12"/>
        <v>-10.92</v>
      </c>
      <c r="T256" s="22">
        <f t="shared" si="8"/>
        <v>8</v>
      </c>
      <c r="U256" s="23"/>
      <c r="V256" s="13"/>
      <c r="W256" s="13"/>
      <c r="X256" s="13"/>
      <c r="Y256" s="13"/>
      <c r="Z256" s="13"/>
      <c r="AA256" s="24"/>
    </row>
    <row r="257" ht="15.75" hidden="1" customHeight="1">
      <c r="A257" s="13" t="s">
        <v>79</v>
      </c>
      <c r="B257" s="17">
        <v>10.0</v>
      </c>
      <c r="C257" s="17">
        <v>1.28</v>
      </c>
      <c r="D257" s="17">
        <v>50.0</v>
      </c>
      <c r="E257" s="17">
        <v>1.015</v>
      </c>
      <c r="F257" s="17"/>
      <c r="G257" s="53">
        <v>45296.0</v>
      </c>
      <c r="H257" s="17"/>
      <c r="I257" s="17" t="s">
        <v>208</v>
      </c>
      <c r="J257" s="35">
        <f t="shared" si="14"/>
        <v>45296</v>
      </c>
      <c r="K257" s="18">
        <f>IFERROR(__xludf.DUMMYFUNCTION("if(isblank(J257),,index(googlefinance(A257,K$2,J257-1),2,2))"),256.18)</f>
        <v>256.18</v>
      </c>
      <c r="L257" s="49" t="str">
        <f t="shared" si="2"/>
        <v>2024/01/13</v>
      </c>
      <c r="M257" s="19">
        <f>IFERROR(__xludf.DUMMYFUNCTION("if(isblank(L257),, index(googlefinance(A257,M$2,L257-1),2,2))"),254.81)</f>
        <v>254.81</v>
      </c>
      <c r="N257" s="20">
        <f>IFERROR(__xludf.DUMMYFUNCTION("if(isblank(A257),,googlefinance(A257))"),269.44)</f>
        <v>269.44</v>
      </c>
      <c r="O257" s="50" t="str">
        <f t="shared" si="11"/>
        <v>Completed</v>
      </c>
      <c r="P257" s="37" t="str">
        <f t="shared" si="4"/>
        <v>Profit</v>
      </c>
      <c r="Q257" s="38">
        <f t="shared" si="5"/>
        <v>4.11</v>
      </c>
      <c r="R257" s="17" t="b">
        <f t="shared" si="6"/>
        <v>1</v>
      </c>
      <c r="S257" s="17">
        <f t="shared" si="12"/>
        <v>-1.37</v>
      </c>
      <c r="T257" s="22">
        <f t="shared" si="8"/>
        <v>3</v>
      </c>
      <c r="U257" s="23"/>
      <c r="V257" s="13"/>
      <c r="W257" s="13"/>
      <c r="X257" s="13"/>
      <c r="Y257" s="13"/>
      <c r="Z257" s="13"/>
      <c r="AA257" s="24"/>
    </row>
    <row r="258" ht="15.75" hidden="1" customHeight="1">
      <c r="A258" s="13" t="s">
        <v>156</v>
      </c>
      <c r="B258" s="17">
        <v>17.0</v>
      </c>
      <c r="C258" s="17">
        <v>297.68</v>
      </c>
      <c r="D258" s="17">
        <v>35.294</v>
      </c>
      <c r="E258" s="17">
        <v>1.928</v>
      </c>
      <c r="F258" s="17"/>
      <c r="G258" s="53">
        <v>45296.0</v>
      </c>
      <c r="H258" s="17"/>
      <c r="I258" s="17" t="s">
        <v>192</v>
      </c>
      <c r="J258" s="35">
        <f t="shared" si="14"/>
        <v>45296</v>
      </c>
      <c r="K258" s="18">
        <f>IFERROR(__xludf.DUMMYFUNCTION("if(isblank(J258),,index(googlefinance(A258,K$2,J258-1),2,2))"),74.94)</f>
        <v>74.94</v>
      </c>
      <c r="L258" s="49" t="str">
        <f t="shared" si="2"/>
        <v>2024/01/10</v>
      </c>
      <c r="M258" s="19">
        <f>IFERROR(__xludf.DUMMYFUNCTION("if(isblank(L258),, index(googlefinance(A258,M$2,L258-1),2,2))"),75.91)</f>
        <v>75.91</v>
      </c>
      <c r="N258" s="20">
        <f>IFERROR(__xludf.DUMMYFUNCTION("if(isblank(A258),,googlefinance(A258))"),89.47)</f>
        <v>89.47</v>
      </c>
      <c r="O258" s="50" t="str">
        <f t="shared" si="11"/>
        <v>Completed</v>
      </c>
      <c r="P258" s="37" t="str">
        <f t="shared" si="4"/>
        <v>Loss</v>
      </c>
      <c r="Q258" s="38">
        <f t="shared" si="5"/>
        <v>-12.61</v>
      </c>
      <c r="R258" s="17" t="b">
        <f t="shared" si="6"/>
        <v>0</v>
      </c>
      <c r="S258" s="17">
        <f t="shared" si="12"/>
        <v>0.97</v>
      </c>
      <c r="T258" s="22">
        <f t="shared" si="8"/>
        <v>13</v>
      </c>
      <c r="U258" s="23"/>
      <c r="V258" s="13"/>
      <c r="W258" s="13"/>
      <c r="X258" s="13"/>
      <c r="Y258" s="13"/>
      <c r="Z258" s="13"/>
      <c r="AA258" s="24"/>
    </row>
    <row r="259" ht="15.75" hidden="1" customHeight="1">
      <c r="A259" s="13" t="s">
        <v>218</v>
      </c>
      <c r="B259" s="17">
        <v>11.0</v>
      </c>
      <c r="C259" s="17">
        <v>215.37</v>
      </c>
      <c r="D259" s="17">
        <v>54.545</v>
      </c>
      <c r="E259" s="17">
        <v>2.427</v>
      </c>
      <c r="F259" s="17"/>
      <c r="G259" s="53">
        <v>45296.0</v>
      </c>
      <c r="H259" s="17"/>
      <c r="I259" s="17" t="s">
        <v>217</v>
      </c>
      <c r="J259" s="35">
        <f t="shared" si="14"/>
        <v>45296</v>
      </c>
      <c r="K259" s="18">
        <f>IFERROR(__xludf.DUMMYFUNCTION("if(isblank(J259),,index(googlefinance(A259,K$2,J259-1),2,2))"),66.56)</f>
        <v>66.56</v>
      </c>
      <c r="L259" s="49" t="str">
        <f t="shared" si="2"/>
        <v>2024/01/23</v>
      </c>
      <c r="M259" s="19">
        <f>IFERROR(__xludf.DUMMYFUNCTION("if(isblank(L259),, index(googlefinance(A259,M$2,L259-1),2,2))"),67.11)</f>
        <v>67.11</v>
      </c>
      <c r="N259" s="20">
        <f>IFERROR(__xludf.DUMMYFUNCTION("if(isblank(A259),,googlefinance(A259))"),67.98)</f>
        <v>67.98</v>
      </c>
      <c r="O259" s="50" t="str">
        <f t="shared" si="11"/>
        <v>Completed</v>
      </c>
      <c r="P259" s="42" t="str">
        <f t="shared" si="4"/>
        <v>Loss</v>
      </c>
      <c r="Q259" s="43">
        <f t="shared" si="5"/>
        <v>-8.25</v>
      </c>
      <c r="R259" s="17" t="b">
        <f t="shared" si="6"/>
        <v>0</v>
      </c>
      <c r="S259" s="17">
        <f t="shared" si="12"/>
        <v>0.55</v>
      </c>
      <c r="T259" s="22">
        <f t="shared" si="8"/>
        <v>15</v>
      </c>
      <c r="U259" s="23"/>
      <c r="V259" s="13"/>
      <c r="W259" s="13"/>
      <c r="X259" s="13"/>
      <c r="Y259" s="13"/>
      <c r="Z259" s="13"/>
      <c r="AA259" s="24"/>
    </row>
    <row r="260" ht="15.75" hidden="1" customHeight="1">
      <c r="A260" s="13" t="s">
        <v>219</v>
      </c>
      <c r="B260" s="17">
        <v>14.0</v>
      </c>
      <c r="C260" s="17">
        <v>10.23</v>
      </c>
      <c r="D260" s="17">
        <v>21.429</v>
      </c>
      <c r="E260" s="17">
        <v>1.042</v>
      </c>
      <c r="F260" s="17"/>
      <c r="G260" s="53">
        <v>45296.0</v>
      </c>
      <c r="H260" s="17"/>
      <c r="I260" s="17" t="s">
        <v>194</v>
      </c>
      <c r="J260" s="35">
        <f t="shared" si="14"/>
        <v>45296</v>
      </c>
      <c r="K260" s="18">
        <f>IFERROR(__xludf.DUMMYFUNCTION("if(isblank(J260),,index(googlefinance(A260,K$2,J260-1),2,2))"),251.15)</f>
        <v>251.15</v>
      </c>
      <c r="L260" s="49" t="str">
        <f t="shared" si="2"/>
        <v>2024/01/19</v>
      </c>
      <c r="M260" s="19">
        <f>IFERROR(__xludf.DUMMYFUNCTION("if(isblank(L260),, index(googlefinance(A260,M$2,L260-1),2,2))"),251.54)</f>
        <v>251.54</v>
      </c>
      <c r="N260" s="20">
        <f>IFERROR(__xludf.DUMMYFUNCTION("if(isblank(A260),,googlefinance(A260))"),264.07)</f>
        <v>264.07</v>
      </c>
      <c r="O260" s="50" t="str">
        <f t="shared" si="11"/>
        <v>Completed</v>
      </c>
      <c r="P260" s="42" t="str">
        <f t="shared" si="4"/>
        <v>Loss</v>
      </c>
      <c r="Q260" s="43">
        <f t="shared" si="5"/>
        <v>-1.17</v>
      </c>
      <c r="R260" s="17" t="b">
        <f t="shared" si="6"/>
        <v>0</v>
      </c>
      <c r="S260" s="17">
        <f t="shared" si="12"/>
        <v>0.39</v>
      </c>
      <c r="T260" s="22">
        <f t="shared" si="8"/>
        <v>3</v>
      </c>
      <c r="U260" s="23"/>
      <c r="V260" s="54"/>
      <c r="W260" s="45"/>
      <c r="X260" s="45"/>
      <c r="Y260" s="13"/>
      <c r="Z260" s="13"/>
      <c r="AA260" s="24"/>
    </row>
    <row r="261" ht="15.75" hidden="1" customHeight="1">
      <c r="A261" s="13" t="s">
        <v>57</v>
      </c>
      <c r="B261" s="17">
        <v>12.0</v>
      </c>
      <c r="C261" s="17">
        <v>348.77</v>
      </c>
      <c r="D261" s="17">
        <v>50.0</v>
      </c>
      <c r="E261" s="17">
        <v>2.704</v>
      </c>
      <c r="F261" s="17"/>
      <c r="G261" s="53">
        <v>45296.0</v>
      </c>
      <c r="H261" s="17"/>
      <c r="I261" s="17" t="s">
        <v>194</v>
      </c>
      <c r="J261" s="35">
        <f t="shared" si="14"/>
        <v>45296</v>
      </c>
      <c r="K261" s="18">
        <f>IFERROR(__xludf.DUMMYFUNCTION("if(isblank(J261),,index(googlefinance(A261,K$2,J261-1),2,2))"),307.37)</f>
        <v>307.37</v>
      </c>
      <c r="L261" s="49" t="str">
        <f t="shared" si="2"/>
        <v>2024/01/19</v>
      </c>
      <c r="M261" s="19">
        <f>IFERROR(__xludf.DUMMYFUNCTION("if(isblank(L261),, index(googlefinance(A261,M$2,L261-1),2,2))"),310.16)</f>
        <v>310.16</v>
      </c>
      <c r="N261" s="20">
        <f>IFERROR(__xludf.DUMMYFUNCTION("if(isblank(A261),,googlefinance(A261))"),325.21)</f>
        <v>325.21</v>
      </c>
      <c r="O261" s="50" t="str">
        <f t="shared" si="11"/>
        <v>Completed</v>
      </c>
      <c r="P261" s="42" t="str">
        <f t="shared" si="4"/>
        <v>Loss</v>
      </c>
      <c r="Q261" s="43">
        <f t="shared" si="5"/>
        <v>-8.37</v>
      </c>
      <c r="R261" s="17" t="b">
        <f t="shared" si="6"/>
        <v>0</v>
      </c>
      <c r="S261" s="17">
        <f t="shared" si="12"/>
        <v>2.79</v>
      </c>
      <c r="T261" s="22">
        <f t="shared" si="8"/>
        <v>3</v>
      </c>
      <c r="U261" s="23"/>
      <c r="V261" s="13"/>
      <c r="W261" s="13"/>
      <c r="X261" s="13"/>
      <c r="Y261" s="13"/>
      <c r="Z261" s="13"/>
      <c r="AA261" s="24"/>
    </row>
    <row r="262" ht="12.75" hidden="1" customHeight="1">
      <c r="A262" s="24" t="s">
        <v>83</v>
      </c>
      <c r="B262" s="55">
        <v>14.0</v>
      </c>
      <c r="C262" s="55">
        <v>150.26</v>
      </c>
      <c r="D262" s="55">
        <v>42.857</v>
      </c>
      <c r="E262" s="55">
        <v>1.987</v>
      </c>
      <c r="F262" s="55" t="s">
        <v>220</v>
      </c>
      <c r="G262" s="55" t="s">
        <v>199</v>
      </c>
      <c r="H262" s="55"/>
      <c r="I262" s="55" t="s">
        <v>221</v>
      </c>
      <c r="J262" s="35" t="str">
        <f t="shared" si="14"/>
        <v> </v>
      </c>
      <c r="K262" s="18" t="str">
        <f>IFERROR(__xludf.DUMMYFUNCTION("if(isblank(J262),,index(googlefinance(A262,K$2,J262-1),2,2))"),"#VALUE!")</f>
        <v>#VALUE!</v>
      </c>
      <c r="L262" s="49" t="str">
        <f t="shared" si="2"/>
        <v>2024/02/06</v>
      </c>
      <c r="M262" s="19">
        <f>IFERROR(__xludf.DUMMYFUNCTION("if(isblank(L262),, index(googlefinance(A262,M$2,L262-1),2,2))"),72.04)</f>
        <v>72.04</v>
      </c>
      <c r="N262" s="20">
        <f>IFERROR(__xludf.DUMMYFUNCTION("if(isblank(A262),,googlefinance(A262))"),73.79)</f>
        <v>73.79</v>
      </c>
      <c r="O262" s="50" t="str">
        <f t="shared" si="11"/>
        <v>Completed</v>
      </c>
      <c r="P262" s="42" t="str">
        <f t="shared" si="4"/>
        <v>#VALUE!</v>
      </c>
      <c r="Q262" s="43" t="str">
        <f t="shared" si="5"/>
        <v>#VALUE!</v>
      </c>
      <c r="R262" s="17" t="str">
        <f t="shared" si="6"/>
        <v>#VALUE!</v>
      </c>
      <c r="S262" s="17" t="str">
        <f t="shared" si="12"/>
        <v>#VALUE!</v>
      </c>
      <c r="T262" s="22" t="str">
        <f t="shared" si="8"/>
        <v>#VALUE!</v>
      </c>
      <c r="U262" s="24"/>
      <c r="V262" s="24"/>
      <c r="W262" s="24"/>
      <c r="X262" s="24"/>
      <c r="Y262" s="24"/>
      <c r="Z262" s="24"/>
      <c r="AA262" s="24"/>
    </row>
    <row r="263" ht="12.75" hidden="1" customHeight="1">
      <c r="A263" s="24" t="s">
        <v>146</v>
      </c>
      <c r="B263" s="55">
        <v>11.0</v>
      </c>
      <c r="C263" s="55">
        <v>156.36</v>
      </c>
      <c r="D263" s="55">
        <v>36.364</v>
      </c>
      <c r="E263" s="55">
        <v>1.562</v>
      </c>
      <c r="F263" s="55"/>
      <c r="G263" s="55" t="s">
        <v>199</v>
      </c>
      <c r="H263" s="55"/>
      <c r="I263" s="55" t="s">
        <v>210</v>
      </c>
      <c r="J263" s="35" t="str">
        <f t="shared" si="14"/>
        <v>2024/01/08</v>
      </c>
      <c r="K263" s="18">
        <f>IFERROR(__xludf.DUMMYFUNCTION("if(isblank(J263),,index(googlefinance(A263,K$2,J263-1),2,2))"),172.75)</f>
        <v>172.75</v>
      </c>
      <c r="L263" s="49" t="str">
        <f t="shared" si="2"/>
        <v>2024/01/22</v>
      </c>
      <c r="M263" s="19">
        <f>IFERROR(__xludf.DUMMYFUNCTION("if(isblank(L263),, index(googlefinance(A263,M$2,L263-1),2,2))"),170.44)</f>
        <v>170.44</v>
      </c>
      <c r="N263" s="20">
        <f>IFERROR(__xludf.DUMMYFUNCTION("if(isblank(A263),,googlefinance(A263))"),185.58)</f>
        <v>185.58</v>
      </c>
      <c r="O263" s="50" t="str">
        <f t="shared" si="11"/>
        <v>Completed</v>
      </c>
      <c r="P263" s="42" t="str">
        <f t="shared" si="4"/>
        <v>Profit</v>
      </c>
      <c r="Q263" s="43">
        <f t="shared" si="5"/>
        <v>11.55</v>
      </c>
      <c r="R263" s="17" t="b">
        <f t="shared" si="6"/>
        <v>1</v>
      </c>
      <c r="S263" s="17">
        <f t="shared" si="12"/>
        <v>-2.31</v>
      </c>
      <c r="T263" s="22">
        <f t="shared" si="8"/>
        <v>5</v>
      </c>
      <c r="U263" s="24"/>
      <c r="V263" s="24"/>
      <c r="W263" s="24"/>
      <c r="X263" s="24"/>
      <c r="Y263" s="24"/>
      <c r="Z263" s="24"/>
      <c r="AA263" s="24"/>
    </row>
    <row r="264" ht="12.75" hidden="1" customHeight="1">
      <c r="A264" s="24" t="s">
        <v>222</v>
      </c>
      <c r="B264" s="55">
        <v>10.0</v>
      </c>
      <c r="C264" s="55">
        <v>72.75</v>
      </c>
      <c r="D264" s="55">
        <v>40.0</v>
      </c>
      <c r="E264" s="55">
        <v>1.402</v>
      </c>
      <c r="F264" s="55"/>
      <c r="G264" s="55" t="s">
        <v>192</v>
      </c>
      <c r="H264" s="55"/>
      <c r="I264" s="55" t="s">
        <v>223</v>
      </c>
      <c r="J264" s="35" t="str">
        <f t="shared" si="14"/>
        <v>2024/01/10</v>
      </c>
      <c r="K264" s="18">
        <f>IFERROR(__xludf.DUMMYFUNCTION("if(isblank(J264),,index(googlefinance(A264,K$2,J264-1),2,2))"),67.83)</f>
        <v>67.83</v>
      </c>
      <c r="L264" s="49" t="str">
        <f t="shared" si="2"/>
        <v>2024/02/07</v>
      </c>
      <c r="M264" s="19" t="str">
        <f>IFERROR(__xludf.DUMMYFUNCTION("if(isblank(L264),, index(googlefinance(A264,M$2,L264-1),2,2))"),"#N/A")</f>
        <v>#N/A</v>
      </c>
      <c r="N264" s="20">
        <f>IFERROR(__xludf.DUMMYFUNCTION("if(isblank(A264),,googlefinance(A264))"),70.04)</f>
        <v>70.04</v>
      </c>
      <c r="O264" s="50" t="str">
        <f t="shared" si="11"/>
        <v>Completed</v>
      </c>
      <c r="P264" s="42" t="str">
        <f t="shared" si="4"/>
        <v>#N/A</v>
      </c>
      <c r="Q264" s="43" t="str">
        <f t="shared" si="5"/>
        <v>#N/A</v>
      </c>
      <c r="R264" s="17" t="str">
        <f t="shared" si="6"/>
        <v>#N/A</v>
      </c>
      <c r="S264" s="17" t="str">
        <f t="shared" si="12"/>
        <v>#N/A</v>
      </c>
      <c r="T264" s="22">
        <f t="shared" si="8"/>
        <v>14</v>
      </c>
      <c r="U264" s="24"/>
      <c r="V264" s="24"/>
      <c r="W264" s="24"/>
      <c r="X264" s="24"/>
      <c r="Y264" s="24"/>
      <c r="Z264" s="24"/>
      <c r="AA264" s="24"/>
    </row>
    <row r="265" ht="12.75" hidden="1" customHeight="1">
      <c r="A265" s="24" t="s">
        <v>97</v>
      </c>
      <c r="B265" s="55">
        <v>8.0</v>
      </c>
      <c r="C265" s="55">
        <v>116.67</v>
      </c>
      <c r="D265" s="55">
        <v>50.0</v>
      </c>
      <c r="E265" s="55">
        <v>1.543</v>
      </c>
      <c r="F265" s="55"/>
      <c r="G265" s="55" t="s">
        <v>192</v>
      </c>
      <c r="H265" s="55"/>
      <c r="I265" s="55" t="s">
        <v>224</v>
      </c>
      <c r="J265" s="35" t="str">
        <f t="shared" si="14"/>
        <v>2024/01/10</v>
      </c>
      <c r="K265" s="18">
        <f>IFERROR(__xludf.DUMMYFUNCTION("if(isblank(J265),,index(googlefinance(A265,K$2,J265-1),2,2))"),50.01)</f>
        <v>50.01</v>
      </c>
      <c r="L265" s="49" t="str">
        <f t="shared" si="2"/>
        <v>2024/01/24</v>
      </c>
      <c r="M265" s="19">
        <f>IFERROR(__xludf.DUMMYFUNCTION("if(isblank(L265),, index(googlefinance(A265,M$2,L265-1),2,2))"),49.02)</f>
        <v>49.02</v>
      </c>
      <c r="N265" s="20">
        <f>IFERROR(__xludf.DUMMYFUNCTION("if(isblank(A265),,googlefinance(A265))"),55.25)</f>
        <v>55.25</v>
      </c>
      <c r="O265" s="50" t="str">
        <f t="shared" si="11"/>
        <v>Completed</v>
      </c>
      <c r="P265" s="42" t="str">
        <f t="shared" si="4"/>
        <v>Profit</v>
      </c>
      <c r="Q265" s="43">
        <f t="shared" si="5"/>
        <v>18.81</v>
      </c>
      <c r="R265" s="17" t="b">
        <f t="shared" si="6"/>
        <v>1</v>
      </c>
      <c r="S265" s="17">
        <f t="shared" si="12"/>
        <v>-0.99</v>
      </c>
      <c r="T265" s="22">
        <f t="shared" si="8"/>
        <v>19</v>
      </c>
      <c r="U265" s="24"/>
      <c r="V265" s="24"/>
      <c r="W265" s="24"/>
      <c r="X265" s="24"/>
      <c r="Y265" s="24"/>
      <c r="Z265" s="24"/>
      <c r="AA265" s="24"/>
    </row>
    <row r="266" ht="12.75" hidden="1" customHeight="1">
      <c r="A266" s="24" t="s">
        <v>225</v>
      </c>
      <c r="B266" s="55">
        <v>10.0</v>
      </c>
      <c r="C266" s="55">
        <v>74.65</v>
      </c>
      <c r="D266" s="55">
        <v>30.0</v>
      </c>
      <c r="E266" s="55">
        <v>1.64</v>
      </c>
      <c r="F266" s="55"/>
      <c r="G266" s="55" t="s">
        <v>192</v>
      </c>
      <c r="H266" s="55"/>
      <c r="I266" s="55" t="s">
        <v>198</v>
      </c>
      <c r="J266" s="35" t="str">
        <f t="shared" si="14"/>
        <v>2024/01/10</v>
      </c>
      <c r="K266" s="18">
        <f>IFERROR(__xludf.DUMMYFUNCTION("if(isblank(J266),,index(googlefinance(A266,K$2,J266-1),2,2))"),73.74)</f>
        <v>73.74</v>
      </c>
      <c r="L266" s="49" t="str">
        <f t="shared" si="2"/>
        <v>2024/01/17</v>
      </c>
      <c r="M266" s="19">
        <f>IFERROR(__xludf.DUMMYFUNCTION("if(isblank(L266),, index(googlefinance(A266,M$2,L266-1),2,2))"),72.85)</f>
        <v>72.85</v>
      </c>
      <c r="N266" s="20">
        <f>IFERROR(__xludf.DUMMYFUNCTION("if(isblank(A266),,googlefinance(A266))"),71.98)</f>
        <v>71.98</v>
      </c>
      <c r="O266" s="50" t="str">
        <f t="shared" si="11"/>
        <v>Completed</v>
      </c>
      <c r="P266" s="42" t="str">
        <f t="shared" si="4"/>
        <v>Profit</v>
      </c>
      <c r="Q266" s="43">
        <f t="shared" si="5"/>
        <v>11.57</v>
      </c>
      <c r="R266" s="17" t="b">
        <f t="shared" si="6"/>
        <v>1</v>
      </c>
      <c r="S266" s="17">
        <f t="shared" si="12"/>
        <v>-0.89</v>
      </c>
      <c r="T266" s="22">
        <f t="shared" si="8"/>
        <v>13</v>
      </c>
      <c r="U266" s="24"/>
      <c r="V266" s="24"/>
      <c r="W266" s="24"/>
      <c r="X266" s="24"/>
      <c r="Y266" s="24"/>
      <c r="Z266" s="24"/>
      <c r="AA266" s="24"/>
    </row>
    <row r="267" ht="12.75" hidden="1" customHeight="1">
      <c r="A267" s="24" t="s">
        <v>226</v>
      </c>
      <c r="B267" s="55">
        <v>6.0</v>
      </c>
      <c r="C267" s="55">
        <v>27.46</v>
      </c>
      <c r="D267" s="55">
        <v>16.667</v>
      </c>
      <c r="E267" s="55">
        <v>1.646</v>
      </c>
      <c r="F267" s="55"/>
      <c r="G267" s="55" t="s">
        <v>197</v>
      </c>
      <c r="H267" s="55"/>
      <c r="I267" s="55" t="s">
        <v>227</v>
      </c>
      <c r="J267" s="35" t="str">
        <f t="shared" si="14"/>
        <v>2024/01/11</v>
      </c>
      <c r="K267" s="18">
        <f>IFERROR(__xludf.DUMMYFUNCTION("if(isblank(J267),,index(googlefinance(A267,K$2,J267-1),2,2))"),82.54)</f>
        <v>82.54</v>
      </c>
      <c r="L267" s="49" t="str">
        <f t="shared" si="2"/>
        <v>2024/01/30</v>
      </c>
      <c r="M267" s="19">
        <f>IFERROR(__xludf.DUMMYFUNCTION("if(isblank(L267),, index(googlefinance(A267,M$2,L267-1),2,2))"),78.38)</f>
        <v>78.38</v>
      </c>
      <c r="N267" s="20">
        <f>IFERROR(__xludf.DUMMYFUNCTION("if(isblank(A267),,googlefinance(A267))"),81.35)</f>
        <v>81.35</v>
      </c>
      <c r="O267" s="50" t="str">
        <f t="shared" si="11"/>
        <v>Completed</v>
      </c>
      <c r="P267" s="42" t="str">
        <f t="shared" si="4"/>
        <v>Profit</v>
      </c>
      <c r="Q267" s="43">
        <f t="shared" si="5"/>
        <v>49.92</v>
      </c>
      <c r="R267" s="17" t="b">
        <f t="shared" si="6"/>
        <v>1</v>
      </c>
      <c r="S267" s="17">
        <f t="shared" si="12"/>
        <v>-4.16</v>
      </c>
      <c r="T267" s="22">
        <f t="shared" si="8"/>
        <v>12</v>
      </c>
      <c r="U267" s="24"/>
      <c r="V267" s="24"/>
      <c r="W267" s="24"/>
      <c r="X267" s="24"/>
      <c r="Y267" s="24"/>
      <c r="Z267" s="24"/>
      <c r="AA267" s="24"/>
    </row>
    <row r="268" ht="12.75" hidden="1" customHeight="1">
      <c r="A268" s="24" t="s">
        <v>39</v>
      </c>
      <c r="B268" s="55">
        <v>16.0</v>
      </c>
      <c r="C268" s="55">
        <v>113.105</v>
      </c>
      <c r="D268" s="55">
        <v>31.25</v>
      </c>
      <c r="E268" s="55">
        <v>1.216</v>
      </c>
      <c r="F268" s="55"/>
      <c r="G268" s="55" t="s">
        <v>197</v>
      </c>
      <c r="H268" s="55"/>
      <c r="I268" s="55" t="s">
        <v>214</v>
      </c>
      <c r="J268" s="35" t="str">
        <f t="shared" si="14"/>
        <v>2024/01/11</v>
      </c>
      <c r="K268" s="18">
        <f>IFERROR(__xludf.DUMMYFUNCTION("if(isblank(J268),,index(googlefinance(A268,K$2,J268-1),2,2))"),38.78)</f>
        <v>38.78</v>
      </c>
      <c r="L268" s="49" t="str">
        <f t="shared" si="2"/>
        <v>2024/01/25</v>
      </c>
      <c r="M268" s="19">
        <f>IFERROR(__xludf.DUMMYFUNCTION("if(isblank(L268),, index(googlefinance(A268,M$2,L268-1),2,2))"),36.94)</f>
        <v>36.94</v>
      </c>
      <c r="N268" s="20">
        <f>IFERROR(__xludf.DUMMYFUNCTION("if(isblank(A268),,googlefinance(A268))"),37.59)</f>
        <v>37.59</v>
      </c>
      <c r="O268" s="50" t="str">
        <f t="shared" si="11"/>
        <v>Completed</v>
      </c>
      <c r="P268" s="42" t="str">
        <f t="shared" si="4"/>
        <v>Profit</v>
      </c>
      <c r="Q268" s="43">
        <f t="shared" si="5"/>
        <v>46</v>
      </c>
      <c r="R268" s="17" t="b">
        <f t="shared" si="6"/>
        <v>1</v>
      </c>
      <c r="S268" s="17">
        <f t="shared" si="12"/>
        <v>-1.84</v>
      </c>
      <c r="T268" s="22">
        <f t="shared" si="8"/>
        <v>25</v>
      </c>
      <c r="U268" s="24"/>
      <c r="V268" s="24"/>
      <c r="W268" s="24"/>
      <c r="X268" s="24"/>
      <c r="Y268" s="24"/>
      <c r="Z268" s="24"/>
      <c r="AA268" s="24"/>
    </row>
    <row r="269" ht="12.75" hidden="1" customHeight="1">
      <c r="A269" s="24" t="s">
        <v>58</v>
      </c>
      <c r="B269" s="55">
        <v>13.0</v>
      </c>
      <c r="C269" s="55">
        <v>63.76</v>
      </c>
      <c r="D269" s="55">
        <v>30.769</v>
      </c>
      <c r="E269" s="55">
        <v>1.262</v>
      </c>
      <c r="F269" s="55" t="s">
        <v>208</v>
      </c>
      <c r="G269" s="55"/>
      <c r="H269" s="55" t="s">
        <v>198</v>
      </c>
      <c r="I269" s="55"/>
      <c r="J269" s="35" t="str">
        <f t="shared" si="14"/>
        <v>2024/01/13</v>
      </c>
      <c r="K269" s="18">
        <f>IFERROR(__xludf.DUMMYFUNCTION("if(isblank(J269),,index(googlefinance(A269,K$2,J269-1),2,2))"),90.35)</f>
        <v>90.35</v>
      </c>
      <c r="L269" s="49" t="str">
        <f t="shared" si="2"/>
        <v>2024/01/17</v>
      </c>
      <c r="M269" s="19">
        <f>IFERROR(__xludf.DUMMYFUNCTION("if(isblank(L269),, index(googlefinance(A269,M$2,L269-1),2,2))"),93.05)</f>
        <v>93.05</v>
      </c>
      <c r="N269" s="20">
        <f>IFERROR(__xludf.DUMMYFUNCTION("if(isblank(A269),,googlefinance(A269))"),111.6)</f>
        <v>111.6</v>
      </c>
      <c r="O269" s="50" t="str">
        <f t="shared" si="11"/>
        <v>Completed</v>
      </c>
      <c r="P269" s="42" t="str">
        <f t="shared" si="4"/>
        <v>Profit</v>
      </c>
      <c r="Q269" s="43">
        <f t="shared" si="5"/>
        <v>29.7</v>
      </c>
      <c r="R269" s="17" t="b">
        <f t="shared" si="6"/>
        <v>1</v>
      </c>
      <c r="S269" s="17">
        <f t="shared" si="12"/>
        <v>2.7</v>
      </c>
      <c r="T269" s="22">
        <f t="shared" si="8"/>
        <v>11</v>
      </c>
      <c r="U269" s="24"/>
      <c r="V269" s="24"/>
      <c r="W269" s="24"/>
      <c r="X269" s="24"/>
      <c r="Y269" s="24"/>
      <c r="Z269" s="24"/>
      <c r="AA269" s="24"/>
    </row>
    <row r="270" ht="12.0" hidden="1" customHeight="1">
      <c r="A270" s="24" t="s">
        <v>115</v>
      </c>
      <c r="B270" s="55">
        <v>12.0</v>
      </c>
      <c r="C270" s="55">
        <v>381.22</v>
      </c>
      <c r="D270" s="55">
        <v>41.667</v>
      </c>
      <c r="E270" s="55">
        <v>3.258</v>
      </c>
      <c r="F270" s="55" t="s">
        <v>208</v>
      </c>
      <c r="G270" s="55"/>
      <c r="H270" s="55" t="s">
        <v>228</v>
      </c>
      <c r="I270" s="55"/>
      <c r="J270" s="35" t="str">
        <f t="shared" si="14"/>
        <v>2024/01/13</v>
      </c>
      <c r="K270" s="18">
        <f>IFERROR(__xludf.DUMMYFUNCTION("if(isblank(J270),,index(googlefinance(A270,K$2,J270-1),2,2))"),204.18)</f>
        <v>204.18</v>
      </c>
      <c r="L270" s="49" t="str">
        <f t="shared" si="2"/>
        <v>2024/02/16</v>
      </c>
      <c r="M270" s="19">
        <f>IFERROR(__xludf.DUMMYFUNCTION("if(isblank(L270),, index(googlefinance(A270,M$2,L270-1),2,2))"),197.82)</f>
        <v>197.82</v>
      </c>
      <c r="N270" s="20">
        <f>IFERROR(__xludf.DUMMYFUNCTION("if(isblank(A270),,googlefinance(A270))"),194.24)</f>
        <v>194.24</v>
      </c>
      <c r="O270" s="50" t="str">
        <f t="shared" si="11"/>
        <v>Completed</v>
      </c>
      <c r="P270" s="42" t="str">
        <f t="shared" si="4"/>
        <v>Loss</v>
      </c>
      <c r="Q270" s="43">
        <f t="shared" si="5"/>
        <v>-25.44</v>
      </c>
      <c r="R270" s="17" t="b">
        <f t="shared" si="6"/>
        <v>0</v>
      </c>
      <c r="S270" s="17">
        <f t="shared" si="12"/>
        <v>-6.36</v>
      </c>
      <c r="T270" s="22">
        <f t="shared" si="8"/>
        <v>4</v>
      </c>
      <c r="U270" s="24"/>
      <c r="V270" s="24"/>
      <c r="W270" s="24"/>
      <c r="X270" s="24"/>
      <c r="Y270" s="24"/>
      <c r="Z270" s="24"/>
      <c r="AA270" s="24"/>
    </row>
    <row r="271" ht="15.75" hidden="1" customHeight="1">
      <c r="A271" s="24" t="s">
        <v>38</v>
      </c>
      <c r="B271" s="55">
        <v>6.0</v>
      </c>
      <c r="C271" s="55">
        <v>37.09</v>
      </c>
      <c r="D271" s="55">
        <v>50.0</v>
      </c>
      <c r="E271" s="55">
        <v>1.323</v>
      </c>
      <c r="F271" s="55"/>
      <c r="G271" s="55" t="s">
        <v>206</v>
      </c>
      <c r="H271" s="55"/>
      <c r="I271" s="55" t="s">
        <v>214</v>
      </c>
      <c r="J271" s="35" t="str">
        <f t="shared" si="14"/>
        <v>2024/01/16</v>
      </c>
      <c r="K271" s="18">
        <f>IFERROR(__xludf.DUMMYFUNCTION("if(isblank(J271),,index(googlefinance(A271,K$2,J271-1),2,2))"),104.82)</f>
        <v>104.82</v>
      </c>
      <c r="L271" s="49" t="str">
        <f t="shared" si="2"/>
        <v>2024/01/25</v>
      </c>
      <c r="M271" s="19">
        <f>IFERROR(__xludf.DUMMYFUNCTION("if(isblank(L271),, index(googlefinance(A271,M$2,L271-1),2,2))"),104.46)</f>
        <v>104.46</v>
      </c>
      <c r="N271" s="20">
        <f>IFERROR(__xludf.DUMMYFUNCTION("if(isblank(A271),,googlefinance(A271))"),122.22)</f>
        <v>122.22</v>
      </c>
      <c r="O271" s="50" t="str">
        <f t="shared" si="11"/>
        <v>Completed</v>
      </c>
      <c r="P271" s="42" t="str">
        <f t="shared" si="4"/>
        <v>Profit</v>
      </c>
      <c r="Q271" s="43">
        <f t="shared" si="5"/>
        <v>3.24</v>
      </c>
      <c r="R271" s="17" t="b">
        <f t="shared" si="6"/>
        <v>1</v>
      </c>
      <c r="S271" s="17">
        <f t="shared" si="12"/>
        <v>-0.36</v>
      </c>
      <c r="T271" s="22">
        <f t="shared" si="8"/>
        <v>9</v>
      </c>
      <c r="U271" s="24"/>
      <c r="V271" s="24"/>
      <c r="W271" s="24"/>
      <c r="X271" s="24"/>
      <c r="Y271" s="24"/>
      <c r="Z271" s="24"/>
      <c r="AA271" s="24"/>
    </row>
    <row r="272" ht="15.75" hidden="1" customHeight="1">
      <c r="A272" s="24" t="s">
        <v>155</v>
      </c>
      <c r="B272" s="55">
        <v>11.0</v>
      </c>
      <c r="C272" s="55">
        <v>394.67</v>
      </c>
      <c r="D272" s="55">
        <v>45.455</v>
      </c>
      <c r="E272" s="55">
        <v>2.57</v>
      </c>
      <c r="F272" s="55"/>
      <c r="G272" s="55" t="s">
        <v>206</v>
      </c>
      <c r="H272" s="55"/>
      <c r="I272" s="55" t="s">
        <v>201</v>
      </c>
      <c r="J272" s="35" t="str">
        <f t="shared" si="14"/>
        <v>2024/01/16</v>
      </c>
      <c r="K272" s="18">
        <f>IFERROR(__xludf.DUMMYFUNCTION("if(isblank(J272),,index(googlefinance(A272,K$2,J272-1),2,2))"),53.66)</f>
        <v>53.66</v>
      </c>
      <c r="L272" s="49" t="str">
        <f t="shared" si="2"/>
        <v>2024/01/18</v>
      </c>
      <c r="M272" s="19">
        <f>IFERROR(__xludf.DUMMYFUNCTION("if(isblank(L272),, index(googlefinance(A272,M$2,L272-1),2,2))"),53.57)</f>
        <v>53.57</v>
      </c>
      <c r="N272" s="20">
        <f>IFERROR(__xludf.DUMMYFUNCTION("if(isblank(A272),,googlefinance(A272))"),62.82)</f>
        <v>62.82</v>
      </c>
      <c r="O272" s="50" t="str">
        <f t="shared" si="11"/>
        <v>Completed</v>
      </c>
      <c r="P272" s="42" t="str">
        <f t="shared" si="4"/>
        <v>Profit</v>
      </c>
      <c r="Q272" s="43">
        <f t="shared" si="5"/>
        <v>1.62</v>
      </c>
      <c r="R272" s="17" t="b">
        <f t="shared" si="6"/>
        <v>1</v>
      </c>
      <c r="S272" s="17">
        <f t="shared" si="12"/>
        <v>-0.09</v>
      </c>
      <c r="T272" s="22">
        <f t="shared" si="8"/>
        <v>18</v>
      </c>
      <c r="U272" s="24"/>
      <c r="V272" s="24"/>
      <c r="W272" s="24"/>
      <c r="X272" s="24"/>
      <c r="Y272" s="24"/>
      <c r="Z272" s="24"/>
      <c r="AA272" s="24"/>
    </row>
    <row r="273" ht="15.75" hidden="1" customHeight="1">
      <c r="A273" s="24" t="s">
        <v>98</v>
      </c>
      <c r="B273" s="55">
        <v>12.0</v>
      </c>
      <c r="C273" s="55">
        <v>198.34</v>
      </c>
      <c r="D273" s="55">
        <v>41.667</v>
      </c>
      <c r="E273" s="55">
        <v>2.063</v>
      </c>
      <c r="F273" s="55"/>
      <c r="G273" s="55" t="s">
        <v>194</v>
      </c>
      <c r="H273" s="55"/>
      <c r="I273" s="55" t="s">
        <v>221</v>
      </c>
      <c r="J273" s="35" t="str">
        <f t="shared" si="14"/>
        <v>2024/01/19</v>
      </c>
      <c r="K273" s="18">
        <f>IFERROR(__xludf.DUMMYFUNCTION("if(isblank(J273),,index(googlefinance(A273,K$2,J273-1),2,2))"),381.06)</f>
        <v>381.06</v>
      </c>
      <c r="L273" s="49" t="str">
        <f t="shared" si="2"/>
        <v>2024/02/06</v>
      </c>
      <c r="M273" s="19">
        <f>IFERROR(__xludf.DUMMYFUNCTION("if(isblank(L273),, index(googlefinance(A273,M$2,L273-1),2,2))"),351.1)</f>
        <v>351.1</v>
      </c>
      <c r="N273" s="20">
        <f>IFERROR(__xludf.DUMMYFUNCTION("if(isblank(A273),,googlefinance(A273))"),401.72)</f>
        <v>401.72</v>
      </c>
      <c r="O273" s="50" t="str">
        <f t="shared" si="11"/>
        <v>Completed</v>
      </c>
      <c r="P273" s="42" t="str">
        <f t="shared" si="4"/>
        <v>Profit</v>
      </c>
      <c r="Q273" s="43">
        <f t="shared" si="5"/>
        <v>59.92</v>
      </c>
      <c r="R273" s="17" t="b">
        <f t="shared" si="6"/>
        <v>1</v>
      </c>
      <c r="S273" s="17">
        <f t="shared" si="12"/>
        <v>-29.96</v>
      </c>
      <c r="T273" s="22">
        <f t="shared" si="8"/>
        <v>2</v>
      </c>
      <c r="U273" s="24"/>
      <c r="V273" s="24"/>
      <c r="W273" s="24"/>
      <c r="X273" s="24"/>
      <c r="Y273" s="24"/>
      <c r="Z273" s="24"/>
      <c r="AA273" s="24"/>
    </row>
    <row r="274" ht="15.75" customHeight="1">
      <c r="A274" s="24" t="s">
        <v>182</v>
      </c>
      <c r="B274" s="55">
        <v>8.0</v>
      </c>
      <c r="C274" s="55">
        <v>167.69</v>
      </c>
      <c r="D274" s="55">
        <v>75.0</v>
      </c>
      <c r="E274" s="55">
        <v>6.792</v>
      </c>
      <c r="F274" s="55"/>
      <c r="G274" s="55" t="s">
        <v>210</v>
      </c>
      <c r="H274" s="55"/>
      <c r="I274" s="55"/>
      <c r="J274" s="35" t="str">
        <f t="shared" si="14"/>
        <v>2024/01/22</v>
      </c>
      <c r="K274" s="18">
        <f>IFERROR(__xludf.DUMMYFUNCTION("if(isblank(J274),,index(googlefinance(A274,K$2,J274-1),2,2))"),78.43)</f>
        <v>78.43</v>
      </c>
      <c r="L274" s="49" t="str">
        <f t="shared" si="2"/>
        <v/>
      </c>
      <c r="M274" s="19" t="str">
        <f>IFERROR(__xludf.DUMMYFUNCTION("if(isblank(L274),, index(googlefinance(A274,M$2,L274-1),2,2))"),"")</f>
        <v/>
      </c>
      <c r="N274" s="20">
        <f>IFERROR(__xludf.DUMMYFUNCTION("if(isblank(A274),,googlefinance(A274))"),71.58)</f>
        <v>71.58</v>
      </c>
      <c r="O274" s="50" t="str">
        <f t="shared" si="11"/>
        <v>Ongoing</v>
      </c>
      <c r="P274" s="42" t="str">
        <f t="shared" si="4"/>
        <v>Profit</v>
      </c>
      <c r="Q274" s="43">
        <f t="shared" si="5"/>
        <v>82.2</v>
      </c>
      <c r="R274" s="17" t="b">
        <f t="shared" si="6"/>
        <v>1</v>
      </c>
      <c r="S274" s="17">
        <f t="shared" si="12"/>
        <v>-6.85</v>
      </c>
      <c r="T274" s="22">
        <f t="shared" si="8"/>
        <v>12</v>
      </c>
      <c r="U274" s="24"/>
      <c r="V274" s="24"/>
      <c r="W274" s="24"/>
      <c r="X274" s="24"/>
      <c r="Y274" s="24"/>
      <c r="Z274" s="24"/>
      <c r="AA274" s="24"/>
    </row>
    <row r="275" ht="15.75" hidden="1" customHeight="1">
      <c r="A275" s="24" t="s">
        <v>188</v>
      </c>
      <c r="B275" s="55">
        <v>16.0</v>
      </c>
      <c r="C275" s="55">
        <v>140.11</v>
      </c>
      <c r="D275" s="55">
        <v>31.25</v>
      </c>
      <c r="E275" s="55">
        <v>1.339</v>
      </c>
      <c r="F275" s="55" t="s">
        <v>210</v>
      </c>
      <c r="G275" s="55"/>
      <c r="H275" s="55" t="s">
        <v>229</v>
      </c>
      <c r="I275" s="55"/>
      <c r="J275" s="35" t="str">
        <f t="shared" si="14"/>
        <v>2024/01/22</v>
      </c>
      <c r="K275" s="18">
        <f>IFERROR(__xludf.DUMMYFUNCTION("if(isblank(J275),,index(googlefinance(A275,K$2,J275-1),2,2))"),115.43)</f>
        <v>115.43</v>
      </c>
      <c r="L275" s="49" t="str">
        <f t="shared" si="2"/>
        <v>2024/02/13</v>
      </c>
      <c r="M275" s="19">
        <f>IFERROR(__xludf.DUMMYFUNCTION("if(isblank(L275),, index(googlefinance(A275,M$2,L275-1),2,2))"),123.81)</f>
        <v>123.81</v>
      </c>
      <c r="N275" s="20">
        <f>IFERROR(__xludf.DUMMYFUNCTION("if(isblank(A275),,googlefinance(A275))"),123.34)</f>
        <v>123.34</v>
      </c>
      <c r="O275" s="50" t="str">
        <f t="shared" si="11"/>
        <v>Completed</v>
      </c>
      <c r="P275" s="42" t="str">
        <f t="shared" si="4"/>
        <v>Profit</v>
      </c>
      <c r="Q275" s="43">
        <f t="shared" si="5"/>
        <v>67.04</v>
      </c>
      <c r="R275" s="17" t="b">
        <f t="shared" si="6"/>
        <v>1</v>
      </c>
      <c r="S275" s="17">
        <f t="shared" si="12"/>
        <v>8.38</v>
      </c>
      <c r="T275" s="22">
        <f t="shared" si="8"/>
        <v>8</v>
      </c>
      <c r="U275" s="24"/>
      <c r="V275" s="24"/>
      <c r="W275" s="24"/>
      <c r="X275" s="24"/>
      <c r="Y275" s="24"/>
      <c r="Z275" s="24"/>
      <c r="AA275" s="24"/>
    </row>
    <row r="276" ht="15.75" hidden="1" customHeight="1">
      <c r="A276" s="24" t="s">
        <v>129</v>
      </c>
      <c r="B276" s="55">
        <v>7.0</v>
      </c>
      <c r="C276" s="55">
        <v>170.68</v>
      </c>
      <c r="D276" s="55">
        <v>71.429</v>
      </c>
      <c r="E276" s="55">
        <v>5.658</v>
      </c>
      <c r="F276" s="55" t="s">
        <v>217</v>
      </c>
      <c r="G276" s="55"/>
      <c r="H276" s="55" t="s">
        <v>224</v>
      </c>
      <c r="I276" s="55"/>
      <c r="J276" s="35" t="str">
        <f t="shared" si="14"/>
        <v>2024/01/23</v>
      </c>
      <c r="K276" s="18">
        <f>IFERROR(__xludf.DUMMYFUNCTION("if(isblank(J276),,index(googlefinance(A276,K$2,J276-1),2,2))"),63.18)</f>
        <v>63.18</v>
      </c>
      <c r="L276" s="49" t="str">
        <f t="shared" si="2"/>
        <v>2024/01/24</v>
      </c>
      <c r="M276" s="19">
        <f>IFERROR(__xludf.DUMMYFUNCTION("if(isblank(L276),, index(googlefinance(A276,M$2,L276-1),2,2))"),64.75)</f>
        <v>64.75</v>
      </c>
      <c r="N276" s="20">
        <f>IFERROR(__xludf.DUMMYFUNCTION("if(isblank(A276),,googlefinance(A276))"),64.1)</f>
        <v>64.1</v>
      </c>
      <c r="O276" s="50" t="str">
        <f t="shared" si="11"/>
        <v>Completed</v>
      </c>
      <c r="P276" s="42" t="str">
        <f t="shared" si="4"/>
        <v>Profit</v>
      </c>
      <c r="Q276" s="43">
        <f t="shared" si="5"/>
        <v>23.55</v>
      </c>
      <c r="R276" s="17" t="b">
        <f t="shared" si="6"/>
        <v>1</v>
      </c>
      <c r="S276" s="17">
        <f t="shared" si="12"/>
        <v>1.57</v>
      </c>
      <c r="T276" s="22">
        <f t="shared" si="8"/>
        <v>15</v>
      </c>
      <c r="U276" s="24"/>
      <c r="V276" s="24"/>
      <c r="W276" s="24"/>
      <c r="X276" s="24"/>
      <c r="Y276" s="24"/>
      <c r="Z276" s="24"/>
      <c r="AA276" s="24"/>
    </row>
    <row r="277" ht="15.75" hidden="1" customHeight="1">
      <c r="A277" s="24" t="s">
        <v>111</v>
      </c>
      <c r="B277" s="55">
        <v>16.0</v>
      </c>
      <c r="C277" s="55">
        <v>122.08</v>
      </c>
      <c r="D277" s="55">
        <v>25.0</v>
      </c>
      <c r="E277" s="55">
        <v>1.428</v>
      </c>
      <c r="F277" s="55" t="s">
        <v>217</v>
      </c>
      <c r="G277" s="55"/>
      <c r="H277" s="55" t="s">
        <v>230</v>
      </c>
      <c r="I277" s="55"/>
      <c r="J277" s="35" t="str">
        <f t="shared" si="14"/>
        <v>2024/01/23</v>
      </c>
      <c r="K277" s="18">
        <f>IFERROR(__xludf.DUMMYFUNCTION("if(isblank(J277),,index(googlefinance(A277,K$2,J277-1),2,2))"),34.43)</f>
        <v>34.43</v>
      </c>
      <c r="L277" s="49" t="str">
        <f t="shared" si="2"/>
        <v>2024/01/31</v>
      </c>
      <c r="M277" s="19">
        <f>IFERROR(__xludf.DUMMYFUNCTION("if(isblank(L277),, index(googlefinance(A277,M$2,L277-1),2,2))"),36.81)</f>
        <v>36.81</v>
      </c>
      <c r="N277" s="20">
        <f>IFERROR(__xludf.DUMMYFUNCTION("if(isblank(A277),,googlefinance(A277))"),35.31)</f>
        <v>35.31</v>
      </c>
      <c r="O277" s="50" t="str">
        <f t="shared" si="11"/>
        <v>Completed</v>
      </c>
      <c r="P277" s="42" t="str">
        <f t="shared" si="4"/>
        <v>Profit</v>
      </c>
      <c r="Q277" s="43">
        <f t="shared" si="5"/>
        <v>69.02</v>
      </c>
      <c r="R277" s="17" t="b">
        <f t="shared" si="6"/>
        <v>1</v>
      </c>
      <c r="S277" s="17">
        <f t="shared" si="12"/>
        <v>2.38</v>
      </c>
      <c r="T277" s="22">
        <f t="shared" si="8"/>
        <v>29</v>
      </c>
      <c r="U277" s="24"/>
      <c r="V277" s="24"/>
      <c r="W277" s="24"/>
      <c r="X277" s="24"/>
      <c r="Y277" s="24"/>
      <c r="Z277" s="24"/>
      <c r="AA277" s="24"/>
    </row>
    <row r="278" ht="15.75" hidden="1" customHeight="1">
      <c r="A278" s="24" t="s">
        <v>47</v>
      </c>
      <c r="B278" s="55">
        <v>9.0</v>
      </c>
      <c r="C278" s="55">
        <v>241.33</v>
      </c>
      <c r="D278" s="55">
        <v>55.556</v>
      </c>
      <c r="E278" s="55">
        <v>6.677</v>
      </c>
      <c r="F278" s="55"/>
      <c r="G278" s="55" t="s">
        <v>224</v>
      </c>
      <c r="H278" s="55"/>
      <c r="I278" s="55" t="s">
        <v>227</v>
      </c>
      <c r="J278" s="35" t="str">
        <f t="shared" si="14"/>
        <v>2024/01/24</v>
      </c>
      <c r="K278" s="18">
        <f>IFERROR(__xludf.DUMMYFUNCTION("if(isblank(J278),,index(googlefinance(A278,K$2,J278-1),2,2))"),199.18)</f>
        <v>199.18</v>
      </c>
      <c r="L278" s="49" t="str">
        <f t="shared" si="2"/>
        <v>2024/01/30</v>
      </c>
      <c r="M278" s="19">
        <f>IFERROR(__xludf.DUMMYFUNCTION("if(isblank(L278),, index(googlefinance(A278,M$2,L278-1),2,2))"),199.25)</f>
        <v>199.25</v>
      </c>
      <c r="N278" s="20">
        <f>IFERROR(__xludf.DUMMYFUNCTION("if(isblank(A278),,googlefinance(A278))"),215.38)</f>
        <v>215.38</v>
      </c>
      <c r="O278" s="50" t="str">
        <f t="shared" si="11"/>
        <v>Completed</v>
      </c>
      <c r="P278" s="42" t="str">
        <f t="shared" si="4"/>
        <v>Loss</v>
      </c>
      <c r="Q278" s="43">
        <f t="shared" si="5"/>
        <v>-0.35</v>
      </c>
      <c r="R278" s="17" t="b">
        <f t="shared" si="6"/>
        <v>0</v>
      </c>
      <c r="S278" s="17">
        <f t="shared" si="12"/>
        <v>0.07</v>
      </c>
      <c r="T278" s="22">
        <f t="shared" si="8"/>
        <v>5</v>
      </c>
      <c r="U278" s="24"/>
      <c r="V278" s="24"/>
      <c r="W278" s="24"/>
      <c r="X278" s="24"/>
      <c r="Y278" s="24"/>
      <c r="Z278" s="24"/>
      <c r="AA278" s="24"/>
    </row>
    <row r="279" ht="15.75" hidden="1" customHeight="1">
      <c r="A279" s="24" t="s">
        <v>78</v>
      </c>
      <c r="B279" s="55">
        <v>8.0</v>
      </c>
      <c r="C279" s="55">
        <v>88.8</v>
      </c>
      <c r="D279" s="55">
        <v>37.5</v>
      </c>
      <c r="E279" s="55">
        <v>1.737</v>
      </c>
      <c r="F279" s="55" t="s">
        <v>224</v>
      </c>
      <c r="G279" s="55"/>
      <c r="H279" s="55" t="s">
        <v>231</v>
      </c>
      <c r="I279" s="55"/>
      <c r="J279" s="35" t="str">
        <f t="shared" si="14"/>
        <v>2024/01/24</v>
      </c>
      <c r="K279" s="18">
        <f>IFERROR(__xludf.DUMMYFUNCTION("if(isblank(J279),,index(googlefinance(A279,K$2,J279-1),2,2))"),97.91)</f>
        <v>97.91</v>
      </c>
      <c r="L279" s="49" t="str">
        <f t="shared" si="2"/>
        <v>2024/02/05</v>
      </c>
      <c r="M279" s="19">
        <f>IFERROR(__xludf.DUMMYFUNCTION("if(isblank(L279),, index(googlefinance(A279,M$2,L279-1),2,2))"),101.55)</f>
        <v>101.55</v>
      </c>
      <c r="N279" s="20">
        <f>IFERROR(__xludf.DUMMYFUNCTION("if(isblank(A279),,googlefinance(A279))"),103.73)</f>
        <v>103.73</v>
      </c>
      <c r="O279" s="50" t="str">
        <f t="shared" si="11"/>
        <v>Completed</v>
      </c>
      <c r="P279" s="42" t="str">
        <f t="shared" si="4"/>
        <v>Profit</v>
      </c>
      <c r="Q279" s="43">
        <f t="shared" si="5"/>
        <v>36.4</v>
      </c>
      <c r="R279" s="17" t="b">
        <f t="shared" si="6"/>
        <v>1</v>
      </c>
      <c r="S279" s="17">
        <f t="shared" si="12"/>
        <v>3.64</v>
      </c>
      <c r="T279" s="22">
        <f t="shared" si="8"/>
        <v>10</v>
      </c>
      <c r="U279" s="24"/>
      <c r="V279" s="24"/>
      <c r="W279" s="24"/>
      <c r="X279" s="24"/>
      <c r="Y279" s="24"/>
      <c r="Z279" s="24"/>
      <c r="AA279" s="24"/>
    </row>
    <row r="280" ht="15.75" hidden="1" customHeight="1">
      <c r="A280" s="24" t="s">
        <v>232</v>
      </c>
      <c r="B280" s="55">
        <v>10.0</v>
      </c>
      <c r="C280" s="55">
        <v>24.68</v>
      </c>
      <c r="D280" s="55">
        <v>30.0</v>
      </c>
      <c r="E280" s="55">
        <v>1.12</v>
      </c>
      <c r="F280" s="55"/>
      <c r="G280" s="55" t="s">
        <v>214</v>
      </c>
      <c r="H280" s="55"/>
      <c r="I280" s="55" t="s">
        <v>228</v>
      </c>
      <c r="J280" s="35" t="str">
        <f t="shared" si="14"/>
        <v>2024/01/25</v>
      </c>
      <c r="K280" s="18">
        <f>IFERROR(__xludf.DUMMYFUNCTION("if(isblank(J280),,index(googlefinance(A280,K$2,J280-1),2,2))"),347.27)</f>
        <v>347.27</v>
      </c>
      <c r="L280" s="49" t="str">
        <f t="shared" si="2"/>
        <v>2024/02/16</v>
      </c>
      <c r="M280" s="19" t="str">
        <f>IFERROR(__xludf.DUMMYFUNCTION("if(isblank(L280),, index(googlefinance(A280,M$2,L280-1),2,2))"),"#N/A")</f>
        <v>#N/A</v>
      </c>
      <c r="N280" s="20">
        <f>IFERROR(__xludf.DUMMYFUNCTION("if(isblank(A280),,googlefinance(A280))"),362.35)</f>
        <v>362.35</v>
      </c>
      <c r="O280" s="50" t="str">
        <f t="shared" si="11"/>
        <v>Completed</v>
      </c>
      <c r="P280" s="42" t="str">
        <f t="shared" si="4"/>
        <v>#N/A</v>
      </c>
      <c r="Q280" s="43" t="str">
        <f t="shared" si="5"/>
        <v>#N/A</v>
      </c>
      <c r="R280" s="17" t="str">
        <f t="shared" si="6"/>
        <v>#N/A</v>
      </c>
      <c r="S280" s="17" t="str">
        <f t="shared" si="12"/>
        <v>#N/A</v>
      </c>
      <c r="T280" s="22">
        <f t="shared" si="8"/>
        <v>2</v>
      </c>
      <c r="U280" s="24"/>
      <c r="V280" s="24"/>
      <c r="W280" s="24"/>
      <c r="X280" s="24"/>
      <c r="Y280" s="24"/>
      <c r="Z280" s="24"/>
      <c r="AA280" s="24"/>
    </row>
    <row r="281" ht="15.75" hidden="1" customHeight="1">
      <c r="A281" s="24" t="s">
        <v>155</v>
      </c>
      <c r="B281" s="55">
        <v>11.0</v>
      </c>
      <c r="C281" s="55">
        <v>394.67</v>
      </c>
      <c r="D281" s="55">
        <v>45.455</v>
      </c>
      <c r="E281" s="55">
        <v>2.57</v>
      </c>
      <c r="F281" s="55"/>
      <c r="G281" s="55" t="s">
        <v>214</v>
      </c>
      <c r="H281" s="55"/>
      <c r="I281" s="55" t="s">
        <v>227</v>
      </c>
      <c r="J281" s="35" t="str">
        <f t="shared" si="14"/>
        <v>2024/01/25</v>
      </c>
      <c r="K281" s="18">
        <f>IFERROR(__xludf.DUMMYFUNCTION("if(isblank(J281),,index(googlefinance(A281,K$2,J281-1),2,2))"),56.34)</f>
        <v>56.34</v>
      </c>
      <c r="L281" s="49" t="str">
        <f t="shared" si="2"/>
        <v>2024/01/30</v>
      </c>
      <c r="M281" s="19">
        <f>IFERROR(__xludf.DUMMYFUNCTION("if(isblank(L281),, index(googlefinance(A281,M$2,L281-1),2,2))"),55.78)</f>
        <v>55.78</v>
      </c>
      <c r="N281" s="20">
        <f>IFERROR(__xludf.DUMMYFUNCTION("if(isblank(A281),,googlefinance(A281))"),62.82)</f>
        <v>62.82</v>
      </c>
      <c r="O281" s="50" t="str">
        <f t="shared" si="11"/>
        <v>Completed</v>
      </c>
      <c r="P281" s="42" t="str">
        <f t="shared" si="4"/>
        <v>Profit</v>
      </c>
      <c r="Q281" s="43">
        <f t="shared" si="5"/>
        <v>9.52</v>
      </c>
      <c r="R281" s="17" t="b">
        <f t="shared" si="6"/>
        <v>1</v>
      </c>
      <c r="S281" s="17">
        <f t="shared" si="12"/>
        <v>-0.56</v>
      </c>
      <c r="T281" s="22">
        <f t="shared" si="8"/>
        <v>17</v>
      </c>
      <c r="U281" s="24"/>
      <c r="V281" s="24"/>
      <c r="W281" s="24"/>
      <c r="X281" s="24"/>
      <c r="Y281" s="24"/>
      <c r="Z281" s="24"/>
      <c r="AA281" s="24"/>
    </row>
    <row r="282" ht="15.75" hidden="1" customHeight="1">
      <c r="A282" s="24" t="s">
        <v>62</v>
      </c>
      <c r="B282" s="55">
        <v>9.0</v>
      </c>
      <c r="C282" s="55">
        <v>255.34</v>
      </c>
      <c r="D282" s="55">
        <v>33.333</v>
      </c>
      <c r="E282" s="55">
        <v>2.739</v>
      </c>
      <c r="F282" s="55" t="s">
        <v>233</v>
      </c>
      <c r="G282" s="55"/>
      <c r="H282" s="55" t="s">
        <v>230</v>
      </c>
      <c r="I282" s="55"/>
      <c r="J282" s="35" t="str">
        <f t="shared" si="14"/>
        <v>2024/01/26</v>
      </c>
      <c r="K282" s="18">
        <f>IFERROR(__xludf.DUMMYFUNCTION("if(isblank(J282),,index(googlefinance(A282,K$2,J282-1),2,2))"),42.49)</f>
        <v>42.49</v>
      </c>
      <c r="L282" s="49" t="str">
        <f t="shared" si="2"/>
        <v>2024/01/31</v>
      </c>
      <c r="M282" s="19">
        <f>IFERROR(__xludf.DUMMYFUNCTION("if(isblank(L282),, index(googlefinance(A282,M$2,L282-1),2,2))"),43.32)</f>
        <v>43.32</v>
      </c>
      <c r="N282" s="20">
        <f>IFERROR(__xludf.DUMMYFUNCTION("if(isblank(A282),,googlefinance(A282))"),43.46)</f>
        <v>43.46</v>
      </c>
      <c r="O282" s="50" t="str">
        <f t="shared" si="11"/>
        <v>Completed</v>
      </c>
      <c r="P282" s="42" t="str">
        <f t="shared" si="4"/>
        <v>Profit</v>
      </c>
      <c r="Q282" s="43">
        <f t="shared" si="5"/>
        <v>19.09</v>
      </c>
      <c r="R282" s="17" t="b">
        <f t="shared" si="6"/>
        <v>1</v>
      </c>
      <c r="S282" s="17">
        <f t="shared" si="12"/>
        <v>0.83</v>
      </c>
      <c r="T282" s="22">
        <f t="shared" si="8"/>
        <v>23</v>
      </c>
      <c r="U282" s="24"/>
      <c r="V282" s="24"/>
      <c r="W282" s="24"/>
      <c r="X282" s="24"/>
      <c r="Y282" s="24"/>
      <c r="Z282" s="24"/>
      <c r="AA282" s="24"/>
    </row>
    <row r="283" ht="15.75" hidden="1" customHeight="1">
      <c r="A283" s="24" t="s">
        <v>204</v>
      </c>
      <c r="B283" s="55">
        <v>14.0</v>
      </c>
      <c r="C283" s="55">
        <v>53.21</v>
      </c>
      <c r="D283" s="55">
        <v>21.429</v>
      </c>
      <c r="E283" s="55">
        <v>1.089</v>
      </c>
      <c r="F283" s="55"/>
      <c r="G283" s="55" t="s">
        <v>233</v>
      </c>
      <c r="H283" s="55"/>
      <c r="I283" s="55" t="s">
        <v>231</v>
      </c>
      <c r="J283" s="35" t="str">
        <f t="shared" si="14"/>
        <v>2024/01/26</v>
      </c>
      <c r="K283" s="18">
        <f>IFERROR(__xludf.DUMMYFUNCTION("if(isblank(J283),,index(googlefinance(A283,K$2,J283-1),2,2))"),865.6)</f>
        <v>865.6</v>
      </c>
      <c r="L283" s="49" t="str">
        <f t="shared" si="2"/>
        <v>2024/02/05</v>
      </c>
      <c r="M283" s="19">
        <f>IFERROR(__xludf.DUMMYFUNCTION("if(isblank(L283),, index(googlefinance(A283,M$2,L283-1),2,2))"),851.32)</f>
        <v>851.32</v>
      </c>
      <c r="N283" s="20">
        <f>IFERROR(__xludf.DUMMYFUNCTION("if(isblank(A283),,googlefinance(A283))"),926.03)</f>
        <v>926.03</v>
      </c>
      <c r="O283" s="50" t="str">
        <f t="shared" si="11"/>
        <v>Completed</v>
      </c>
      <c r="P283" s="42" t="str">
        <f t="shared" si="4"/>
        <v>Profit</v>
      </c>
      <c r="Q283" s="43">
        <f t="shared" si="5"/>
        <v>14.28</v>
      </c>
      <c r="R283" s="17" t="b">
        <f t="shared" si="6"/>
        <v>1</v>
      </c>
      <c r="S283" s="17">
        <f t="shared" si="12"/>
        <v>-14.28</v>
      </c>
      <c r="T283" s="22">
        <f t="shared" si="8"/>
        <v>1</v>
      </c>
      <c r="U283" s="24"/>
      <c r="V283" s="24"/>
      <c r="W283" s="24"/>
      <c r="X283" s="24"/>
      <c r="Y283" s="24"/>
      <c r="Z283" s="24"/>
      <c r="AA283" s="24"/>
    </row>
    <row r="284" ht="15.75" hidden="1" customHeight="1">
      <c r="A284" s="24" t="s">
        <v>234</v>
      </c>
      <c r="B284" s="55">
        <v>12.0</v>
      </c>
      <c r="C284" s="55">
        <v>236.33</v>
      </c>
      <c r="D284" s="55">
        <v>41.667</v>
      </c>
      <c r="E284" s="55">
        <v>1.747</v>
      </c>
      <c r="F284" s="55"/>
      <c r="G284" s="55" t="s">
        <v>233</v>
      </c>
      <c r="H284" s="55"/>
      <c r="I284" s="55" t="s">
        <v>221</v>
      </c>
      <c r="J284" s="35" t="str">
        <f t="shared" si="14"/>
        <v>2024/01/26</v>
      </c>
      <c r="K284" s="18">
        <f>IFERROR(__xludf.DUMMYFUNCTION("if(isblank(J284),,index(googlefinance(A284,K$2,J284-1),2,2))"),30.39)</f>
        <v>30.39</v>
      </c>
      <c r="L284" s="49" t="str">
        <f t="shared" si="2"/>
        <v>2024/02/06</v>
      </c>
      <c r="M284" s="19">
        <f>IFERROR(__xludf.DUMMYFUNCTION("if(isblank(L284),, index(googlefinance(A284,M$2,L284-1),2,2))"),29.75)</f>
        <v>29.75</v>
      </c>
      <c r="N284" s="20">
        <f>IFERROR(__xludf.DUMMYFUNCTION("if(isblank(A284),,googlefinance(A284))"),33.93)</f>
        <v>33.93</v>
      </c>
      <c r="O284" s="50" t="str">
        <f t="shared" si="11"/>
        <v>Completed</v>
      </c>
      <c r="P284" s="42" t="str">
        <f t="shared" si="4"/>
        <v>Profit</v>
      </c>
      <c r="Q284" s="43">
        <f t="shared" si="5"/>
        <v>20.48</v>
      </c>
      <c r="R284" s="17" t="b">
        <f t="shared" si="6"/>
        <v>1</v>
      </c>
      <c r="S284" s="17">
        <f t="shared" si="12"/>
        <v>-0.64</v>
      </c>
      <c r="T284" s="22">
        <f t="shared" si="8"/>
        <v>32</v>
      </c>
      <c r="U284" s="24"/>
      <c r="V284" s="24"/>
      <c r="W284" s="24"/>
      <c r="X284" s="24"/>
      <c r="Y284" s="24"/>
      <c r="Z284" s="24"/>
      <c r="AA284" s="24"/>
    </row>
    <row r="285" ht="15.75" hidden="1" customHeight="1">
      <c r="A285" s="24" t="s">
        <v>56</v>
      </c>
      <c r="B285" s="55">
        <v>11.0</v>
      </c>
      <c r="C285" s="55">
        <v>112.19</v>
      </c>
      <c r="D285" s="55">
        <v>45.455</v>
      </c>
      <c r="E285" s="55">
        <v>2.323</v>
      </c>
      <c r="F285" s="55" t="s">
        <v>233</v>
      </c>
      <c r="G285" s="55"/>
      <c r="H285" s="55" t="s">
        <v>229</v>
      </c>
      <c r="I285" s="55"/>
      <c r="J285" s="35" t="str">
        <f t="shared" si="14"/>
        <v>2024/01/26</v>
      </c>
      <c r="K285" s="18">
        <f>IFERROR(__xludf.DUMMYFUNCTION("if(isblank(J285),,index(googlefinance(A285,K$2,J285-1),2,2))"),166.56)</f>
        <v>166.56</v>
      </c>
      <c r="L285" s="49" t="str">
        <f t="shared" si="2"/>
        <v>2024/02/13</v>
      </c>
      <c r="M285" s="19">
        <f>IFERROR(__xludf.DUMMYFUNCTION("if(isblank(L285),, index(googlefinance(A285,M$2,L285-1),2,2))"),170.61)</f>
        <v>170.61</v>
      </c>
      <c r="N285" s="20">
        <f>IFERROR(__xludf.DUMMYFUNCTION("if(isblank(A285),,googlefinance(A285))"),166.32)</f>
        <v>166.32</v>
      </c>
      <c r="O285" s="50" t="str">
        <f t="shared" si="11"/>
        <v>Completed</v>
      </c>
      <c r="P285" s="42" t="str">
        <f t="shared" si="4"/>
        <v>Profit</v>
      </c>
      <c r="Q285" s="43">
        <f t="shared" si="5"/>
        <v>24.3</v>
      </c>
      <c r="R285" s="17" t="b">
        <f t="shared" si="6"/>
        <v>1</v>
      </c>
      <c r="S285" s="17">
        <f t="shared" si="12"/>
        <v>4.05</v>
      </c>
      <c r="T285" s="22">
        <f t="shared" si="8"/>
        <v>6</v>
      </c>
      <c r="U285" s="24"/>
      <c r="V285" s="24"/>
      <c r="W285" s="24"/>
      <c r="X285" s="24"/>
      <c r="Y285" s="24"/>
      <c r="Z285" s="24"/>
      <c r="AA285" s="24"/>
    </row>
    <row r="286" ht="15.75" hidden="1" customHeight="1">
      <c r="A286" s="24" t="s">
        <v>186</v>
      </c>
      <c r="B286" s="55">
        <v>12.0</v>
      </c>
      <c r="C286" s="55">
        <v>449.26</v>
      </c>
      <c r="D286" s="55">
        <v>50.0</v>
      </c>
      <c r="E286" s="55">
        <v>3.535</v>
      </c>
      <c r="F286" s="55" t="s">
        <v>233</v>
      </c>
      <c r="G286" s="55"/>
      <c r="H286" s="55" t="s">
        <v>231</v>
      </c>
      <c r="I286" s="55"/>
      <c r="J286" s="35" t="str">
        <f t="shared" si="14"/>
        <v>2024/01/26</v>
      </c>
      <c r="K286" s="18">
        <f>IFERROR(__xludf.DUMMYFUNCTION("if(isblank(J286),,index(googlefinance(A286,K$2,J286-1),2,2))"),34.44)</f>
        <v>34.44</v>
      </c>
      <c r="L286" s="49" t="str">
        <f t="shared" si="2"/>
        <v>2024/02/05</v>
      </c>
      <c r="M286" s="19">
        <f>IFERROR(__xludf.DUMMYFUNCTION("if(isblank(L286),, index(googlefinance(A286,M$2,L286-1),2,2))"),34.43)</f>
        <v>34.43</v>
      </c>
      <c r="N286" s="20">
        <f>IFERROR(__xludf.DUMMYFUNCTION("if(isblank(A286),,googlefinance(A286))"),34.31)</f>
        <v>34.31</v>
      </c>
      <c r="O286" s="50" t="str">
        <f t="shared" si="11"/>
        <v>Completed</v>
      </c>
      <c r="P286" s="42" t="str">
        <f t="shared" si="4"/>
        <v>Loss</v>
      </c>
      <c r="Q286" s="43">
        <f t="shared" si="5"/>
        <v>-0.29</v>
      </c>
      <c r="R286" s="17" t="b">
        <f t="shared" si="6"/>
        <v>0</v>
      </c>
      <c r="S286" s="17">
        <f t="shared" si="12"/>
        <v>-0.01</v>
      </c>
      <c r="T286" s="22">
        <f t="shared" si="8"/>
        <v>29</v>
      </c>
      <c r="U286" s="24"/>
      <c r="V286" s="24"/>
      <c r="W286" s="24"/>
      <c r="X286" s="24"/>
      <c r="Y286" s="24"/>
      <c r="Z286" s="24"/>
      <c r="AA286" s="24"/>
    </row>
    <row r="287" ht="15.75" hidden="1" customHeight="1">
      <c r="A287" s="24" t="s">
        <v>235</v>
      </c>
      <c r="B287" s="55">
        <v>15.0</v>
      </c>
      <c r="C287" s="55">
        <v>121.59</v>
      </c>
      <c r="D287" s="55">
        <v>20.0</v>
      </c>
      <c r="E287" s="55">
        <v>1.553</v>
      </c>
      <c r="F287" s="55"/>
      <c r="G287" s="55" t="s">
        <v>196</v>
      </c>
      <c r="H287" s="55"/>
      <c r="I287" s="55" t="s">
        <v>236</v>
      </c>
      <c r="J287" s="35" t="str">
        <f t="shared" si="14"/>
        <v>2024/01/29</v>
      </c>
      <c r="K287" s="18">
        <f>IFERROR(__xludf.DUMMYFUNCTION("if(isblank(J287),,index(googlefinance(A287,K$2,J287-1),2,2))"),1222.38)</f>
        <v>1222.38</v>
      </c>
      <c r="L287" s="49" t="str">
        <f t="shared" si="2"/>
        <v>2024/02/01</v>
      </c>
      <c r="M287" s="19">
        <f>IFERROR(__xludf.DUMMYFUNCTION("if(isblank(L287),, index(googlefinance(A287,M$2,L287-1),2,2))"),1198.83)</f>
        <v>1198.83</v>
      </c>
      <c r="N287" s="20">
        <f>IFERROR(__xludf.DUMMYFUNCTION("if(isblank(A287),,googlefinance(A287))"),1282.06)</f>
        <v>1282.06</v>
      </c>
      <c r="O287" s="50" t="str">
        <f t="shared" si="11"/>
        <v>Completed</v>
      </c>
      <c r="P287" s="42" t="str">
        <f t="shared" si="4"/>
        <v>Profit</v>
      </c>
      <c r="Q287" s="43">
        <f t="shared" si="5"/>
        <v>0</v>
      </c>
      <c r="R287" s="17" t="b">
        <f t="shared" si="6"/>
        <v>0</v>
      </c>
      <c r="S287" s="17">
        <f t="shared" si="12"/>
        <v>-23.55</v>
      </c>
      <c r="T287" s="22">
        <f t="shared" si="8"/>
        <v>0</v>
      </c>
      <c r="U287" s="24"/>
      <c r="V287" s="24"/>
      <c r="W287" s="24"/>
      <c r="X287" s="24"/>
      <c r="Y287" s="24"/>
      <c r="Z287" s="24"/>
      <c r="AA287" s="24"/>
    </row>
    <row r="288" ht="15.75" hidden="1" customHeight="1">
      <c r="A288" s="24" t="s">
        <v>61</v>
      </c>
      <c r="B288" s="55">
        <v>11.0</v>
      </c>
      <c r="C288" s="55">
        <v>257.02</v>
      </c>
      <c r="D288" s="55">
        <v>63.636</v>
      </c>
      <c r="E288" s="55">
        <v>3.101</v>
      </c>
      <c r="F288" s="55"/>
      <c r="G288" s="55" t="s">
        <v>230</v>
      </c>
      <c r="H288" s="55"/>
      <c r="I288" s="55" t="s">
        <v>229</v>
      </c>
      <c r="J288" s="35" t="str">
        <f t="shared" si="14"/>
        <v>2024/01/31</v>
      </c>
      <c r="K288" s="18">
        <f>IFERROR(__xludf.DUMMYFUNCTION("if(isblank(J288),,index(googlefinance(A288,K$2,J288-1),2,2))"),34.31)</f>
        <v>34.31</v>
      </c>
      <c r="L288" s="49" t="str">
        <f t="shared" si="2"/>
        <v>2024/02/13</v>
      </c>
      <c r="M288" s="19">
        <f>IFERROR(__xludf.DUMMYFUNCTION("if(isblank(L288),, index(googlefinance(A288,M$2,L288-1),2,2))"),32.22)</f>
        <v>32.22</v>
      </c>
      <c r="N288" s="20">
        <f>IFERROR(__xludf.DUMMYFUNCTION("if(isblank(A288),,googlefinance(A288))"),31.56)</f>
        <v>31.56</v>
      </c>
      <c r="O288" s="50" t="str">
        <f t="shared" si="11"/>
        <v>Completed</v>
      </c>
      <c r="P288" s="42" t="str">
        <f t="shared" si="4"/>
        <v>Profit</v>
      </c>
      <c r="Q288" s="43">
        <f t="shared" si="5"/>
        <v>60.61</v>
      </c>
      <c r="R288" s="17" t="b">
        <f t="shared" si="6"/>
        <v>1</v>
      </c>
      <c r="S288" s="17">
        <f t="shared" si="12"/>
        <v>-2.09</v>
      </c>
      <c r="T288" s="22">
        <f t="shared" si="8"/>
        <v>29</v>
      </c>
      <c r="U288" s="24"/>
      <c r="V288" s="24"/>
      <c r="W288" s="24"/>
      <c r="X288" s="24"/>
      <c r="Y288" s="24"/>
      <c r="Z288" s="24"/>
      <c r="AA288" s="24"/>
    </row>
    <row r="289" ht="15.75" hidden="1" customHeight="1">
      <c r="A289" s="24" t="s">
        <v>164</v>
      </c>
      <c r="B289" s="55">
        <v>12.0</v>
      </c>
      <c r="C289" s="55">
        <v>53.62</v>
      </c>
      <c r="D289" s="55">
        <v>50.0</v>
      </c>
      <c r="E289" s="55">
        <v>1.394</v>
      </c>
      <c r="F289" s="55"/>
      <c r="G289" s="55" t="s">
        <v>230</v>
      </c>
      <c r="H289" s="55"/>
      <c r="I289" s="55" t="s">
        <v>237</v>
      </c>
      <c r="J289" s="35" t="str">
        <f t="shared" si="14"/>
        <v>2024/01/31</v>
      </c>
      <c r="K289" s="18">
        <f>IFERROR(__xludf.DUMMYFUNCTION("if(isblank(J289),,index(googlefinance(A289,K$2,J289-1),2,2))"),52.24)</f>
        <v>52.24</v>
      </c>
      <c r="L289" s="49" t="str">
        <f t="shared" si="2"/>
        <v>2024/02/14</v>
      </c>
      <c r="M289" s="19">
        <f>IFERROR(__xludf.DUMMYFUNCTION("if(isblank(L289),, index(googlefinance(A289,M$2,L289-1),2,2))"),49.64)</f>
        <v>49.64</v>
      </c>
      <c r="N289" s="20">
        <f>IFERROR(__xludf.DUMMYFUNCTION("if(isblank(A289),,googlefinance(A289))"),48.44)</f>
        <v>48.44</v>
      </c>
      <c r="O289" s="50" t="str">
        <f t="shared" si="11"/>
        <v>Completed</v>
      </c>
      <c r="P289" s="42" t="str">
        <f t="shared" si="4"/>
        <v>Profit</v>
      </c>
      <c r="Q289" s="43">
        <f t="shared" si="5"/>
        <v>49.4</v>
      </c>
      <c r="R289" s="17" t="b">
        <f t="shared" si="6"/>
        <v>1</v>
      </c>
      <c r="S289" s="17">
        <f t="shared" si="12"/>
        <v>-2.6</v>
      </c>
      <c r="T289" s="22">
        <f t="shared" si="8"/>
        <v>19</v>
      </c>
      <c r="U289" s="24"/>
      <c r="V289" s="24"/>
      <c r="W289" s="24"/>
      <c r="X289" s="24"/>
      <c r="Y289" s="24"/>
      <c r="Z289" s="24"/>
      <c r="AA289" s="24"/>
    </row>
    <row r="290" ht="15.75" hidden="1" customHeight="1">
      <c r="A290" s="24" t="s">
        <v>124</v>
      </c>
      <c r="B290" s="55">
        <v>13.0</v>
      </c>
      <c r="C290" s="55">
        <v>36.14</v>
      </c>
      <c r="D290" s="55">
        <v>53.846</v>
      </c>
      <c r="E290" s="55">
        <v>1.183</v>
      </c>
      <c r="F290" s="55"/>
      <c r="G290" s="55" t="s">
        <v>230</v>
      </c>
      <c r="H290" s="55"/>
      <c r="I290" s="55" t="s">
        <v>238</v>
      </c>
      <c r="J290" s="35" t="str">
        <f t="shared" si="14"/>
        <v>2024/01/31</v>
      </c>
      <c r="K290" s="18">
        <f>IFERROR(__xludf.DUMMYFUNCTION("if(isblank(J290),,index(googlefinance(A290,K$2,J290-1),2,2))"),144.22)</f>
        <v>144.22</v>
      </c>
      <c r="L290" s="49" t="str">
        <f t="shared" si="2"/>
        <v>2024/02/15</v>
      </c>
      <c r="M290" s="19" t="str">
        <f>IFERROR(__xludf.DUMMYFUNCTION("if(isblank(L290),, index(googlefinance(A290,M$2,L290-1),2,2))"),"#N/A")</f>
        <v>#N/A</v>
      </c>
      <c r="N290" s="20">
        <f>IFERROR(__xludf.DUMMYFUNCTION("if(isblank(A290),,googlefinance(A290))"),136.22)</f>
        <v>136.22</v>
      </c>
      <c r="O290" s="50" t="str">
        <f t="shared" si="11"/>
        <v>Completed</v>
      </c>
      <c r="P290" s="42" t="str">
        <f t="shared" si="4"/>
        <v>#N/A</v>
      </c>
      <c r="Q290" s="43" t="str">
        <f t="shared" si="5"/>
        <v>#N/A</v>
      </c>
      <c r="R290" s="17" t="str">
        <f t="shared" si="6"/>
        <v>#N/A</v>
      </c>
      <c r="S290" s="17" t="str">
        <f t="shared" si="12"/>
        <v>#N/A</v>
      </c>
      <c r="T290" s="22">
        <f t="shared" si="8"/>
        <v>6</v>
      </c>
      <c r="U290" s="24"/>
      <c r="V290" s="24"/>
      <c r="W290" s="24"/>
      <c r="X290" s="24"/>
      <c r="Y290" s="24"/>
      <c r="Z290" s="24"/>
      <c r="AA290" s="24"/>
    </row>
    <row r="291" ht="15.75" hidden="1" customHeight="1">
      <c r="A291" s="24" t="s">
        <v>145</v>
      </c>
      <c r="B291" s="55">
        <v>11.0</v>
      </c>
      <c r="C291" s="55">
        <v>210.472</v>
      </c>
      <c r="D291" s="55">
        <v>45.455</v>
      </c>
      <c r="E291" s="55">
        <v>4.111</v>
      </c>
      <c r="F291" s="55"/>
      <c r="G291" s="55" t="s">
        <v>230</v>
      </c>
      <c r="H291" s="55"/>
      <c r="I291" s="55" t="s">
        <v>229</v>
      </c>
      <c r="J291" s="35" t="str">
        <f t="shared" si="14"/>
        <v>2024/01/31</v>
      </c>
      <c r="K291" s="18">
        <f>IFERROR(__xludf.DUMMYFUNCTION("if(isblank(J291),,index(googlefinance(A291,K$2,J291-1),2,2))"),187.87)</f>
        <v>187.87</v>
      </c>
      <c r="L291" s="49" t="str">
        <f t="shared" si="2"/>
        <v>2024/02/13</v>
      </c>
      <c r="M291" s="19">
        <f>IFERROR(__xludf.DUMMYFUNCTION("if(isblank(L291),, index(googlefinance(A291,M$2,L291-1),2,2))"),186.16)</f>
        <v>186.16</v>
      </c>
      <c r="N291" s="20">
        <f>IFERROR(__xludf.DUMMYFUNCTION("if(isblank(A291),,googlefinance(A291))"),187.64)</f>
        <v>187.64</v>
      </c>
      <c r="O291" s="50" t="str">
        <f t="shared" si="11"/>
        <v>Completed</v>
      </c>
      <c r="P291" s="42" t="str">
        <f t="shared" si="4"/>
        <v>Profit</v>
      </c>
      <c r="Q291" s="43">
        <f t="shared" si="5"/>
        <v>8.55</v>
      </c>
      <c r="R291" s="17" t="b">
        <f t="shared" si="6"/>
        <v>1</v>
      </c>
      <c r="S291" s="17">
        <f t="shared" si="12"/>
        <v>-1.71</v>
      </c>
      <c r="T291" s="22">
        <f t="shared" si="8"/>
        <v>5</v>
      </c>
      <c r="U291" s="24"/>
      <c r="V291" s="24"/>
      <c r="W291" s="24"/>
      <c r="X291" s="24"/>
      <c r="Y291" s="24"/>
      <c r="Z291" s="24"/>
      <c r="AA291" s="24"/>
    </row>
    <row r="292" ht="15.75" hidden="1" customHeight="1">
      <c r="A292" s="24" t="s">
        <v>222</v>
      </c>
      <c r="B292" s="55">
        <v>11.0</v>
      </c>
      <c r="C292" s="55">
        <v>54.15</v>
      </c>
      <c r="D292" s="55">
        <v>36.364</v>
      </c>
      <c r="E292" s="55">
        <v>1.271</v>
      </c>
      <c r="F292" s="55"/>
      <c r="G292" s="55" t="s">
        <v>236</v>
      </c>
      <c r="H292" s="55"/>
      <c r="I292" s="55" t="s">
        <v>223</v>
      </c>
      <c r="J292" s="35" t="str">
        <f t="shared" si="14"/>
        <v>2024/02/01</v>
      </c>
      <c r="K292" s="18">
        <f>IFERROR(__xludf.DUMMYFUNCTION("if(isblank(J292),,index(googlefinance(A292,K$2,J292-1),2,2))"),69.51)</f>
        <v>69.51</v>
      </c>
      <c r="L292" s="49" t="str">
        <f t="shared" si="2"/>
        <v>2024/02/07</v>
      </c>
      <c r="M292" s="19" t="str">
        <f>IFERROR(__xludf.DUMMYFUNCTION("if(isblank(L292),, index(googlefinance(A292,M$2,L292-1),2,2))"),"#N/A")</f>
        <v>#N/A</v>
      </c>
      <c r="N292" s="20">
        <f>IFERROR(__xludf.DUMMYFUNCTION("if(isblank(A292),,googlefinance(A292))"),70.04)</f>
        <v>70.04</v>
      </c>
      <c r="O292" s="50" t="str">
        <f t="shared" si="11"/>
        <v>Completed</v>
      </c>
      <c r="P292" s="42" t="str">
        <f t="shared" si="4"/>
        <v>#N/A</v>
      </c>
      <c r="Q292" s="43" t="str">
        <f t="shared" si="5"/>
        <v>#N/A</v>
      </c>
      <c r="R292" s="17" t="str">
        <f t="shared" si="6"/>
        <v>#N/A</v>
      </c>
      <c r="S292" s="17" t="str">
        <f t="shared" si="12"/>
        <v>#N/A</v>
      </c>
      <c r="T292" s="22">
        <f t="shared" si="8"/>
        <v>14</v>
      </c>
      <c r="U292" s="24"/>
      <c r="V292" s="24"/>
      <c r="W292" s="24"/>
      <c r="X292" s="24"/>
      <c r="Y292" s="24"/>
      <c r="Z292" s="24"/>
      <c r="AA292" s="24"/>
    </row>
    <row r="293" ht="15.75" hidden="1" customHeight="1">
      <c r="A293" s="24" t="s">
        <v>36</v>
      </c>
      <c r="B293" s="55">
        <v>13.0</v>
      </c>
      <c r="C293" s="55">
        <v>89.12</v>
      </c>
      <c r="D293" s="55">
        <v>46.154</v>
      </c>
      <c r="E293" s="55">
        <v>1.423</v>
      </c>
      <c r="F293" s="55"/>
      <c r="G293" s="55" t="s">
        <v>236</v>
      </c>
      <c r="H293" s="55"/>
      <c r="I293" s="55" t="s">
        <v>239</v>
      </c>
      <c r="J293" s="35" t="str">
        <f t="shared" si="14"/>
        <v>2024/02/01</v>
      </c>
      <c r="K293" s="18">
        <f>IFERROR(__xludf.DUMMYFUNCTION("if(isblank(J293),,index(googlefinance(A293,K$2,J293-1),2,2))"),288.46)</f>
        <v>288.46</v>
      </c>
      <c r="L293" s="49" t="str">
        <f t="shared" si="2"/>
        <v>2024/02/02</v>
      </c>
      <c r="M293" s="19">
        <f>IFERROR(__xludf.DUMMYFUNCTION("if(isblank(L293),, index(googlefinance(A293,M$2,L293-1),2,2))"),290.52)</f>
        <v>290.52</v>
      </c>
      <c r="N293" s="20">
        <f>IFERROR(__xludf.DUMMYFUNCTION("if(isblank(A293),,googlefinance(A293))"),290.3)</f>
        <v>290.3</v>
      </c>
      <c r="O293" s="50" t="str">
        <f t="shared" si="11"/>
        <v>Completed</v>
      </c>
      <c r="P293" s="42" t="str">
        <f t="shared" si="4"/>
        <v>Loss</v>
      </c>
      <c r="Q293" s="43">
        <f t="shared" si="5"/>
        <v>-6.18</v>
      </c>
      <c r="R293" s="17" t="b">
        <f t="shared" si="6"/>
        <v>0</v>
      </c>
      <c r="S293" s="17">
        <f t="shared" si="12"/>
        <v>2.06</v>
      </c>
      <c r="T293" s="22">
        <f t="shared" si="8"/>
        <v>3</v>
      </c>
      <c r="U293" s="24"/>
      <c r="V293" s="24"/>
      <c r="W293" s="24"/>
      <c r="X293" s="24"/>
      <c r="Y293" s="24"/>
      <c r="Z293" s="24"/>
      <c r="AA293" s="24"/>
    </row>
    <row r="294" ht="15.75" hidden="1" customHeight="1">
      <c r="A294" s="24" t="s">
        <v>140</v>
      </c>
      <c r="B294" s="55">
        <v>9.0</v>
      </c>
      <c r="C294" s="55">
        <v>99.813</v>
      </c>
      <c r="D294" s="55">
        <v>44.444</v>
      </c>
      <c r="E294" s="55">
        <v>1.968</v>
      </c>
      <c r="F294" s="55"/>
      <c r="G294" s="55" t="s">
        <v>236</v>
      </c>
      <c r="H294" s="55"/>
      <c r="I294" s="56" t="s">
        <v>240</v>
      </c>
      <c r="J294" s="35" t="str">
        <f t="shared" si="14"/>
        <v>2024/02/01</v>
      </c>
      <c r="K294" s="18">
        <f>IFERROR(__xludf.DUMMYFUNCTION("if(isblank(J294),,index(googlefinance(A294,K$2,J294-1),2,2))"),141.8)</f>
        <v>141.8</v>
      </c>
      <c r="L294" s="49" t="str">
        <f t="shared" si="2"/>
        <v>2024/02/09</v>
      </c>
      <c r="M294" s="19">
        <f>IFERROR(__xludf.DUMMYFUNCTION("if(isblank(L294),, index(googlefinance(A294,M$2,L294-1),2,2))"),147.22)</f>
        <v>147.22</v>
      </c>
      <c r="N294" s="20">
        <f>IFERROR(__xludf.DUMMYFUNCTION("if(isblank(A294),,googlefinance(A294))"),141.76)</f>
        <v>141.76</v>
      </c>
      <c r="O294" s="50" t="str">
        <f t="shared" si="11"/>
        <v>Completed</v>
      </c>
      <c r="P294" s="42" t="str">
        <f t="shared" si="4"/>
        <v>Loss</v>
      </c>
      <c r="Q294" s="43">
        <f t="shared" si="5"/>
        <v>-37.94</v>
      </c>
      <c r="R294" s="17" t="b">
        <f t="shared" si="6"/>
        <v>0</v>
      </c>
      <c r="S294" s="17">
        <f t="shared" si="12"/>
        <v>5.42</v>
      </c>
      <c r="T294" s="22">
        <f t="shared" si="8"/>
        <v>7</v>
      </c>
      <c r="U294" s="24"/>
      <c r="V294" s="24"/>
      <c r="W294" s="24"/>
      <c r="X294" s="24"/>
      <c r="Y294" s="24"/>
      <c r="Z294" s="24"/>
      <c r="AA294" s="24"/>
    </row>
    <row r="295" ht="15.75" hidden="1" customHeight="1">
      <c r="A295" s="24" t="s">
        <v>135</v>
      </c>
      <c r="B295" s="55">
        <v>8.0</v>
      </c>
      <c r="C295" s="55">
        <v>263.024</v>
      </c>
      <c r="D295" s="55">
        <v>75.0</v>
      </c>
      <c r="E295" s="55">
        <v>6.32</v>
      </c>
      <c r="F295" s="55"/>
      <c r="G295" s="55" t="s">
        <v>236</v>
      </c>
      <c r="H295" s="55"/>
      <c r="I295" s="56" t="s">
        <v>240</v>
      </c>
      <c r="J295" s="35" t="str">
        <f t="shared" si="14"/>
        <v>2024/02/01</v>
      </c>
      <c r="K295" s="18">
        <f>IFERROR(__xludf.DUMMYFUNCTION("if(isblank(J295),,index(googlefinance(A295,K$2,J295-1),2,2))"),140.1)</f>
        <v>140.1</v>
      </c>
      <c r="L295" s="49" t="str">
        <f t="shared" si="2"/>
        <v>2024/02/09</v>
      </c>
      <c r="M295" s="19">
        <f>IFERROR(__xludf.DUMMYFUNCTION("if(isblank(L295),, index(googlefinance(A295,M$2,L295-1),2,2))"),145.91)</f>
        <v>145.91</v>
      </c>
      <c r="N295" s="20">
        <f>IFERROR(__xludf.DUMMYFUNCTION("if(isblank(A295),,googlefinance(A295))"),140.52)</f>
        <v>140.52</v>
      </c>
      <c r="O295" s="50" t="str">
        <f t="shared" si="11"/>
        <v>Completed</v>
      </c>
      <c r="P295" s="42" t="str">
        <f t="shared" si="4"/>
        <v>Loss</v>
      </c>
      <c r="Q295" s="43">
        <f t="shared" si="5"/>
        <v>-40.67</v>
      </c>
      <c r="R295" s="17" t="b">
        <f t="shared" si="6"/>
        <v>0</v>
      </c>
      <c r="S295" s="17">
        <f t="shared" si="12"/>
        <v>5.81</v>
      </c>
      <c r="T295" s="22">
        <f t="shared" si="8"/>
        <v>7</v>
      </c>
      <c r="U295" s="24"/>
      <c r="V295" s="24"/>
      <c r="W295" s="24"/>
      <c r="X295" s="24"/>
      <c r="Y295" s="24"/>
      <c r="Z295" s="24"/>
      <c r="AA295" s="24"/>
    </row>
    <row r="296" ht="15.75" hidden="1" customHeight="1">
      <c r="A296" s="24" t="s">
        <v>183</v>
      </c>
      <c r="B296" s="55">
        <v>13.0</v>
      </c>
      <c r="C296" s="55">
        <v>52.32</v>
      </c>
      <c r="D296" s="55">
        <v>53.846</v>
      </c>
      <c r="E296" s="55">
        <v>1.757</v>
      </c>
      <c r="F296" s="55" t="s">
        <v>236</v>
      </c>
      <c r="G296" s="55"/>
      <c r="H296" s="55" t="s">
        <v>231</v>
      </c>
      <c r="I296" s="55"/>
      <c r="J296" s="35" t="str">
        <f t="shared" si="14"/>
        <v>2024/02/01</v>
      </c>
      <c r="K296" s="18">
        <f>IFERROR(__xludf.DUMMYFUNCTION("if(isblank(J296),,index(googlefinance(A296,K$2,J296-1),2,2))"),30.37)</f>
        <v>30.37</v>
      </c>
      <c r="L296" s="49" t="str">
        <f t="shared" si="2"/>
        <v>2024/02/05</v>
      </c>
      <c r="M296" s="19">
        <f>IFERROR(__xludf.DUMMYFUNCTION("if(isblank(L296),, index(googlefinance(A296,M$2,L296-1),2,2))"),29.8)</f>
        <v>29.8</v>
      </c>
      <c r="N296" s="20">
        <f>IFERROR(__xludf.DUMMYFUNCTION("if(isblank(A296),,googlefinance(A296))"),28.99)</f>
        <v>28.99</v>
      </c>
      <c r="O296" s="50" t="str">
        <f t="shared" si="11"/>
        <v>Completed</v>
      </c>
      <c r="P296" s="42" t="str">
        <f t="shared" si="4"/>
        <v>Loss</v>
      </c>
      <c r="Q296" s="43">
        <f t="shared" si="5"/>
        <v>-18.24</v>
      </c>
      <c r="R296" s="17" t="b">
        <f t="shared" si="6"/>
        <v>0</v>
      </c>
      <c r="S296" s="17">
        <f t="shared" si="12"/>
        <v>-0.57</v>
      </c>
      <c r="T296" s="22">
        <f t="shared" si="8"/>
        <v>32</v>
      </c>
      <c r="U296" s="24"/>
      <c r="V296" s="24"/>
      <c r="W296" s="24"/>
      <c r="X296" s="24"/>
      <c r="Y296" s="24"/>
      <c r="Z296" s="24"/>
      <c r="AA296" s="24"/>
    </row>
    <row r="297" ht="15.75" hidden="1" customHeight="1">
      <c r="A297" s="24" t="s">
        <v>91</v>
      </c>
      <c r="B297" s="55">
        <v>12.0</v>
      </c>
      <c r="C297" s="55">
        <v>99.06</v>
      </c>
      <c r="D297" s="55">
        <v>41.667</v>
      </c>
      <c r="E297" s="55">
        <v>1.888</v>
      </c>
      <c r="F297" s="55" t="s">
        <v>236</v>
      </c>
      <c r="G297" s="55"/>
      <c r="H297" s="55" t="s">
        <v>231</v>
      </c>
      <c r="I297" s="55"/>
      <c r="J297" s="35" t="str">
        <f t="shared" si="14"/>
        <v>2024/02/01</v>
      </c>
      <c r="K297" s="18">
        <f>IFERROR(__xludf.DUMMYFUNCTION("if(isblank(J297),,index(googlefinance(A297,K$2,J297-1),2,2))"),40.12)</f>
        <v>40.12</v>
      </c>
      <c r="L297" s="49" t="str">
        <f t="shared" si="2"/>
        <v>2024/02/05</v>
      </c>
      <c r="M297" s="19">
        <f>IFERROR(__xludf.DUMMYFUNCTION("if(isblank(L297),, index(googlefinance(A297,M$2,L297-1),2,2))"),40.52)</f>
        <v>40.52</v>
      </c>
      <c r="N297" s="20">
        <f>IFERROR(__xludf.DUMMYFUNCTION("if(isblank(A297),,googlefinance(A297))"),40.18)</f>
        <v>40.18</v>
      </c>
      <c r="O297" s="50" t="str">
        <f t="shared" si="11"/>
        <v>Completed</v>
      </c>
      <c r="P297" s="42" t="str">
        <f t="shared" si="4"/>
        <v>Profit</v>
      </c>
      <c r="Q297" s="43">
        <f t="shared" si="5"/>
        <v>9.6</v>
      </c>
      <c r="R297" s="17" t="b">
        <f t="shared" si="6"/>
        <v>1</v>
      </c>
      <c r="S297" s="17">
        <f t="shared" si="12"/>
        <v>0.4</v>
      </c>
      <c r="T297" s="22">
        <f t="shared" si="8"/>
        <v>24</v>
      </c>
      <c r="U297" s="24"/>
      <c r="V297" s="24"/>
      <c r="W297" s="24"/>
      <c r="X297" s="24"/>
      <c r="Y297" s="24"/>
      <c r="Z297" s="24"/>
      <c r="AA297" s="24"/>
    </row>
    <row r="298" ht="15.75" hidden="1" customHeight="1">
      <c r="A298" s="24" t="s">
        <v>112</v>
      </c>
      <c r="B298" s="55">
        <v>9.0</v>
      </c>
      <c r="C298" s="55">
        <v>33.68</v>
      </c>
      <c r="D298" s="55">
        <v>55.556</v>
      </c>
      <c r="E298" s="55">
        <v>1.336</v>
      </c>
      <c r="F298" s="55"/>
      <c r="G298" s="55" t="s">
        <v>236</v>
      </c>
      <c r="H298" s="55"/>
      <c r="I298" s="55" t="s">
        <v>223</v>
      </c>
      <c r="J298" s="35" t="str">
        <f t="shared" si="14"/>
        <v>2024/02/01</v>
      </c>
      <c r="K298" s="18">
        <f>IFERROR(__xludf.DUMMYFUNCTION("if(isblank(J298),,index(googlefinance(A298,K$2,J298-1),2,2))"),104.93)</f>
        <v>104.93</v>
      </c>
      <c r="L298" s="49" t="str">
        <f t="shared" si="2"/>
        <v>2024/02/07</v>
      </c>
      <c r="M298" s="19">
        <f>IFERROR(__xludf.DUMMYFUNCTION("if(isblank(L298),, index(googlefinance(A298,M$2,L298-1),2,2))"),103.39)</f>
        <v>103.39</v>
      </c>
      <c r="N298" s="20">
        <f>IFERROR(__xludf.DUMMYFUNCTION("if(isblank(A298),,googlefinance(A298))"),107.28)</f>
        <v>107.28</v>
      </c>
      <c r="O298" s="50" t="str">
        <f t="shared" si="11"/>
        <v>Completed</v>
      </c>
      <c r="P298" s="42" t="str">
        <f t="shared" si="4"/>
        <v>Profit</v>
      </c>
      <c r="Q298" s="43">
        <f t="shared" si="5"/>
        <v>13.86</v>
      </c>
      <c r="R298" s="17" t="b">
        <f t="shared" si="6"/>
        <v>1</v>
      </c>
      <c r="S298" s="17">
        <f t="shared" si="12"/>
        <v>-1.54</v>
      </c>
      <c r="T298" s="22">
        <f t="shared" si="8"/>
        <v>9</v>
      </c>
      <c r="U298" s="24"/>
      <c r="V298" s="24"/>
      <c r="W298" s="24"/>
      <c r="X298" s="24"/>
      <c r="Y298" s="24"/>
      <c r="Z298" s="24"/>
      <c r="AA298" s="24"/>
    </row>
    <row r="299" ht="15.75" hidden="1" customHeight="1">
      <c r="A299" s="24" t="s">
        <v>127</v>
      </c>
      <c r="B299" s="55">
        <v>8.0</v>
      </c>
      <c r="C299" s="55">
        <v>125.05</v>
      </c>
      <c r="D299" s="55">
        <v>50.0</v>
      </c>
      <c r="E299" s="55">
        <v>1.889</v>
      </c>
      <c r="F299" s="55"/>
      <c r="G299" s="55" t="s">
        <v>236</v>
      </c>
      <c r="H299" s="55"/>
      <c r="I299" s="55" t="s">
        <v>229</v>
      </c>
      <c r="J299" s="35" t="str">
        <f t="shared" si="14"/>
        <v>2024/02/01</v>
      </c>
      <c r="K299" s="18">
        <f>IFERROR(__xludf.DUMMYFUNCTION("if(isblank(J299),,index(googlefinance(A299,K$2,J299-1),2,2))"),50.18)</f>
        <v>50.18</v>
      </c>
      <c r="L299" s="49" t="str">
        <f t="shared" si="2"/>
        <v>2024/02/13</v>
      </c>
      <c r="M299" s="19">
        <f>IFERROR(__xludf.DUMMYFUNCTION("if(isblank(L299),, index(googlefinance(A299,M$2,L299-1),2,2))"),48.92)</f>
        <v>48.92</v>
      </c>
      <c r="N299" s="20">
        <f>IFERROR(__xludf.DUMMYFUNCTION("if(isblank(A299),,googlefinance(A299))"),51.91)</f>
        <v>51.91</v>
      </c>
      <c r="O299" s="50" t="str">
        <f t="shared" si="11"/>
        <v>Completed</v>
      </c>
      <c r="P299" s="42" t="str">
        <f t="shared" si="4"/>
        <v>Profit</v>
      </c>
      <c r="Q299" s="43">
        <f t="shared" si="5"/>
        <v>23.94</v>
      </c>
      <c r="R299" s="17" t="b">
        <f t="shared" si="6"/>
        <v>1</v>
      </c>
      <c r="S299" s="17">
        <f t="shared" si="12"/>
        <v>-1.26</v>
      </c>
      <c r="T299" s="22">
        <f t="shared" si="8"/>
        <v>19</v>
      </c>
      <c r="U299" s="24"/>
      <c r="V299" s="24"/>
      <c r="W299" s="24"/>
      <c r="X299" s="24"/>
      <c r="Y299" s="24"/>
      <c r="Z299" s="24"/>
      <c r="AA299" s="24"/>
    </row>
    <row r="300" ht="15.75" customHeight="1">
      <c r="A300" s="24" t="s">
        <v>151</v>
      </c>
      <c r="B300" s="55">
        <v>15.0</v>
      </c>
      <c r="C300" s="55">
        <v>192.47</v>
      </c>
      <c r="D300" s="55">
        <v>53.333</v>
      </c>
      <c r="E300" s="55">
        <v>1.63</v>
      </c>
      <c r="F300" s="55"/>
      <c r="G300" s="55" t="s">
        <v>239</v>
      </c>
      <c r="H300" s="55"/>
      <c r="I300" s="55"/>
      <c r="J300" s="35" t="str">
        <f t="shared" si="14"/>
        <v>2024/02/02</v>
      </c>
      <c r="K300" s="18">
        <f>IFERROR(__xludf.DUMMYFUNCTION("if(isblank(J300),,index(googlefinance(A300,K$2,J300-1),2,2))"),201.63)</f>
        <v>201.63</v>
      </c>
      <c r="L300" s="49" t="str">
        <f t="shared" si="2"/>
        <v/>
      </c>
      <c r="M300" s="19" t="str">
        <f>IFERROR(__xludf.DUMMYFUNCTION("if(isblank(L300),, index(googlefinance(A300,M$2,L300-1),2,2))"),"")</f>
        <v/>
      </c>
      <c r="N300" s="20">
        <f>IFERROR(__xludf.DUMMYFUNCTION("if(isblank(A300),,googlefinance(A300))"),197.92)</f>
        <v>197.92</v>
      </c>
      <c r="O300" s="50" t="str">
        <f t="shared" si="11"/>
        <v>Ongoing</v>
      </c>
      <c r="P300" s="42" t="str">
        <f t="shared" si="4"/>
        <v>Profit</v>
      </c>
      <c r="Q300" s="43">
        <f t="shared" si="5"/>
        <v>14.84</v>
      </c>
      <c r="R300" s="17" t="b">
        <f t="shared" si="6"/>
        <v>1</v>
      </c>
      <c r="S300" s="17">
        <f t="shared" si="12"/>
        <v>-3.71</v>
      </c>
      <c r="T300" s="22">
        <f t="shared" si="8"/>
        <v>4</v>
      </c>
      <c r="U300" s="24"/>
      <c r="V300" s="24"/>
      <c r="W300" s="24"/>
      <c r="X300" s="24"/>
      <c r="Y300" s="24"/>
      <c r="Z300" s="24"/>
      <c r="AA300" s="24"/>
    </row>
    <row r="301" ht="15.75" customHeight="1">
      <c r="A301" s="24" t="s">
        <v>123</v>
      </c>
      <c r="B301" s="55">
        <v>10.0</v>
      </c>
      <c r="C301" s="55">
        <v>166.03</v>
      </c>
      <c r="D301" s="55">
        <v>60.0</v>
      </c>
      <c r="E301" s="55">
        <v>2.62</v>
      </c>
      <c r="F301" s="55"/>
      <c r="G301" s="55" t="s">
        <v>239</v>
      </c>
      <c r="H301" s="55"/>
      <c r="I301" s="55"/>
      <c r="J301" s="35" t="str">
        <f t="shared" si="14"/>
        <v>2024/02/02</v>
      </c>
      <c r="K301" s="18">
        <f>IFERROR(__xludf.DUMMYFUNCTION("if(isblank(J301),,index(googlefinance(A301,K$2,J301-1),2,2))"),46.73)</f>
        <v>46.73</v>
      </c>
      <c r="L301" s="49" t="str">
        <f t="shared" si="2"/>
        <v/>
      </c>
      <c r="M301" s="19" t="str">
        <f>IFERROR(__xludf.DUMMYFUNCTION("if(isblank(L301),, index(googlefinance(A301,M$2,L301-1),2,2))"),"")</f>
        <v/>
      </c>
      <c r="N301" s="20">
        <f>IFERROR(__xludf.DUMMYFUNCTION("if(isblank(A301),,googlefinance(A301))"),41.24)</f>
        <v>41.24</v>
      </c>
      <c r="O301" s="50" t="str">
        <f t="shared" si="11"/>
        <v>Ongoing</v>
      </c>
      <c r="P301" s="42" t="str">
        <f t="shared" si="4"/>
        <v>Profit</v>
      </c>
      <c r="Q301" s="43">
        <f t="shared" si="5"/>
        <v>115.29</v>
      </c>
      <c r="R301" s="17" t="b">
        <f t="shared" si="6"/>
        <v>1</v>
      </c>
      <c r="S301" s="17">
        <f t="shared" si="12"/>
        <v>-5.49</v>
      </c>
      <c r="T301" s="22">
        <f t="shared" si="8"/>
        <v>21</v>
      </c>
      <c r="U301" s="24"/>
      <c r="V301" s="24"/>
      <c r="W301" s="24"/>
      <c r="X301" s="24"/>
      <c r="Y301" s="24"/>
      <c r="Z301" s="24"/>
      <c r="AA301" s="24"/>
    </row>
    <row r="302" ht="15.75" hidden="1" customHeight="1">
      <c r="A302" s="24" t="s">
        <v>241</v>
      </c>
      <c r="B302" s="55">
        <v>12.0</v>
      </c>
      <c r="C302" s="55">
        <v>190.18</v>
      </c>
      <c r="D302" s="55">
        <v>33.333</v>
      </c>
      <c r="E302" s="55">
        <v>1.767</v>
      </c>
      <c r="F302" s="55"/>
      <c r="G302" s="55" t="s">
        <v>239</v>
      </c>
      <c r="H302" s="55"/>
      <c r="I302" s="56" t="s">
        <v>240</v>
      </c>
      <c r="J302" s="35" t="str">
        <f t="shared" si="14"/>
        <v>2024/02/02</v>
      </c>
      <c r="K302" s="18">
        <f>IFERROR(__xludf.DUMMYFUNCTION("if(isblank(J302),,index(googlefinance(A302,K$2,J302-1),2,2))"),23.92)</f>
        <v>23.92</v>
      </c>
      <c r="L302" s="49" t="str">
        <f t="shared" si="2"/>
        <v>2024/02/09</v>
      </c>
      <c r="M302" s="19">
        <f>IFERROR(__xludf.DUMMYFUNCTION("if(isblank(L302),, index(googlefinance(A302,M$2,L302-1),2,2))"),20.87)</f>
        <v>20.87</v>
      </c>
      <c r="N302" s="20">
        <f>IFERROR(__xludf.DUMMYFUNCTION("if(isblank(A302),,googlefinance(A302))"),21.36)</f>
        <v>21.36</v>
      </c>
      <c r="O302" s="50" t="str">
        <f t="shared" si="11"/>
        <v>Completed</v>
      </c>
      <c r="P302" s="42" t="str">
        <f t="shared" si="4"/>
        <v>Profit</v>
      </c>
      <c r="Q302" s="43">
        <f t="shared" si="5"/>
        <v>125.05</v>
      </c>
      <c r="R302" s="17" t="b">
        <f t="shared" si="6"/>
        <v>1</v>
      </c>
      <c r="S302" s="17">
        <f t="shared" si="12"/>
        <v>-3.05</v>
      </c>
      <c r="T302" s="22">
        <f t="shared" si="8"/>
        <v>41</v>
      </c>
      <c r="U302" s="24"/>
      <c r="V302" s="24"/>
      <c r="W302" s="24"/>
      <c r="X302" s="24"/>
      <c r="Y302" s="24"/>
      <c r="Z302" s="24"/>
      <c r="AA302" s="24"/>
    </row>
    <row r="303" ht="15.75" hidden="1" customHeight="1">
      <c r="A303" s="24" t="s">
        <v>83</v>
      </c>
      <c r="B303" s="55">
        <v>14.0</v>
      </c>
      <c r="C303" s="55">
        <v>150.26</v>
      </c>
      <c r="D303" s="55">
        <v>42.857</v>
      </c>
      <c r="E303" s="55">
        <v>1.987</v>
      </c>
      <c r="F303" s="55"/>
      <c r="G303" s="55" t="s">
        <v>239</v>
      </c>
      <c r="H303" s="55"/>
      <c r="I303" s="55" t="s">
        <v>221</v>
      </c>
      <c r="J303" s="35" t="str">
        <f t="shared" si="14"/>
        <v>2024/02/02</v>
      </c>
      <c r="K303" s="18">
        <f>IFERROR(__xludf.DUMMYFUNCTION("if(isblank(J303),,index(googlefinance(A303,K$2,J303-1),2,2))"),74.41)</f>
        <v>74.41</v>
      </c>
      <c r="L303" s="49" t="str">
        <f t="shared" si="2"/>
        <v>2024/02/06</v>
      </c>
      <c r="M303" s="19">
        <f>IFERROR(__xludf.DUMMYFUNCTION("if(isblank(L303),, index(googlefinance(A303,M$2,L303-1),2,2))"),72.04)</f>
        <v>72.04</v>
      </c>
      <c r="N303" s="20">
        <f>IFERROR(__xludf.DUMMYFUNCTION("if(isblank(A303),,googlefinance(A303))"),73.79)</f>
        <v>73.79</v>
      </c>
      <c r="O303" s="50" t="str">
        <f t="shared" si="11"/>
        <v>Completed</v>
      </c>
      <c r="P303" s="42" t="str">
        <f t="shared" si="4"/>
        <v>Profit</v>
      </c>
      <c r="Q303" s="43">
        <f t="shared" si="5"/>
        <v>30.81</v>
      </c>
      <c r="R303" s="17" t="b">
        <f t="shared" si="6"/>
        <v>1</v>
      </c>
      <c r="S303" s="17">
        <f t="shared" si="12"/>
        <v>-2.37</v>
      </c>
      <c r="T303" s="22">
        <f t="shared" si="8"/>
        <v>13</v>
      </c>
      <c r="U303" s="24"/>
      <c r="V303" s="24"/>
      <c r="W303" s="24"/>
      <c r="X303" s="24"/>
      <c r="Y303" s="24"/>
      <c r="Z303" s="24"/>
      <c r="AA303" s="24"/>
    </row>
    <row r="304" ht="15.75" hidden="1" customHeight="1">
      <c r="A304" s="24" t="s">
        <v>152</v>
      </c>
      <c r="B304" s="55">
        <v>12.0</v>
      </c>
      <c r="C304" s="55">
        <v>363.61</v>
      </c>
      <c r="D304" s="55">
        <v>50.0</v>
      </c>
      <c r="E304" s="55">
        <v>2.729</v>
      </c>
      <c r="F304" s="55"/>
      <c r="G304" s="55" t="s">
        <v>231</v>
      </c>
      <c r="H304" s="55"/>
      <c r="I304" s="55" t="s">
        <v>238</v>
      </c>
      <c r="J304" s="35" t="str">
        <f t="shared" si="14"/>
        <v>2024/02/05</v>
      </c>
      <c r="K304" s="18">
        <f>IFERROR(__xludf.DUMMYFUNCTION("if(isblank(J304),,index(googlefinance(A304,K$2,J304-1),2,2))"),54.5)</f>
        <v>54.5</v>
      </c>
      <c r="L304" s="49" t="str">
        <f t="shared" si="2"/>
        <v>2024/02/15</v>
      </c>
      <c r="M304" s="19">
        <f>IFERROR(__xludf.DUMMYFUNCTION("if(isblank(L304),, index(googlefinance(A304,M$2,L304-1),2,2))"),53.98)</f>
        <v>53.98</v>
      </c>
      <c r="N304" s="20">
        <f>IFERROR(__xludf.DUMMYFUNCTION("if(isblank(A304),,googlefinance(A304))"),54.85)</f>
        <v>54.85</v>
      </c>
      <c r="O304" s="50" t="str">
        <f t="shared" si="11"/>
        <v>Completed</v>
      </c>
      <c r="P304" s="42" t="str">
        <f t="shared" si="4"/>
        <v>Profit</v>
      </c>
      <c r="Q304" s="43">
        <f t="shared" si="5"/>
        <v>9.36</v>
      </c>
      <c r="R304" s="17" t="b">
        <f t="shared" si="6"/>
        <v>1</v>
      </c>
      <c r="S304" s="17">
        <f t="shared" si="12"/>
        <v>-0.52</v>
      </c>
      <c r="T304" s="22">
        <f t="shared" si="8"/>
        <v>18</v>
      </c>
      <c r="U304" s="24"/>
      <c r="V304" s="24"/>
      <c r="W304" s="24"/>
      <c r="X304" s="24"/>
      <c r="Y304" s="24"/>
      <c r="Z304" s="24"/>
      <c r="AA304" s="24"/>
    </row>
    <row r="305" ht="15.75" hidden="1" customHeight="1">
      <c r="A305" s="24" t="s">
        <v>185</v>
      </c>
      <c r="B305" s="55">
        <v>8.0</v>
      </c>
      <c r="C305" s="55">
        <v>212.78</v>
      </c>
      <c r="D305" s="55">
        <v>25.0</v>
      </c>
      <c r="E305" s="55">
        <v>3.355</v>
      </c>
      <c r="F305" s="55"/>
      <c r="G305" s="55" t="s">
        <v>231</v>
      </c>
      <c r="H305" s="55"/>
      <c r="I305" s="55" t="s">
        <v>238</v>
      </c>
      <c r="J305" s="35" t="str">
        <f t="shared" si="14"/>
        <v>2024/02/05</v>
      </c>
      <c r="K305" s="18">
        <f>IFERROR(__xludf.DUMMYFUNCTION("if(isblank(J305),,index(googlefinance(A305,K$2,J305-1),2,2))"),24.15)</f>
        <v>24.15</v>
      </c>
      <c r="L305" s="49" t="str">
        <f t="shared" si="2"/>
        <v>2024/02/15</v>
      </c>
      <c r="M305" s="19">
        <f>IFERROR(__xludf.DUMMYFUNCTION("if(isblank(L305),, index(googlefinance(A305,M$2,L305-1),2,2))"),26.01)</f>
        <v>26.01</v>
      </c>
      <c r="N305" s="20">
        <f>IFERROR(__xludf.DUMMYFUNCTION("if(isblank(A305),,googlefinance(A305))"),26.24)</f>
        <v>26.24</v>
      </c>
      <c r="O305" s="50" t="str">
        <f t="shared" si="11"/>
        <v>Completed</v>
      </c>
      <c r="P305" s="42" t="str">
        <f t="shared" si="4"/>
        <v>Loss</v>
      </c>
      <c r="Q305" s="43">
        <f t="shared" si="5"/>
        <v>-76.26</v>
      </c>
      <c r="R305" s="17" t="b">
        <f t="shared" si="6"/>
        <v>0</v>
      </c>
      <c r="S305" s="17">
        <f t="shared" si="12"/>
        <v>1.86</v>
      </c>
      <c r="T305" s="22">
        <f t="shared" si="8"/>
        <v>41</v>
      </c>
      <c r="U305" s="24"/>
      <c r="V305" s="24"/>
      <c r="W305" s="24"/>
      <c r="X305" s="24"/>
      <c r="Y305" s="24"/>
      <c r="Z305" s="24"/>
      <c r="AA305" s="24"/>
    </row>
    <row r="306" ht="15.75" hidden="1" customHeight="1">
      <c r="A306" s="24" t="s">
        <v>130</v>
      </c>
      <c r="B306" s="55">
        <v>12.0</v>
      </c>
      <c r="C306" s="55">
        <v>44.84</v>
      </c>
      <c r="D306" s="55">
        <v>33.333</v>
      </c>
      <c r="E306" s="55">
        <v>1.179</v>
      </c>
      <c r="F306" s="55"/>
      <c r="G306" s="55" t="s">
        <v>231</v>
      </c>
      <c r="H306" s="55"/>
      <c r="I306" s="55" t="s">
        <v>242</v>
      </c>
      <c r="J306" s="35" t="str">
        <f t="shared" si="14"/>
        <v>2024/02/05</v>
      </c>
      <c r="K306" s="18">
        <f>IFERROR(__xludf.DUMMYFUNCTION("if(isblank(J306),,index(googlefinance(A306,K$2,J306-1),2,2))"),38.76)</f>
        <v>38.76</v>
      </c>
      <c r="L306" s="49" t="str">
        <f t="shared" si="2"/>
        <v>2024/02/08</v>
      </c>
      <c r="M306" s="19">
        <f>IFERROR(__xludf.DUMMYFUNCTION("if(isblank(L306),, index(googlefinance(A306,M$2,L306-1),2,2))"),38.53)</f>
        <v>38.53</v>
      </c>
      <c r="N306" s="20">
        <f>IFERROR(__xludf.DUMMYFUNCTION("if(isblank(A306),,googlefinance(A306))"),39.56)</f>
        <v>39.56</v>
      </c>
      <c r="O306" s="50" t="str">
        <f t="shared" si="11"/>
        <v>Completed</v>
      </c>
      <c r="P306" s="42" t="str">
        <f t="shared" si="4"/>
        <v>Profit</v>
      </c>
      <c r="Q306" s="43">
        <f t="shared" si="5"/>
        <v>5.75</v>
      </c>
      <c r="R306" s="17" t="b">
        <f t="shared" si="6"/>
        <v>1</v>
      </c>
      <c r="S306" s="17">
        <f t="shared" si="12"/>
        <v>-0.23</v>
      </c>
      <c r="T306" s="22">
        <f t="shared" si="8"/>
        <v>25</v>
      </c>
      <c r="U306" s="24"/>
      <c r="V306" s="24"/>
      <c r="W306" s="24"/>
      <c r="X306" s="24"/>
      <c r="Y306" s="24"/>
      <c r="Z306" s="24"/>
      <c r="AA306" s="24"/>
    </row>
    <row r="307" ht="15.75" hidden="1" customHeight="1">
      <c r="A307" s="24" t="s">
        <v>103</v>
      </c>
      <c r="B307" s="55">
        <v>11.0</v>
      </c>
      <c r="C307" s="55">
        <v>75.55</v>
      </c>
      <c r="D307" s="55">
        <v>36.364</v>
      </c>
      <c r="E307" s="55">
        <v>1.313</v>
      </c>
      <c r="F307" s="55"/>
      <c r="G307" s="55" t="s">
        <v>221</v>
      </c>
      <c r="H307" s="55"/>
      <c r="I307" s="56" t="s">
        <v>240</v>
      </c>
      <c r="J307" s="35" t="str">
        <f t="shared" si="14"/>
        <v>2024/02/06</v>
      </c>
      <c r="K307" s="18">
        <f>IFERROR(__xludf.DUMMYFUNCTION("if(isblank(J307),,index(googlefinance(A307,K$2,J307-1),2,2))"),630.5)</f>
        <v>630.5</v>
      </c>
      <c r="L307" s="49" t="str">
        <f t="shared" si="2"/>
        <v>2024/02/09</v>
      </c>
      <c r="M307" s="19">
        <f>IFERROR(__xludf.DUMMYFUNCTION("if(isblank(L307),, index(googlefinance(A307,M$2,L307-1),2,2))"),615.86)</f>
        <v>615.86</v>
      </c>
      <c r="N307" s="20">
        <f>IFERROR(__xludf.DUMMYFUNCTION("if(isblank(A307),,googlefinance(A307))"),546.66)</f>
        <v>546.66</v>
      </c>
      <c r="O307" s="50" t="str">
        <f t="shared" si="11"/>
        <v>Completed</v>
      </c>
      <c r="P307" s="42" t="str">
        <f t="shared" si="4"/>
        <v>Profit</v>
      </c>
      <c r="Q307" s="43">
        <f t="shared" si="5"/>
        <v>14.64</v>
      </c>
      <c r="R307" s="17" t="b">
        <f t="shared" si="6"/>
        <v>1</v>
      </c>
      <c r="S307" s="17">
        <f t="shared" si="12"/>
        <v>-14.64</v>
      </c>
      <c r="T307" s="22">
        <f t="shared" si="8"/>
        <v>1</v>
      </c>
      <c r="U307" s="24"/>
      <c r="V307" s="24"/>
      <c r="W307" s="24"/>
      <c r="X307" s="24"/>
      <c r="Y307" s="24"/>
      <c r="Z307" s="24"/>
      <c r="AA307" s="24"/>
    </row>
    <row r="308" ht="15.75" hidden="1" customHeight="1">
      <c r="A308" s="24" t="s">
        <v>134</v>
      </c>
      <c r="B308" s="55">
        <v>13.0</v>
      </c>
      <c r="C308" s="55">
        <v>30.98</v>
      </c>
      <c r="D308" s="55">
        <v>38.462</v>
      </c>
      <c r="E308" s="55">
        <v>1.109</v>
      </c>
      <c r="F308" s="55"/>
      <c r="G308" s="55" t="s">
        <v>221</v>
      </c>
      <c r="H308" s="55"/>
      <c r="I308" s="55" t="s">
        <v>223</v>
      </c>
      <c r="J308" s="35" t="str">
        <f t="shared" si="14"/>
        <v>2024/02/06</v>
      </c>
      <c r="K308" s="18">
        <f>IFERROR(__xludf.DUMMYFUNCTION("if(isblank(J308),,index(googlefinance(A308,K$2,J308-1),2,2))"),140.41)</f>
        <v>140.41</v>
      </c>
      <c r="L308" s="49" t="str">
        <f t="shared" si="2"/>
        <v>2024/02/07</v>
      </c>
      <c r="M308" s="19">
        <f>IFERROR(__xludf.DUMMYFUNCTION("if(isblank(L308),, index(googlefinance(A308,M$2,L308-1),2,2))"),137.83)</f>
        <v>137.83</v>
      </c>
      <c r="N308" s="20">
        <f>IFERROR(__xludf.DUMMYFUNCTION("if(isblank(A308),,googlefinance(A308))"),139.54)</f>
        <v>139.54</v>
      </c>
      <c r="O308" s="50" t="str">
        <f t="shared" si="11"/>
        <v>Completed</v>
      </c>
      <c r="P308" s="42" t="str">
        <f t="shared" si="4"/>
        <v>Profit</v>
      </c>
      <c r="Q308" s="43">
        <f t="shared" si="5"/>
        <v>18.06</v>
      </c>
      <c r="R308" s="17" t="b">
        <f t="shared" si="6"/>
        <v>1</v>
      </c>
      <c r="S308" s="17">
        <f t="shared" si="12"/>
        <v>-2.58</v>
      </c>
      <c r="T308" s="22">
        <f t="shared" si="8"/>
        <v>7</v>
      </c>
      <c r="U308" s="24"/>
      <c r="V308" s="24"/>
      <c r="W308" s="24"/>
      <c r="X308" s="24"/>
      <c r="Y308" s="24"/>
      <c r="Z308" s="24"/>
      <c r="AA308" s="24"/>
    </row>
    <row r="309" ht="15.75" customHeight="1">
      <c r="A309" s="24" t="s">
        <v>59</v>
      </c>
      <c r="B309" s="55">
        <v>8.0</v>
      </c>
      <c r="C309" s="55">
        <v>137.68</v>
      </c>
      <c r="D309" s="55">
        <v>62.5</v>
      </c>
      <c r="E309" s="55">
        <v>2.239</v>
      </c>
      <c r="F309" s="55"/>
      <c r="G309" s="55" t="s">
        <v>223</v>
      </c>
      <c r="H309" s="55"/>
      <c r="I309" s="55"/>
      <c r="J309" s="35" t="str">
        <f t="shared" si="14"/>
        <v>2024/02/07</v>
      </c>
      <c r="K309" s="18">
        <f>IFERROR(__xludf.DUMMYFUNCTION("if(isblank(J309),,index(googlefinance(A309,K$2,J309-1),2,2))"),316.07)</f>
        <v>316.07</v>
      </c>
      <c r="L309" s="49" t="str">
        <f t="shared" si="2"/>
        <v/>
      </c>
      <c r="M309" s="19" t="str">
        <f>IFERROR(__xludf.DUMMYFUNCTION("if(isblank(L309),, index(googlefinance(A309,M$2,L309-1),2,2))"),"")</f>
        <v/>
      </c>
      <c r="N309" s="20">
        <f>IFERROR(__xludf.DUMMYFUNCTION("if(isblank(A309),,googlefinance(A309))"),283.7)</f>
        <v>283.7</v>
      </c>
      <c r="O309" s="50" t="str">
        <f t="shared" si="11"/>
        <v>Ongoing</v>
      </c>
      <c r="P309" s="42" t="str">
        <f t="shared" si="4"/>
        <v>Profit</v>
      </c>
      <c r="Q309" s="43">
        <f t="shared" si="5"/>
        <v>97.11</v>
      </c>
      <c r="R309" s="17" t="b">
        <f t="shared" si="6"/>
        <v>1</v>
      </c>
      <c r="S309" s="17">
        <f t="shared" si="12"/>
        <v>-32.37</v>
      </c>
      <c r="T309" s="22">
        <f t="shared" si="8"/>
        <v>3</v>
      </c>
      <c r="U309" s="24"/>
      <c r="V309" s="24"/>
      <c r="W309" s="24"/>
      <c r="X309" s="24"/>
      <c r="Y309" s="24"/>
      <c r="Z309" s="24"/>
      <c r="AA309" s="24"/>
    </row>
    <row r="310" ht="15.75" hidden="1" customHeight="1">
      <c r="A310" s="24" t="s">
        <v>243</v>
      </c>
      <c r="B310" s="55">
        <v>9.0</v>
      </c>
      <c r="C310" s="55">
        <v>320.49</v>
      </c>
      <c r="D310" s="55">
        <v>55.556</v>
      </c>
      <c r="E310" s="55">
        <v>5.119</v>
      </c>
      <c r="F310" s="55"/>
      <c r="G310" s="55" t="s">
        <v>223</v>
      </c>
      <c r="H310" s="55"/>
      <c r="I310" s="55" t="s">
        <v>228</v>
      </c>
      <c r="J310" s="35" t="str">
        <f t="shared" si="14"/>
        <v>2024/02/07</v>
      </c>
      <c r="K310" s="18">
        <f>IFERROR(__xludf.DUMMYFUNCTION("if(isblank(J310),,index(googlefinance(A310,K$2,J310-1),2,2))"),67.79)</f>
        <v>67.79</v>
      </c>
      <c r="L310" s="49" t="str">
        <f t="shared" si="2"/>
        <v>2024/02/16</v>
      </c>
      <c r="M310" s="19">
        <f>IFERROR(__xludf.DUMMYFUNCTION("if(isblank(L310),, index(googlefinance(A310,M$2,L310-1),2,2))"),67.22)</f>
        <v>67.22</v>
      </c>
      <c r="N310" s="20">
        <f>IFERROR(__xludf.DUMMYFUNCTION("if(isblank(A310),,googlefinance(A310))"),67.6)</f>
        <v>67.6</v>
      </c>
      <c r="O310" s="50" t="str">
        <f t="shared" si="11"/>
        <v>Completed</v>
      </c>
      <c r="P310" s="42" t="str">
        <f t="shared" si="4"/>
        <v>Profit</v>
      </c>
      <c r="Q310" s="43">
        <f t="shared" si="5"/>
        <v>7.98</v>
      </c>
      <c r="R310" s="17" t="b">
        <f t="shared" si="6"/>
        <v>1</v>
      </c>
      <c r="S310" s="17">
        <f t="shared" si="12"/>
        <v>-0.57</v>
      </c>
      <c r="T310" s="22">
        <f t="shared" si="8"/>
        <v>14</v>
      </c>
      <c r="U310" s="24"/>
      <c r="V310" s="24"/>
      <c r="W310" s="24"/>
      <c r="X310" s="24"/>
      <c r="Y310" s="24"/>
      <c r="Z310" s="24"/>
      <c r="AA310" s="24"/>
    </row>
    <row r="311" ht="15.75" customHeight="1">
      <c r="A311" s="24" t="s">
        <v>108</v>
      </c>
      <c r="B311" s="55">
        <v>12.0</v>
      </c>
      <c r="C311" s="55">
        <v>100.81</v>
      </c>
      <c r="D311" s="55">
        <v>50.0</v>
      </c>
      <c r="E311" s="55">
        <v>2.563</v>
      </c>
      <c r="F311" s="55"/>
      <c r="G311" s="55" t="s">
        <v>223</v>
      </c>
      <c r="H311" s="55"/>
      <c r="I311" s="55"/>
      <c r="J311" s="35" t="str">
        <f t="shared" si="14"/>
        <v>2024/02/07</v>
      </c>
      <c r="K311" s="18">
        <f>IFERROR(__xludf.DUMMYFUNCTION("if(isblank(J311),,index(googlefinance(A311,K$2,J311-1),2,2))"),53.52)</f>
        <v>53.52</v>
      </c>
      <c r="L311" s="49" t="str">
        <f t="shared" si="2"/>
        <v/>
      </c>
      <c r="M311" s="19" t="str">
        <f>IFERROR(__xludf.DUMMYFUNCTION("if(isblank(L311),, index(googlefinance(A311,M$2,L311-1),2,2))"),"")</f>
        <v/>
      </c>
      <c r="N311" s="20">
        <f>IFERROR(__xludf.DUMMYFUNCTION("if(isblank(A311),,googlefinance(A311))"),51.9)</f>
        <v>51.9</v>
      </c>
      <c r="O311" s="50" t="str">
        <f t="shared" si="11"/>
        <v>Ongoing</v>
      </c>
      <c r="P311" s="42" t="str">
        <f t="shared" si="4"/>
        <v>Profit</v>
      </c>
      <c r="Q311" s="43">
        <f t="shared" si="5"/>
        <v>29.16</v>
      </c>
      <c r="R311" s="17" t="b">
        <f t="shared" si="6"/>
        <v>1</v>
      </c>
      <c r="S311" s="17">
        <f t="shared" si="12"/>
        <v>-1.62</v>
      </c>
      <c r="T311" s="22">
        <f t="shared" si="8"/>
        <v>18</v>
      </c>
      <c r="U311" s="24"/>
      <c r="V311" s="24"/>
      <c r="W311" s="24"/>
      <c r="X311" s="24"/>
      <c r="Y311" s="24"/>
      <c r="Z311" s="24"/>
      <c r="AA311" s="24"/>
    </row>
    <row r="312" ht="15.75" customHeight="1">
      <c r="A312" s="24" t="s">
        <v>203</v>
      </c>
      <c r="B312" s="55">
        <v>15.0</v>
      </c>
      <c r="C312" s="55">
        <v>80.61</v>
      </c>
      <c r="D312" s="55">
        <v>40.0</v>
      </c>
      <c r="E312" s="55">
        <v>1.382</v>
      </c>
      <c r="F312" s="55"/>
      <c r="G312" s="55" t="s">
        <v>242</v>
      </c>
      <c r="H312" s="55"/>
      <c r="I312" s="55"/>
      <c r="J312" s="35" t="str">
        <f t="shared" si="14"/>
        <v>2024/02/08</v>
      </c>
      <c r="K312" s="18">
        <f>IFERROR(__xludf.DUMMYFUNCTION("if(isblank(J312),,index(googlefinance(A312,K$2,J312-1),2,2))"),483.06)</f>
        <v>483.06</v>
      </c>
      <c r="L312" s="49" t="str">
        <f t="shared" si="2"/>
        <v/>
      </c>
      <c r="M312" s="19" t="str">
        <f>IFERROR(__xludf.DUMMYFUNCTION("if(isblank(L312),, index(googlefinance(A312,M$2,L312-1),2,2))"),"")</f>
        <v/>
      </c>
      <c r="N312" s="20">
        <f>IFERROR(__xludf.DUMMYFUNCTION("if(isblank(A312),,googlefinance(A312))"),458.42)</f>
        <v>458.42</v>
      </c>
      <c r="O312" s="50" t="str">
        <f t="shared" si="11"/>
        <v>Ongoing</v>
      </c>
      <c r="P312" s="42" t="str">
        <f t="shared" si="4"/>
        <v>Profit</v>
      </c>
      <c r="Q312" s="43">
        <f t="shared" si="5"/>
        <v>49.28</v>
      </c>
      <c r="R312" s="17" t="b">
        <f t="shared" si="6"/>
        <v>1</v>
      </c>
      <c r="S312" s="17">
        <f t="shared" si="12"/>
        <v>-24.64</v>
      </c>
      <c r="T312" s="22">
        <f t="shared" si="8"/>
        <v>2</v>
      </c>
      <c r="U312" s="24"/>
      <c r="V312" s="24"/>
      <c r="W312" s="24"/>
      <c r="X312" s="24"/>
      <c r="Y312" s="24"/>
      <c r="Z312" s="24"/>
      <c r="AA312" s="24"/>
    </row>
    <row r="313" ht="15.75" customHeight="1">
      <c r="A313" s="24" t="s">
        <v>225</v>
      </c>
      <c r="B313" s="55">
        <v>10.0</v>
      </c>
      <c r="C313" s="55">
        <v>74.65</v>
      </c>
      <c r="D313" s="55">
        <v>30.0</v>
      </c>
      <c r="E313" s="55">
        <v>1.64</v>
      </c>
      <c r="F313" s="55"/>
      <c r="G313" s="55" t="s">
        <v>242</v>
      </c>
      <c r="H313" s="55"/>
      <c r="I313" s="55"/>
      <c r="J313" s="35" t="str">
        <f t="shared" si="14"/>
        <v>2024/02/08</v>
      </c>
      <c r="K313" s="18">
        <f>IFERROR(__xludf.DUMMYFUNCTION("if(isblank(J313),,index(googlefinance(A313,K$2,J313-1),2,2))"),74.62)</f>
        <v>74.62</v>
      </c>
      <c r="L313" s="49" t="str">
        <f t="shared" si="2"/>
        <v/>
      </c>
      <c r="M313" s="19" t="str">
        <f>IFERROR(__xludf.DUMMYFUNCTION("if(isblank(L313),, index(googlefinance(A313,M$2,L313-1),2,2))"),"")</f>
        <v/>
      </c>
      <c r="N313" s="20">
        <f>IFERROR(__xludf.DUMMYFUNCTION("if(isblank(A313),,googlefinance(A313))"),71.98)</f>
        <v>71.98</v>
      </c>
      <c r="O313" s="50" t="str">
        <f t="shared" si="11"/>
        <v>Ongoing</v>
      </c>
      <c r="P313" s="42" t="str">
        <f t="shared" si="4"/>
        <v>Profit</v>
      </c>
      <c r="Q313" s="43">
        <f t="shared" si="5"/>
        <v>34.32</v>
      </c>
      <c r="R313" s="17" t="b">
        <f t="shared" si="6"/>
        <v>1</v>
      </c>
      <c r="S313" s="17">
        <f t="shared" si="12"/>
        <v>-2.64</v>
      </c>
      <c r="T313" s="22">
        <f t="shared" si="8"/>
        <v>13</v>
      </c>
      <c r="U313" s="24"/>
      <c r="V313" s="24"/>
      <c r="W313" s="24"/>
      <c r="X313" s="24"/>
      <c r="Y313" s="24"/>
      <c r="Z313" s="24"/>
      <c r="AA313" s="24"/>
    </row>
    <row r="314" ht="15.75" hidden="1" customHeight="1">
      <c r="A314" s="24" t="s">
        <v>244</v>
      </c>
      <c r="B314" s="55">
        <v>15.0</v>
      </c>
      <c r="C314" s="55">
        <v>321.083</v>
      </c>
      <c r="D314" s="55">
        <v>46.667</v>
      </c>
      <c r="E314" s="55">
        <v>2.109</v>
      </c>
      <c r="F314" s="55"/>
      <c r="G314" s="55" t="s">
        <v>242</v>
      </c>
      <c r="H314" s="55"/>
      <c r="I314" s="56" t="s">
        <v>240</v>
      </c>
      <c r="J314" s="35" t="str">
        <f t="shared" si="14"/>
        <v>2024/02/08</v>
      </c>
      <c r="K314" s="18">
        <f>IFERROR(__xludf.DUMMYFUNCTION("if(isblank(J314),,index(googlefinance(A314,K$2,J314-1),2,2))"),127.55)</f>
        <v>127.55</v>
      </c>
      <c r="L314" s="49" t="str">
        <f t="shared" si="2"/>
        <v>2024/02/09</v>
      </c>
      <c r="M314" s="19">
        <f>IFERROR(__xludf.DUMMYFUNCTION("if(isblank(L314),, index(googlefinance(A314,M$2,L314-1),2,2))"),123.04)</f>
        <v>123.04</v>
      </c>
      <c r="N314" s="20">
        <f>IFERROR(__xludf.DUMMYFUNCTION("if(isblank(A314),,googlefinance(A314))"),124.71)</f>
        <v>124.71</v>
      </c>
      <c r="O314" s="50" t="str">
        <f t="shared" si="11"/>
        <v>Completed</v>
      </c>
      <c r="P314" s="42" t="str">
        <f t="shared" si="4"/>
        <v>Profit</v>
      </c>
      <c r="Q314" s="43">
        <f t="shared" si="5"/>
        <v>31.57</v>
      </c>
      <c r="R314" s="17" t="b">
        <f t="shared" si="6"/>
        <v>1</v>
      </c>
      <c r="S314" s="17">
        <f t="shared" si="12"/>
        <v>-4.51</v>
      </c>
      <c r="T314" s="22">
        <f t="shared" si="8"/>
        <v>7</v>
      </c>
      <c r="U314" s="24"/>
      <c r="V314" s="24"/>
      <c r="W314" s="24"/>
      <c r="X314" s="24"/>
      <c r="Y314" s="24"/>
      <c r="Z314" s="24"/>
      <c r="AA314" s="24"/>
    </row>
    <row r="315" ht="15.75" hidden="1" customHeight="1">
      <c r="A315" s="24" t="s">
        <v>74</v>
      </c>
      <c r="B315" s="55">
        <v>10.0</v>
      </c>
      <c r="C315" s="55">
        <v>255.51</v>
      </c>
      <c r="D315" s="55">
        <v>60.0</v>
      </c>
      <c r="E315" s="55">
        <v>3.561</v>
      </c>
      <c r="F315" s="56" t="s">
        <v>240</v>
      </c>
      <c r="G315" s="55"/>
      <c r="H315" s="55" t="s">
        <v>229</v>
      </c>
      <c r="I315" s="55"/>
      <c r="J315" s="35" t="str">
        <f t="shared" si="14"/>
        <v>2024/02/09</v>
      </c>
      <c r="K315" s="18">
        <f>IFERROR(__xludf.DUMMYFUNCTION("if(isblank(J315),,index(googlefinance(A315,K$2,J315-1),2,2))"),78.47)</f>
        <v>78.47</v>
      </c>
      <c r="L315" s="49" t="str">
        <f t="shared" si="2"/>
        <v>2024/02/13</v>
      </c>
      <c r="M315" s="19">
        <f>IFERROR(__xludf.DUMMYFUNCTION("if(isblank(L315),, index(googlefinance(A315,M$2,L315-1),2,2))"),81.35)</f>
        <v>81.35</v>
      </c>
      <c r="N315" s="20">
        <f>IFERROR(__xludf.DUMMYFUNCTION("if(isblank(A315),,googlefinance(A315))"),79.95)</f>
        <v>79.95</v>
      </c>
      <c r="O315" s="50" t="str">
        <f t="shared" si="11"/>
        <v>Completed</v>
      </c>
      <c r="P315" s="42" t="str">
        <f t="shared" si="4"/>
        <v>Profit</v>
      </c>
      <c r="Q315" s="43">
        <f t="shared" si="5"/>
        <v>34.56</v>
      </c>
      <c r="R315" s="17" t="b">
        <f t="shared" si="6"/>
        <v>1</v>
      </c>
      <c r="S315" s="17">
        <f t="shared" si="12"/>
        <v>2.88</v>
      </c>
      <c r="T315" s="22">
        <f t="shared" si="8"/>
        <v>12</v>
      </c>
      <c r="U315" s="24"/>
      <c r="V315" s="24"/>
      <c r="W315" s="24"/>
      <c r="X315" s="24"/>
      <c r="Y315" s="24"/>
      <c r="Z315" s="24"/>
      <c r="AA315" s="24"/>
    </row>
    <row r="316" ht="15.75" hidden="1" customHeight="1">
      <c r="A316" s="24" t="s">
        <v>75</v>
      </c>
      <c r="B316" s="55">
        <v>16.0</v>
      </c>
      <c r="C316" s="55">
        <v>243.41</v>
      </c>
      <c r="D316" s="55">
        <v>31.25</v>
      </c>
      <c r="E316" s="55">
        <v>1.847</v>
      </c>
      <c r="F316" s="55"/>
      <c r="G316" s="55" t="s">
        <v>229</v>
      </c>
      <c r="H316" s="55"/>
      <c r="I316" s="55" t="s">
        <v>237</v>
      </c>
      <c r="J316" s="35" t="str">
        <f t="shared" si="14"/>
        <v>2024/02/13</v>
      </c>
      <c r="K316" s="18">
        <f>IFERROR(__xludf.DUMMYFUNCTION("if(isblank(J316),,index(googlefinance(A316,K$2,J316-1),2,2))"),266.71)</f>
        <v>266.71</v>
      </c>
      <c r="L316" s="49" t="str">
        <f t="shared" si="2"/>
        <v>2024/02/14</v>
      </c>
      <c r="M316" s="19">
        <f>IFERROR(__xludf.DUMMYFUNCTION("if(isblank(L316),, index(googlefinance(A316,M$2,L316-1),2,2))"),264.45)</f>
        <v>264.45</v>
      </c>
      <c r="N316" s="20">
        <f>IFERROR(__xludf.DUMMYFUNCTION("if(isblank(A316),,googlefinance(A316))"),269.8)</f>
        <v>269.8</v>
      </c>
      <c r="O316" s="50" t="str">
        <f t="shared" si="11"/>
        <v>Completed</v>
      </c>
      <c r="P316" s="42" t="str">
        <f t="shared" si="4"/>
        <v>Profit</v>
      </c>
      <c r="Q316" s="43">
        <f t="shared" si="5"/>
        <v>6.78</v>
      </c>
      <c r="R316" s="17" t="b">
        <f t="shared" si="6"/>
        <v>1</v>
      </c>
      <c r="S316" s="17">
        <f t="shared" si="12"/>
        <v>-2.26</v>
      </c>
      <c r="T316" s="22">
        <f t="shared" si="8"/>
        <v>3</v>
      </c>
      <c r="U316" s="24"/>
      <c r="V316" s="24"/>
      <c r="W316" s="24"/>
      <c r="X316" s="24"/>
      <c r="Y316" s="24"/>
      <c r="Z316" s="24"/>
      <c r="AA316" s="24"/>
    </row>
    <row r="317" ht="15.75" hidden="1" customHeight="1">
      <c r="A317" s="24" t="s">
        <v>137</v>
      </c>
      <c r="B317" s="55">
        <v>11.0</v>
      </c>
      <c r="C317" s="55">
        <v>167.15</v>
      </c>
      <c r="D317" s="55">
        <v>36.364</v>
      </c>
      <c r="E317" s="55">
        <v>1.768</v>
      </c>
      <c r="F317" s="55"/>
      <c r="G317" s="55" t="s">
        <v>229</v>
      </c>
      <c r="H317" s="55"/>
      <c r="I317" s="55" t="s">
        <v>237</v>
      </c>
      <c r="J317" s="35" t="str">
        <f t="shared" si="14"/>
        <v>2024/02/13</v>
      </c>
      <c r="K317" s="18">
        <f>IFERROR(__xludf.DUMMYFUNCTION("if(isblank(J317),,index(googlefinance(A317,K$2,J317-1),2,2))"),568.93)</f>
        <v>568.93</v>
      </c>
      <c r="L317" s="49" t="str">
        <f t="shared" si="2"/>
        <v>2024/02/14</v>
      </c>
      <c r="M317" s="19">
        <f>IFERROR(__xludf.DUMMYFUNCTION("if(isblank(L317),, index(googlefinance(A317,M$2,L317-1),2,2))"),548.53)</f>
        <v>548.53</v>
      </c>
      <c r="N317" s="20">
        <f>IFERROR(__xludf.DUMMYFUNCTION("if(isblank(A317),,googlefinance(A317))"),552.91)</f>
        <v>552.91</v>
      </c>
      <c r="O317" s="50" t="str">
        <f t="shared" si="11"/>
        <v>Completed</v>
      </c>
      <c r="P317" s="42" t="str">
        <f t="shared" si="4"/>
        <v>Profit</v>
      </c>
      <c r="Q317" s="43">
        <f t="shared" si="5"/>
        <v>20.4</v>
      </c>
      <c r="R317" s="17" t="b">
        <f t="shared" si="6"/>
        <v>1</v>
      </c>
      <c r="S317" s="17">
        <f t="shared" si="12"/>
        <v>-20.4</v>
      </c>
      <c r="T317" s="22">
        <f t="shared" si="8"/>
        <v>1</v>
      </c>
      <c r="U317" s="24"/>
      <c r="V317" s="24"/>
      <c r="W317" s="24"/>
      <c r="X317" s="24"/>
      <c r="Y317" s="24"/>
      <c r="Z317" s="24"/>
      <c r="AA317" s="24"/>
    </row>
    <row r="318" ht="15.75" hidden="1" customHeight="1">
      <c r="A318" s="24" t="s">
        <v>105</v>
      </c>
      <c r="B318" s="55">
        <v>10.0</v>
      </c>
      <c r="C318" s="55">
        <v>140.03</v>
      </c>
      <c r="D318" s="55">
        <v>30.0</v>
      </c>
      <c r="E318" s="55">
        <v>2.033</v>
      </c>
      <c r="F318" s="55"/>
      <c r="G318" s="55" t="s">
        <v>229</v>
      </c>
      <c r="H318" s="55"/>
      <c r="I318" s="55" t="s">
        <v>237</v>
      </c>
      <c r="J318" s="35" t="str">
        <f t="shared" si="14"/>
        <v>2024/02/13</v>
      </c>
      <c r="K318" s="18">
        <f>IFERROR(__xludf.DUMMYFUNCTION("if(isblank(J318),,index(googlefinance(A318,K$2,J318-1),2,2))"),247.4)</f>
        <v>247.4</v>
      </c>
      <c r="L318" s="49" t="str">
        <f t="shared" si="2"/>
        <v>2024/02/14</v>
      </c>
      <c r="M318" s="19">
        <f>IFERROR(__xludf.DUMMYFUNCTION("if(isblank(L318),, index(googlefinance(A318,M$2,L318-1),2,2))"),245.61)</f>
        <v>245.61</v>
      </c>
      <c r="N318" s="20">
        <f>IFERROR(__xludf.DUMMYFUNCTION("if(isblank(A318),,googlefinance(A318))"),246.59)</f>
        <v>246.59</v>
      </c>
      <c r="O318" s="50" t="str">
        <f t="shared" si="11"/>
        <v>Completed</v>
      </c>
      <c r="P318" s="42" t="str">
        <f t="shared" si="4"/>
        <v>Profit</v>
      </c>
      <c r="Q318" s="43">
        <f t="shared" si="5"/>
        <v>7.16</v>
      </c>
      <c r="R318" s="17" t="b">
        <f t="shared" si="6"/>
        <v>1</v>
      </c>
      <c r="S318" s="17">
        <f t="shared" si="12"/>
        <v>-1.79</v>
      </c>
      <c r="T318" s="22">
        <f t="shared" si="8"/>
        <v>4</v>
      </c>
      <c r="U318" s="24"/>
      <c r="V318" s="24"/>
      <c r="W318" s="24"/>
      <c r="X318" s="24"/>
      <c r="Y318" s="24"/>
      <c r="Z318" s="24"/>
      <c r="AA318" s="24"/>
    </row>
    <row r="319" ht="15.75" hidden="1" customHeight="1">
      <c r="A319" s="24" t="s">
        <v>124</v>
      </c>
      <c r="B319" s="55">
        <v>13.0</v>
      </c>
      <c r="C319" s="55">
        <v>36.14</v>
      </c>
      <c r="D319" s="55">
        <v>53.846</v>
      </c>
      <c r="E319" s="55">
        <v>1.183</v>
      </c>
      <c r="F319" s="55"/>
      <c r="G319" s="55" t="s">
        <v>237</v>
      </c>
      <c r="H319" s="55"/>
      <c r="I319" s="55" t="s">
        <v>238</v>
      </c>
      <c r="J319" s="35" t="str">
        <f t="shared" si="14"/>
        <v>2024/02/14</v>
      </c>
      <c r="K319" s="18">
        <f>IFERROR(__xludf.DUMMYFUNCTION("if(isblank(J319),,index(googlefinance(A319,K$2,J319-1),2,2))"),142.17)</f>
        <v>142.17</v>
      </c>
      <c r="L319" s="49" t="str">
        <f t="shared" si="2"/>
        <v>2024/02/15</v>
      </c>
      <c r="M319" s="19" t="str">
        <f>IFERROR(__xludf.DUMMYFUNCTION("if(isblank(L319),, index(googlefinance(A319,M$2,L319-1),2,2))"),"#N/A")</f>
        <v>#N/A</v>
      </c>
      <c r="N319" s="20">
        <f>IFERROR(__xludf.DUMMYFUNCTION("if(isblank(A319),,googlefinance(A319))"),136.22)</f>
        <v>136.22</v>
      </c>
      <c r="O319" s="50" t="str">
        <f t="shared" si="11"/>
        <v>Completed</v>
      </c>
      <c r="P319" s="42" t="str">
        <f t="shared" si="4"/>
        <v>#N/A</v>
      </c>
      <c r="Q319" s="43" t="str">
        <f t="shared" si="5"/>
        <v>#N/A</v>
      </c>
      <c r="R319" s="17" t="str">
        <f t="shared" si="6"/>
        <v>#N/A</v>
      </c>
      <c r="S319" s="17" t="str">
        <f t="shared" si="12"/>
        <v>#N/A</v>
      </c>
      <c r="T319" s="22">
        <f t="shared" si="8"/>
        <v>7</v>
      </c>
      <c r="U319" s="24"/>
      <c r="V319" s="24"/>
      <c r="W319" s="24"/>
      <c r="X319" s="24"/>
      <c r="Y319" s="24"/>
      <c r="Z319" s="24"/>
      <c r="AA319" s="24"/>
    </row>
    <row r="320" ht="15.75" hidden="1" customHeight="1">
      <c r="A320" s="24" t="s">
        <v>232</v>
      </c>
      <c r="B320" s="55">
        <v>11.0</v>
      </c>
      <c r="C320" s="55">
        <v>11.69</v>
      </c>
      <c r="D320" s="55">
        <v>27.273</v>
      </c>
      <c r="E320" s="55">
        <v>1.053</v>
      </c>
      <c r="F320" s="55"/>
      <c r="G320" s="55" t="s">
        <v>237</v>
      </c>
      <c r="H320" s="55"/>
      <c r="I320" s="55" t="s">
        <v>228</v>
      </c>
      <c r="J320" s="35" t="str">
        <f t="shared" si="14"/>
        <v>2024/02/14</v>
      </c>
      <c r="K320" s="18">
        <f>IFERROR(__xludf.DUMMYFUNCTION("if(isblank(J320),,index(googlefinance(A320,K$2,J320-1),2,2))"),357.59)</f>
        <v>357.59</v>
      </c>
      <c r="L320" s="49" t="str">
        <f t="shared" si="2"/>
        <v>2024/02/16</v>
      </c>
      <c r="M320" s="19" t="str">
        <f>IFERROR(__xludf.DUMMYFUNCTION("if(isblank(L320),, index(googlefinance(A320,M$2,L320-1),2,2))"),"#N/A")</f>
        <v>#N/A</v>
      </c>
      <c r="N320" s="20">
        <f>IFERROR(__xludf.DUMMYFUNCTION("if(isblank(A320),,googlefinance(A320))"),362.35)</f>
        <v>362.35</v>
      </c>
      <c r="O320" s="50" t="str">
        <f t="shared" si="11"/>
        <v>Completed</v>
      </c>
      <c r="P320" s="42" t="str">
        <f t="shared" si="4"/>
        <v>#N/A</v>
      </c>
      <c r="Q320" s="43" t="str">
        <f t="shared" si="5"/>
        <v>#N/A</v>
      </c>
      <c r="R320" s="17" t="str">
        <f t="shared" si="6"/>
        <v>#N/A</v>
      </c>
      <c r="S320" s="17" t="str">
        <f t="shared" si="12"/>
        <v>#N/A</v>
      </c>
      <c r="T320" s="22">
        <f t="shared" si="8"/>
        <v>2</v>
      </c>
      <c r="U320" s="24"/>
      <c r="V320" s="24"/>
      <c r="W320" s="24"/>
      <c r="X320" s="24"/>
      <c r="Y320" s="24"/>
      <c r="Z320" s="24"/>
      <c r="AA320" s="24"/>
    </row>
    <row r="321" ht="15.75" hidden="1" customHeight="1">
      <c r="A321" s="24" t="s">
        <v>107</v>
      </c>
      <c r="B321" s="55">
        <v>11.0</v>
      </c>
      <c r="C321" s="55">
        <v>151.8</v>
      </c>
      <c r="D321" s="55">
        <v>36.364</v>
      </c>
      <c r="E321" s="55">
        <v>1.728</v>
      </c>
      <c r="F321" s="55" t="s">
        <v>237</v>
      </c>
      <c r="G321" s="55"/>
      <c r="H321" s="55" t="s">
        <v>228</v>
      </c>
      <c r="I321" s="55"/>
      <c r="J321" s="35" t="str">
        <f t="shared" si="14"/>
        <v>2024/02/14</v>
      </c>
      <c r="K321" s="18">
        <f>IFERROR(__xludf.DUMMYFUNCTION("if(isblank(J321),,index(googlefinance(A321,K$2,J321-1),2,2))"),43.16)</f>
        <v>43.16</v>
      </c>
      <c r="L321" s="49" t="str">
        <f t="shared" si="2"/>
        <v>2024/02/16</v>
      </c>
      <c r="M321" s="19">
        <f>IFERROR(__xludf.DUMMYFUNCTION("if(isblank(L321),, index(googlefinance(A321,M$2,L321-1),2,2))"),44.05)</f>
        <v>44.05</v>
      </c>
      <c r="N321" s="20">
        <f>IFERROR(__xludf.DUMMYFUNCTION("if(isblank(A321),,googlefinance(A321))"),43.51)</f>
        <v>43.51</v>
      </c>
      <c r="O321" s="50" t="str">
        <f t="shared" si="11"/>
        <v>Completed</v>
      </c>
      <c r="P321" s="42" t="str">
        <f t="shared" si="4"/>
        <v>Profit</v>
      </c>
      <c r="Q321" s="43">
        <f t="shared" si="5"/>
        <v>20.47</v>
      </c>
      <c r="R321" s="17" t="b">
        <f t="shared" si="6"/>
        <v>1</v>
      </c>
      <c r="S321" s="17">
        <f t="shared" si="12"/>
        <v>0.89</v>
      </c>
      <c r="T321" s="22">
        <f t="shared" si="8"/>
        <v>23</v>
      </c>
      <c r="U321" s="24"/>
      <c r="V321" s="24"/>
      <c r="W321" s="24"/>
      <c r="X321" s="24"/>
      <c r="Y321" s="24"/>
      <c r="Z321" s="24"/>
      <c r="AA321" s="24"/>
    </row>
    <row r="322" ht="15.75" customHeight="1">
      <c r="A322" s="24" t="s">
        <v>114</v>
      </c>
      <c r="B322" s="55">
        <v>12.0</v>
      </c>
      <c r="C322" s="55">
        <v>243.3</v>
      </c>
      <c r="D322" s="55">
        <v>33.333</v>
      </c>
      <c r="E322" s="55">
        <v>1.982</v>
      </c>
      <c r="F322" s="55"/>
      <c r="G322" s="55" t="s">
        <v>237</v>
      </c>
      <c r="H322" s="55"/>
      <c r="I322" s="55"/>
      <c r="J322" s="35" t="str">
        <f t="shared" si="14"/>
        <v>2024/02/14</v>
      </c>
      <c r="K322" s="18">
        <f>IFERROR(__xludf.DUMMYFUNCTION("if(isblank(J322),,index(googlefinance(A322,K$2,J322-1),2,2))"),234.94)</f>
        <v>234.94</v>
      </c>
      <c r="L322" s="49" t="str">
        <f t="shared" si="2"/>
        <v/>
      </c>
      <c r="M322" s="19" t="str">
        <f>IFERROR(__xludf.DUMMYFUNCTION("if(isblank(L322),, index(googlefinance(A322,M$2,L322-1),2,2))"),"")</f>
        <v/>
      </c>
      <c r="N322" s="20">
        <f>IFERROR(__xludf.DUMMYFUNCTION("if(isblank(A322),,googlefinance(A322))"),241.63)</f>
        <v>241.63</v>
      </c>
      <c r="O322" s="50" t="str">
        <f t="shared" si="11"/>
        <v>Ongoing</v>
      </c>
      <c r="P322" s="42" t="str">
        <f t="shared" si="4"/>
        <v>Loss</v>
      </c>
      <c r="Q322" s="43">
        <f t="shared" si="5"/>
        <v>-26.76</v>
      </c>
      <c r="R322" s="17" t="b">
        <f t="shared" si="6"/>
        <v>0</v>
      </c>
      <c r="S322" s="17">
        <f t="shared" si="12"/>
        <v>6.69</v>
      </c>
      <c r="T322" s="22">
        <f t="shared" si="8"/>
        <v>4</v>
      </c>
      <c r="U322" s="24"/>
      <c r="V322" s="24"/>
      <c r="W322" s="24"/>
      <c r="X322" s="24"/>
      <c r="Y322" s="24"/>
      <c r="Z322" s="24"/>
      <c r="AA322" s="24"/>
    </row>
    <row r="323" ht="15.75" customHeight="1">
      <c r="A323" s="24" t="s">
        <v>245</v>
      </c>
      <c r="B323" s="55">
        <v>9.0</v>
      </c>
      <c r="C323" s="55">
        <v>198.4</v>
      </c>
      <c r="D323" s="55">
        <v>33.333</v>
      </c>
      <c r="E323" s="55">
        <v>1.73</v>
      </c>
      <c r="F323" s="55" t="s">
        <v>238</v>
      </c>
      <c r="G323" s="55"/>
      <c r="H323" s="55"/>
      <c r="I323" s="55"/>
      <c r="J323" s="35" t="str">
        <f t="shared" si="14"/>
        <v>2024/02/15</v>
      </c>
      <c r="K323" s="18">
        <f>IFERROR(__xludf.DUMMYFUNCTION("if(isblank(J323),,index(googlefinance(A323,K$2,J323-1),2,2))"),23.91)</f>
        <v>23.91</v>
      </c>
      <c r="L323" s="49" t="str">
        <f t="shared" si="2"/>
        <v/>
      </c>
      <c r="M323" s="19" t="str">
        <f>IFERROR(__xludf.DUMMYFUNCTION("if(isblank(L323),, index(googlefinance(A323,M$2,L323-1),2,2))"),"")</f>
        <v/>
      </c>
      <c r="N323" s="20">
        <f>IFERROR(__xludf.DUMMYFUNCTION("if(isblank(A323),,googlefinance(A323))"),24.68)</f>
        <v>24.68</v>
      </c>
      <c r="O323" s="50" t="str">
        <f t="shared" si="11"/>
        <v>Ongoing</v>
      </c>
      <c r="P323" s="42" t="str">
        <f t="shared" si="4"/>
        <v>Profit</v>
      </c>
      <c r="Q323" s="43">
        <f t="shared" si="5"/>
        <v>31.57</v>
      </c>
      <c r="R323" s="17" t="b">
        <f t="shared" si="6"/>
        <v>1</v>
      </c>
      <c r="S323" s="17">
        <f t="shared" si="12"/>
        <v>0.77</v>
      </c>
      <c r="T323" s="22">
        <f t="shared" si="8"/>
        <v>41</v>
      </c>
      <c r="U323" s="24"/>
      <c r="V323" s="24"/>
      <c r="W323" s="24"/>
      <c r="X323" s="24"/>
      <c r="Y323" s="24"/>
      <c r="Z323" s="24"/>
      <c r="AA323" s="24"/>
    </row>
    <row r="324" ht="15.75" hidden="1" customHeight="1">
      <c r="A324" s="24" t="s">
        <v>246</v>
      </c>
      <c r="B324" s="55">
        <v>7.0</v>
      </c>
      <c r="C324" s="55">
        <v>1.29</v>
      </c>
      <c r="D324" s="55">
        <v>42.857</v>
      </c>
      <c r="E324" s="55">
        <v>1.029</v>
      </c>
      <c r="F324" s="55" t="s">
        <v>238</v>
      </c>
      <c r="G324" s="55"/>
      <c r="H324" s="55" t="s">
        <v>228</v>
      </c>
      <c r="I324" s="55"/>
      <c r="J324" s="35" t="str">
        <f t="shared" si="14"/>
        <v>2024/02/15</v>
      </c>
      <c r="K324" s="18">
        <f>IFERROR(__xludf.DUMMYFUNCTION("if(isblank(J324),,index(googlefinance(A324,K$2,J324-1),2,2))"),86.84)</f>
        <v>86.84</v>
      </c>
      <c r="L324" s="49" t="str">
        <f t="shared" si="2"/>
        <v>2024/02/16</v>
      </c>
      <c r="M324" s="19">
        <f>IFERROR(__xludf.DUMMYFUNCTION("if(isblank(L324),, index(googlefinance(A324,M$2,L324-1),2,2))"),88.22)</f>
        <v>88.22</v>
      </c>
      <c r="N324" s="20">
        <f>IFERROR(__xludf.DUMMYFUNCTION("if(isblank(A324),,googlefinance(A324))"),87.32)</f>
        <v>87.32</v>
      </c>
      <c r="O324" s="50" t="str">
        <f t="shared" si="11"/>
        <v>Completed</v>
      </c>
      <c r="P324" s="42" t="str">
        <f t="shared" si="4"/>
        <v>Profit</v>
      </c>
      <c r="Q324" s="43">
        <f t="shared" si="5"/>
        <v>15.18</v>
      </c>
      <c r="R324" s="17" t="b">
        <f t="shared" si="6"/>
        <v>1</v>
      </c>
      <c r="S324" s="17">
        <f t="shared" si="12"/>
        <v>1.38</v>
      </c>
      <c r="T324" s="22">
        <f t="shared" si="8"/>
        <v>11</v>
      </c>
      <c r="U324" s="24"/>
      <c r="V324" s="24"/>
      <c r="W324" s="24"/>
      <c r="X324" s="24"/>
      <c r="Y324" s="24"/>
      <c r="Z324" s="24"/>
      <c r="AA324" s="24"/>
    </row>
    <row r="325" ht="15.75" customHeight="1">
      <c r="A325" s="24" t="s">
        <v>174</v>
      </c>
      <c r="B325" s="55">
        <v>11.0</v>
      </c>
      <c r="C325" s="55">
        <v>22.9</v>
      </c>
      <c r="D325" s="55">
        <v>36.364</v>
      </c>
      <c r="E325" s="55">
        <v>1.088</v>
      </c>
      <c r="F325" s="55" t="s">
        <v>238</v>
      </c>
      <c r="G325" s="55"/>
      <c r="H325" s="55"/>
      <c r="I325" s="55"/>
      <c r="J325" s="35" t="str">
        <f t="shared" si="14"/>
        <v>2024/02/15</v>
      </c>
      <c r="K325" s="18">
        <f>IFERROR(__xludf.DUMMYFUNCTION("if(isblank(J325),,index(googlefinance(A325,K$2,J325-1),2,2))"),125.09)</f>
        <v>125.09</v>
      </c>
      <c r="L325" s="49" t="str">
        <f t="shared" si="2"/>
        <v/>
      </c>
      <c r="M325" s="19" t="str">
        <f>IFERROR(__xludf.DUMMYFUNCTION("if(isblank(L325),, index(googlefinance(A325,M$2,L325-1),2,2))"),"")</f>
        <v/>
      </c>
      <c r="N325" s="20">
        <f>IFERROR(__xludf.DUMMYFUNCTION("if(isblank(A325),,googlefinance(A325))"),129.17)</f>
        <v>129.17</v>
      </c>
      <c r="O325" s="50" t="str">
        <f t="shared" si="11"/>
        <v>Ongoing</v>
      </c>
      <c r="P325" s="42" t="str">
        <f t="shared" si="4"/>
        <v>Profit</v>
      </c>
      <c r="Q325" s="43">
        <f t="shared" si="5"/>
        <v>28.56</v>
      </c>
      <c r="R325" s="17" t="b">
        <f t="shared" si="6"/>
        <v>1</v>
      </c>
      <c r="S325" s="17">
        <f t="shared" si="12"/>
        <v>4.08</v>
      </c>
      <c r="T325" s="22">
        <f t="shared" si="8"/>
        <v>7</v>
      </c>
      <c r="U325" s="24"/>
      <c r="V325" s="24"/>
      <c r="W325" s="24"/>
      <c r="X325" s="24"/>
      <c r="Y325" s="24"/>
      <c r="Z325" s="24"/>
      <c r="AA325" s="24"/>
    </row>
    <row r="326" ht="15.75" hidden="1" customHeight="1">
      <c r="A326" s="24" t="s">
        <v>115</v>
      </c>
      <c r="B326" s="55">
        <v>13.0</v>
      </c>
      <c r="C326" s="55">
        <v>375.52</v>
      </c>
      <c r="D326" s="55">
        <v>38.462</v>
      </c>
      <c r="E326" s="55">
        <v>3.152</v>
      </c>
      <c r="F326" s="55" t="s">
        <v>238</v>
      </c>
      <c r="G326" s="55"/>
      <c r="H326" s="55" t="s">
        <v>228</v>
      </c>
      <c r="I326" s="55"/>
      <c r="J326" s="35" t="str">
        <f t="shared" si="14"/>
        <v>2024/02/15</v>
      </c>
      <c r="K326" s="18">
        <f>IFERROR(__xludf.DUMMYFUNCTION("if(isblank(J326),,index(googlefinance(A326,K$2,J326-1),2,2))"),195.33)</f>
        <v>195.33</v>
      </c>
      <c r="L326" s="49" t="str">
        <f t="shared" si="2"/>
        <v>2024/02/16</v>
      </c>
      <c r="M326" s="19">
        <f>IFERROR(__xludf.DUMMYFUNCTION("if(isblank(L326),, index(googlefinance(A326,M$2,L326-1),2,2))"),197.82)</f>
        <v>197.82</v>
      </c>
      <c r="N326" s="20">
        <f>IFERROR(__xludf.DUMMYFUNCTION("if(isblank(A326),,googlefinance(A326))"),194.24)</f>
        <v>194.24</v>
      </c>
      <c r="O326" s="50" t="str">
        <f t="shared" si="11"/>
        <v>Completed</v>
      </c>
      <c r="P326" s="42" t="str">
        <f t="shared" si="4"/>
        <v>Profit</v>
      </c>
      <c r="Q326" s="43">
        <f t="shared" si="5"/>
        <v>12.45</v>
      </c>
      <c r="R326" s="17" t="b">
        <f t="shared" si="6"/>
        <v>1</v>
      </c>
      <c r="S326" s="17">
        <f t="shared" si="12"/>
        <v>2.49</v>
      </c>
      <c r="T326" s="22">
        <f t="shared" si="8"/>
        <v>5</v>
      </c>
      <c r="U326" s="24"/>
      <c r="V326" s="24"/>
      <c r="W326" s="24"/>
      <c r="X326" s="24"/>
      <c r="Y326" s="24"/>
      <c r="Z326" s="24"/>
      <c r="AA326" s="24"/>
    </row>
    <row r="327" ht="15.75" customHeight="1">
      <c r="A327" s="24" t="s">
        <v>81</v>
      </c>
      <c r="B327" s="55">
        <v>9.0</v>
      </c>
      <c r="C327" s="55">
        <v>195.21</v>
      </c>
      <c r="D327" s="55">
        <v>44.444</v>
      </c>
      <c r="E327" s="55">
        <v>2.335</v>
      </c>
      <c r="F327" s="55"/>
      <c r="G327" s="55" t="s">
        <v>238</v>
      </c>
      <c r="H327" s="55"/>
      <c r="I327" s="55"/>
      <c r="J327" s="35" t="str">
        <f t="shared" si="14"/>
        <v>2024/02/15</v>
      </c>
      <c r="K327" s="18">
        <f>IFERROR(__xludf.DUMMYFUNCTION("if(isblank(J327),,index(googlefinance(A327,K$2,J327-1),2,2))"),408.19)</f>
        <v>408.19</v>
      </c>
      <c r="L327" s="49" t="str">
        <f t="shared" si="2"/>
        <v/>
      </c>
      <c r="M327" s="19" t="str">
        <f>IFERROR(__xludf.DUMMYFUNCTION("if(isblank(L327),, index(googlefinance(A327,M$2,L327-1),2,2))"),"")</f>
        <v/>
      </c>
      <c r="N327" s="20">
        <f>IFERROR(__xludf.DUMMYFUNCTION("if(isblank(A327),,googlefinance(A327))"),362.05)</f>
        <v>362.05</v>
      </c>
      <c r="O327" s="50" t="str">
        <f t="shared" si="11"/>
        <v>Ongoing</v>
      </c>
      <c r="P327" s="42" t="str">
        <f t="shared" si="4"/>
        <v>Profit</v>
      </c>
      <c r="Q327" s="43">
        <f t="shared" si="5"/>
        <v>92.28</v>
      </c>
      <c r="R327" s="17" t="b">
        <f t="shared" si="6"/>
        <v>1</v>
      </c>
      <c r="S327" s="17">
        <f t="shared" si="12"/>
        <v>-46.14</v>
      </c>
      <c r="T327" s="22">
        <f t="shared" si="8"/>
        <v>2</v>
      </c>
      <c r="U327" s="24"/>
      <c r="V327" s="24"/>
      <c r="W327" s="24"/>
      <c r="X327" s="24"/>
      <c r="Y327" s="24"/>
      <c r="Z327" s="24"/>
      <c r="AA327" s="24"/>
    </row>
    <row r="328" ht="15.75" customHeight="1">
      <c r="A328" s="24" t="s">
        <v>247</v>
      </c>
      <c r="B328" s="55">
        <v>10.0</v>
      </c>
      <c r="C328" s="55">
        <v>15.74</v>
      </c>
      <c r="D328" s="55">
        <v>40.0</v>
      </c>
      <c r="E328" s="55">
        <v>1.124</v>
      </c>
      <c r="F328" s="55" t="s">
        <v>238</v>
      </c>
      <c r="G328" s="55"/>
      <c r="H328" s="55"/>
      <c r="I328" s="55"/>
      <c r="J328" s="35" t="str">
        <f t="shared" si="14"/>
        <v>2024/02/15</v>
      </c>
      <c r="K328" s="18">
        <f>IFERROR(__xludf.DUMMYFUNCTION("if(isblank(J328),,index(googlefinance(A328,K$2,J328-1),2,2))"),32.67)</f>
        <v>32.67</v>
      </c>
      <c r="L328" s="49" t="str">
        <f t="shared" si="2"/>
        <v/>
      </c>
      <c r="M328" s="19" t="str">
        <f>IFERROR(__xludf.DUMMYFUNCTION("if(isblank(L328),, index(googlefinance(A328,M$2,L328-1),2,2))"),"")</f>
        <v/>
      </c>
      <c r="N328" s="20">
        <f>IFERROR(__xludf.DUMMYFUNCTION("if(isblank(A328),,googlefinance(A328))"),33.58)</f>
        <v>33.58</v>
      </c>
      <c r="O328" s="50" t="str">
        <f t="shared" si="11"/>
        <v>Ongoing</v>
      </c>
      <c r="P328" s="42" t="str">
        <f t="shared" si="4"/>
        <v>Profit</v>
      </c>
      <c r="Q328" s="43">
        <f t="shared" si="5"/>
        <v>27.3</v>
      </c>
      <c r="R328" s="17" t="b">
        <f t="shared" si="6"/>
        <v>1</v>
      </c>
      <c r="S328" s="17">
        <f t="shared" si="12"/>
        <v>0.91</v>
      </c>
      <c r="T328" s="22">
        <f t="shared" si="8"/>
        <v>30</v>
      </c>
      <c r="U328" s="24"/>
      <c r="V328" s="24"/>
      <c r="W328" s="24"/>
      <c r="X328" s="24"/>
      <c r="Y328" s="24"/>
      <c r="Z328" s="24"/>
      <c r="AA328" s="2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U$242">
    <sortState ref="A2:U242">
      <sortCondition ref="A2:A242"/>
      <sortCondition ref="J2:J242"/>
    </sortState>
  </autoFilter>
  <conditionalFormatting sqref="J3:J328">
    <cfRule type="expression" dxfId="0" priority="1">
      <formula>IF(COUNTA(F3)=1,TRUE,FALSE)</formula>
    </cfRule>
  </conditionalFormatting>
  <conditionalFormatting sqref="J3:J328">
    <cfRule type="expression" dxfId="1" priority="2">
      <formula>IF(COUNTA(G3)=1,TRUE,FALSE)</formula>
    </cfRule>
  </conditionalFormatting>
  <conditionalFormatting sqref="L3:L328">
    <cfRule type="expression" dxfId="1" priority="3">
      <formula>IF(COUNTA(H3)=1,TRUE,FALSE)</formula>
    </cfRule>
  </conditionalFormatting>
  <conditionalFormatting sqref="L3:L328">
    <cfRule type="expression" dxfId="0" priority="4">
      <formula>IF(COUNTA(I3)=1,TRUE,FALSE)</formula>
    </cfRule>
  </conditionalFormatting>
  <conditionalFormatting sqref="O2:O328">
    <cfRule type="cellIs" dxfId="2" priority="5" operator="equal">
      <formula>"Ongoing"</formula>
    </cfRule>
  </conditionalFormatting>
  <conditionalFormatting sqref="P1:P328">
    <cfRule type="cellIs" dxfId="0" priority="6" operator="equal">
      <formula>"Profit"</formula>
    </cfRule>
  </conditionalFormatting>
  <conditionalFormatting sqref="P1:P328">
    <cfRule type="cellIs" dxfId="1" priority="7" operator="equal">
      <formula>"Loss"</formula>
    </cfRule>
  </conditionalFormatting>
  <conditionalFormatting sqref="Q3:Q328">
    <cfRule type="cellIs" dxfId="3" priority="8" operator="greaterThan">
      <formula>0</formula>
    </cfRule>
  </conditionalFormatting>
  <conditionalFormatting sqref="Q3:Q328">
    <cfRule type="cellIs" dxfId="4" priority="9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