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https://microsofteur-my.sharepoint.com/personal/sasidotm_microsoft_com/Documents/Evangelize/Synapse/Licensing/TCOPackaging/New folder/"/>
    </mc:Choice>
  </mc:AlternateContent>
  <xr:revisionPtr revIDLastSave="82" documentId="13_ncr:1_{7B039767-4389-4A8A-97D8-3760E09C7C37}" xr6:coauthVersionLast="45" xr6:coauthVersionMax="45" xr10:uidLastSave="{57F064DC-8200-4463-B665-1738DFDB7FFA}"/>
  <bookViews>
    <workbookView xWindow="48503" yWindow="-98" windowWidth="28994" windowHeight="15796" xr2:uid="{00000000-000D-0000-FFFF-FFFF00000000}"/>
  </bookViews>
  <sheets>
    <sheet name="Scenario" sheetId="3" r:id="rId1"/>
    <sheet name="Step 0 - Prerequisites" sheetId="8" r:id="rId2"/>
    <sheet name="Step 1 - BYOD usage" sheetId="1" r:id="rId3"/>
    <sheet name="Step1 Helpers" sheetId="7" r:id="rId4"/>
    <sheet name="Step 2 - Azure Services Price " sheetId="2" r:id="rId5"/>
    <sheet name="Step3 - Writers parameters" sheetId="5" r:id="rId6"/>
    <sheet name="Step 4 - Intermediary calcs" sheetId="4" r:id="rId7"/>
    <sheet name="Step5 - Result" sheetId="6" r:id="rId8"/>
  </sheets>
  <definedNames>
    <definedName name="Amount_of_data_scanned__in_Bytes_per_hour">'Step 4 - Intermediary calcs'!$B$24</definedName>
    <definedName name="AVG_Nb_Blocks_per_entity">'Step 4 - Intermediary calcs'!$B$18</definedName>
    <definedName name="AVG_Nb_Files_per_entity">'Step 4 - Intermediary calcs'!$C$18</definedName>
    <definedName name="AVG_Query_Size_in_bytes">'Step 4 - Intermediary calcs'!$C$13</definedName>
    <definedName name="AXDB_Average_Number_AXDBTables_Per_DataEntity">'Step 1 - BYOD usage'!$C$19</definedName>
    <definedName name="AXDB_Average_number_of_rows_per_table">'Step 1 - BYOD usage'!$C$13</definedName>
    <definedName name="AXDB_Average_row_size_in_Bytes">'Step 1 - BYOD usage'!$C$12</definedName>
    <definedName name="AXDB_Nb_Hours_Per_Month_data_ingestion">'Step 1 - BYOD usage'!$C$15</definedName>
    <definedName name="AXDB_NB_RawTablePerEntity">'Step 1 - BYOD usage'!$C$11</definedName>
    <definedName name="BYOD_Average_number_of_BYOD_tables_involved_in_each_query">'Step 1 - BYOD usage'!$C$18</definedName>
    <definedName name="BYOD_Average_number_of_lines_incrementally_Loaded_to_BYOD_per_10_minutes">'Step 1 - BYOD usage'!$C$10</definedName>
    <definedName name="BYOD_Average_number_of_lines_per_tables">'Step 1 - BYOD usage'!$C$9</definedName>
    <definedName name="BYOD_Average_raw_table_size_in_BYOD">'Step 1 - BYOD usage'!$C$8</definedName>
    <definedName name="BYOD_Consumption_Average_Number_of_queries_per_hour">'Step 1 - BYOD usage'!$C$17</definedName>
    <definedName name="BYOD_Monthly_Cost_in_dollars">'Step 1 - BYOD usage'!$C$22</definedName>
    <definedName name="BYOD_Number_of_Tables_in_BYOD">'Step 1 - BYOD usage'!$C$7</definedName>
    <definedName name="INTERMEDIARY_Gap_size_factor___byod_table_record_size__vs_raw_tablesrecords_size">'Step 4 - Intermediary calcs'!$C$11</definedName>
    <definedName name="INTERMEDIARY_Incremental_Load___growth_factor">'Step 1 - BYOD usage'!$C$14</definedName>
    <definedName name="INTERMEDIARY_total_axdb_size_in_byte">'Step 4 - Intermediary calcs'!$C$10</definedName>
    <definedName name="INTERMEDIARY_total_byod_size_in_byte">'Step 4 - Intermediary calcs'!$C$9</definedName>
    <definedName name="Nb_Blocks_per_entity_in_Incremental">'Step 4 - Intermediary calcs'!$G$18</definedName>
    <definedName name="Nb_Hours_Per_Month_data_consumption">'Step 1 - BYOD usage'!$C$20</definedName>
    <definedName name="NB_Reads_per_hour">'Step 4 - Intermediary calcs'!$D$24</definedName>
    <definedName name="Nb_Writes_Per10Mins">'Step 4 - Intermediary calcs'!$H$18</definedName>
    <definedName name="Other_operations_Per10Mins">'Step 4 - Intermediary calcs'!$I$18</definedName>
    <definedName name="percent_volume_Incremental_vs_full">'Step 4 - Intermediary calcs'!$C$12</definedName>
    <definedName name="Price_Data_scanned">'Step 2 - Azure Services Price '!$C$13</definedName>
    <definedName name="Price_Other_operation">'Step 2 - Azure Services Price '!$C$10</definedName>
    <definedName name="Price_Read_Operations_Cost">'Step 2 - Azure Services Price '!$C$9</definedName>
    <definedName name="Price_read_ops_cost_baseUnit">'Step 2 - Azure Services Price '!$D$9</definedName>
    <definedName name="Price_Storage_Capacity_Cost___Month">'Step 2 - Azure Services Price '!$C$7</definedName>
    <definedName name="Price_Write_Operations_cost">'Step 2 - Azure Services Price '!$C$8</definedName>
    <definedName name="Price_write_ops_cost_BaseUnit">'Step 2 - Azure Services Price '!$D$8</definedName>
    <definedName name="Total_DataConsumption">'Step 4 - Intermediary calcs'!$F$36</definedName>
    <definedName name="Total_DataIngestion">'Step 4 - Intermediary calcs'!$J$30</definedName>
    <definedName name="Volume_Per10Mins_Bytes">'Step 4 - Intermediary calcs'!$J$18</definedName>
    <definedName name="WriteParams_Max_nb_blocks_perBlob">'Step3 - Writers parameters'!$C$6</definedName>
    <definedName name="WriteParams_Max_Nb_Records_per_block">'Step3 - Writers parameters'!$C$7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4" l="1"/>
  <c r="C6" i="5"/>
  <c r="C7" i="5" l="1"/>
  <c r="C11" i="6" l="1"/>
  <c r="D24" i="4" l="1"/>
  <c r="E24" i="4" s="1"/>
  <c r="B36" i="4" s="1"/>
  <c r="D36" i="4" s="1"/>
  <c r="C12" i="4"/>
  <c r="C13" i="4"/>
  <c r="B24" i="4" s="1"/>
  <c r="C24" i="4" s="1"/>
  <c r="C36" i="4" s="1"/>
  <c r="E36" i="4" s="1"/>
  <c r="C20" i="1"/>
  <c r="C15" i="1"/>
  <c r="F36" i="4" l="1"/>
  <c r="E12" i="6" s="1"/>
  <c r="C9" i="4"/>
  <c r="F18" i="4" l="1"/>
  <c r="K7" i="4"/>
  <c r="J7" i="4"/>
  <c r="I7" i="4"/>
  <c r="C10" i="4" l="1"/>
  <c r="C11" i="4" s="1"/>
  <c r="J18" i="4" s="1"/>
  <c r="M18" i="4" s="1"/>
  <c r="F30" i="4" s="1"/>
  <c r="H30" i="4" s="1"/>
  <c r="H7" i="4"/>
  <c r="G7" i="4"/>
  <c r="F7" i="4"/>
  <c r="E7" i="4"/>
  <c r="D7" i="4"/>
  <c r="C7" i="4"/>
  <c r="B7" i="4"/>
  <c r="B18" i="4" l="1"/>
  <c r="D18" i="4" l="1"/>
  <c r="B30" i="4" s="1"/>
  <c r="G18" i="4"/>
  <c r="E18" i="4"/>
  <c r="C30" i="4" s="1"/>
  <c r="I18" i="4" l="1"/>
  <c r="L18" i="4" s="1"/>
  <c r="E30" i="4" s="1"/>
  <c r="I30" i="4" s="1"/>
  <c r="H18" i="4"/>
  <c r="K18" i="4" s="1"/>
  <c r="D30" i="4" s="1"/>
  <c r="G30" i="4" s="1"/>
  <c r="J30" i="4" l="1"/>
  <c r="D13" i="6" s="1"/>
  <c r="F11" i="6" s="1"/>
  <c r="G11" i="6" s="1"/>
  <c r="D12" i="6" l="1"/>
</calcChain>
</file>

<file path=xl/sharedStrings.xml><?xml version="1.0" encoding="utf-8"?>
<sst xmlns="http://schemas.openxmlformats.org/spreadsheetml/2006/main" count="196" uniqueCount="165">
  <si>
    <t>TCO calculator : From BYOD to Data Lake Storage Gen 2 with Synapse SQL-OD</t>
  </si>
  <si>
    <t xml:space="preserve">Worksheet Cells legend </t>
  </si>
  <si>
    <t>Input cells</t>
  </si>
  <si>
    <t>Locked input cells</t>
  </si>
  <si>
    <t>Description cells</t>
  </si>
  <si>
    <t>Calculated cells</t>
  </si>
  <si>
    <t>Monetary result cells</t>
  </si>
  <si>
    <t>Scenario covered</t>
  </si>
  <si>
    <t>Customer leverages BYOD export to extract data and then hydrates an enterprise DW or reports on top of BYOD tables (e.g using PBI import mode or Direct query)
Customer wants to have this shift absolutely transparent from data consumption perpsective and wants to have a SQL endpoint to interact with data in the lake.</t>
  </si>
  <si>
    <t xml:space="preserve">Question we aim to answer :  
what will be customer cost impact or savings to move from BYOD to Azure SQL + SynapseSQL-OD ?
To arrive at that number, use the sheets in this workbook in order.  Fields highlighted in green are input fields, intended for you to populate.
Worksheet cells legend is described above </t>
  </si>
  <si>
    <t>Who is this aimed at ?</t>
  </si>
  <si>
    <t>This is aimed at D365 It professionals, customers or partners working on a D365 FO/ Commerce /HR implementation or live project and wants to have a total cost of ownership estimation to leverage Data Lake Storage Gen2 and Synapse SQl On Demand</t>
  </si>
  <si>
    <t>STEP 0 - Prerequisites</t>
  </si>
  <si>
    <r>
      <rPr>
        <b/>
        <sz val="11"/>
        <color theme="1"/>
        <rFont val="Calibri"/>
        <family val="2"/>
        <scheme val="minor"/>
      </rPr>
      <t>a.Perform a Database refresh of AXDB from Production to Sandbox environment (e.g : PITR PROD to Sandbox)</t>
    </r>
    <r>
      <rPr>
        <sz val="11"/>
        <color theme="1"/>
        <rFont val="Calibri"/>
        <family val="2"/>
        <scheme val="minor"/>
      </rPr>
      <t>- 
This is required to collect latest statistics by running queries provided with the tool</t>
    </r>
  </si>
  <si>
    <r>
      <t xml:space="preserve">b.	Need access to production BYOD database and setup “Query store capture mode” to All </t>
    </r>
    <r>
      <rPr>
        <sz val="11"/>
        <color theme="1"/>
        <rFont val="Calibri"/>
        <family val="2"/>
        <scheme val="minor"/>
      </rPr>
      <t>-</t>
    </r>
    <r>
      <rPr>
        <b/>
        <sz val="11"/>
        <color theme="1"/>
        <rFont val="Calibri"/>
        <family val="2"/>
        <scheme val="minor"/>
      </rPr>
      <t xml:space="preserve">  
</t>
    </r>
    <r>
      <rPr>
        <sz val="11"/>
        <color theme="1"/>
        <rFont val="Calibri"/>
        <family val="2"/>
        <scheme val="minor"/>
      </rPr>
      <t>This is required to collect query statistics to understand the read patterns on the BYOD database in production</t>
    </r>
  </si>
  <si>
    <t>STEP 1 - BYOD usage and data structure</t>
  </si>
  <si>
    <t>Fill in the input fields (highlighted in green) with the appropriate values 
from your freshly-restored Sandbox.  Use the scripts named in column D to retrieve the actual values from SQL Management Studio.  See the Step 1 Helpers tab for additional info</t>
  </si>
  <si>
    <t>Description</t>
  </si>
  <si>
    <t>Figures</t>
  </si>
  <si>
    <t>Details / Helper ID (Id in Tab Step1 Helpers)</t>
  </si>
  <si>
    <t>Data ingestion</t>
  </si>
  <si>
    <t>Number of Staging Tables in BYOD</t>
  </si>
  <si>
    <t>DI_BYOD_NBBYODTables</t>
  </si>
  <si>
    <t>Average table row size in BYOD</t>
  </si>
  <si>
    <t>DI_BYOD_AVGRowSize</t>
  </si>
  <si>
    <t>Average number of lines per tables</t>
  </si>
  <si>
    <t>DI_BYOD_AVGNBLinesPerTable</t>
  </si>
  <si>
    <t>Average number of lines incrementally Loaded to BYOD per 10 minutes</t>
  </si>
  <si>
    <t>DI_AXDB_AVGNBLinesIncrementalPer10Minutes</t>
  </si>
  <si>
    <t>Number of subsequent AXDB tables used as 
data sources of BYOD Data entities</t>
  </si>
  <si>
    <t>DI_AXDB_NBRawTables</t>
  </si>
  <si>
    <t>Average row size in Bytes</t>
  </si>
  <si>
    <t>DI_AXDB_AVGRowSizeRawTableInBytes</t>
  </si>
  <si>
    <t>Average number of rows per table</t>
  </si>
  <si>
    <t>DI_AXDB_AVGNumberOfRowsPerRawTable</t>
  </si>
  <si>
    <t>% insert in incremental (% insert / total changes)</t>
  </si>
  <si>
    <t>value from 0-1. 
1 - means changes toward AXDB tables are exclusively inserts   
0 - means changes toward AXDB tables are exclusively updates/deletes</t>
  </si>
  <si>
    <t>Nb Hours Per Month (data ingestion)</t>
  </si>
  <si>
    <t>Estimation of number of hours per month 
where data are being modified in AXDB</t>
  </si>
  <si>
    <t>Data consumption</t>
  </si>
  <si>
    <t>Average Number of queries per hour</t>
  </si>
  <si>
    <t>DC_BYOD_AVGNBQueriesPerHour</t>
  </si>
  <si>
    <t>Average number of BYOD tables involved in each query</t>
  </si>
  <si>
    <t>DC_BYOD_AVGNBBYODTablesPerQuery</t>
  </si>
  <si>
    <t>Average number of raw tables needed per entity</t>
  </si>
  <si>
    <t>DC_AXDB_AVGNBAXDBTablesPerDataEntity</t>
  </si>
  <si>
    <t>Nb Hours Per Month (data consumption)</t>
  </si>
  <si>
    <t>Estimation number of hours per month 
where queries are being executed on BYOD</t>
  </si>
  <si>
    <t>COST</t>
  </si>
  <si>
    <t>BYOD Monthly Cost in $</t>
  </si>
  <si>
    <t>To be calculated from Azure monthly invoices</t>
  </si>
  <si>
    <t>STEP 1 - Helpers to get the figures</t>
  </si>
  <si>
    <t>SQL helpers</t>
  </si>
  <si>
    <t>ID</t>
  </si>
  <si>
    <t>fileName in zip</t>
  </si>
  <si>
    <t>Data Ingestion</t>
  </si>
  <si>
    <t>Number of Tables in BYOD</t>
  </si>
  <si>
    <t>DI_BYOD_NBBYODTables.sql</t>
  </si>
  <si>
    <t>Average raw table size in BYOD</t>
  </si>
  <si>
    <t>DI_BYOD_AVGRowSize.sql</t>
  </si>
  <si>
    <t>DI_BYOD_AVGNBLinesPerTable.sql</t>
  </si>
  <si>
    <t>DI_AXDB_AVGNBLinesIncrementalPer10Minutes.sql</t>
  </si>
  <si>
    <t>Number of subsequent raw tables used as data sources of the Data entities</t>
  </si>
  <si>
    <t>DI_AXDB_NBRawTables.sql</t>
  </si>
  <si>
    <t>DI_AXDB_AVGRowSizeRawTableInBytes.sql</t>
  </si>
  <si>
    <t>DI_AXDB_AVGNumberOfRowsPerRawTable.sql</t>
  </si>
  <si>
    <t>DC_BYOD_AVGNBQueriesPerHour.sql</t>
  </si>
  <si>
    <t>DC_BYOD_AVGNBBYODTablesPerQuery.sql</t>
  </si>
  <si>
    <t>DC_AXDB_AVGNBAXDBTablesPerDataEntity.sql</t>
  </si>
  <si>
    <t>Helper Id Naming Nomenclature</t>
  </si>
  <si>
    <t>flow_targetDB_Name (e.g : DI_BYOD_NBTables)</t>
  </si>
  <si>
    <t>Flow</t>
  </si>
  <si>
    <t>DI : Data Ingestion / DC : Data consumption</t>
  </si>
  <si>
    <t>Database</t>
  </si>
  <si>
    <t>BYOD : script to execute in BYOD
AXDB : script to execute in AXDB after PITR from PROD</t>
  </si>
  <si>
    <t>script Name</t>
  </si>
  <si>
    <t>Helper Name</t>
  </si>
  <si>
    <t>Step 2 - Azure Services Price</t>
  </si>
  <si>
    <r>
      <t xml:space="preserve">The input fields on this tab are the unitary prices from the 
Azure pricing details page linked below.  
</t>
    </r>
    <r>
      <rPr>
        <u/>
        <sz val="11"/>
        <color theme="1"/>
        <rFont val="Calibri"/>
        <family val="2"/>
        <scheme val="minor"/>
      </rPr>
      <t>Mandatory settings :</t>
    </r>
    <r>
      <rPr>
        <sz val="11"/>
        <color theme="1"/>
        <rFont val="Calibri"/>
        <family val="2"/>
        <scheme val="minor"/>
      </rPr>
      <t xml:space="preserve">
Type                          = Data Lake Storage Gen2
FILE STRUCTURE      = Hierarchical Namespace
Consider the selections in the Azure calculator carefully, 
as they impact performance, availability, and pricing.</t>
    </r>
  </si>
  <si>
    <t>https://azure.microsoft.com/en-us/pricing/details/storage/data-lake/</t>
  </si>
  <si>
    <t>https://azure.microsoft.com/en-us/pricing/details/synapse-analytics/</t>
  </si>
  <si>
    <t>Azure Storage Gen 2</t>
  </si>
  <si>
    <t>Cost</t>
  </si>
  <si>
    <t>Base Unit</t>
  </si>
  <si>
    <t>Unit</t>
  </si>
  <si>
    <t>Storage Capacity Cost / Month</t>
  </si>
  <si>
    <t>gb-Month</t>
  </si>
  <si>
    <t>Write Operations cost</t>
  </si>
  <si>
    <t>Operaiton</t>
  </si>
  <si>
    <t>Read Operations Cost</t>
  </si>
  <si>
    <t>Other operation</t>
  </si>
  <si>
    <t>Operation</t>
  </si>
  <si>
    <t>Synapse SQL-OD</t>
  </si>
  <si>
    <t>Data scanned</t>
  </si>
  <si>
    <t>$-TB</t>
  </si>
  <si>
    <t xml:space="preserve">Below screenshots are extracted from Azure pricing details page to illustrate an example of pricing.
Set your parameters to reflect your lake requirements, and then extract the values as highlighted in below sample.
Every factor influences the unitary cost please choose them carefully (e.g as the BYOD cost you entered in step 1 is based on your current expenditure, The comparison should be evaluated using similar Azure Data lake Gen 2 availability options as they have impact on cost local redundancy vs Geo redundancy to name them.  
</t>
  </si>
  <si>
    <t>Step3 - Writers parameters</t>
  </si>
  <si>
    <r>
      <t xml:space="preserve">The input fields on this tabs represent some key characterisitcs of the micro-service writer which affects the cost.
</t>
    </r>
    <r>
      <rPr>
        <u/>
        <sz val="11"/>
        <color theme="1"/>
        <rFont val="Calibri"/>
        <family val="2"/>
        <scheme val="minor"/>
      </rPr>
      <t>Max Blob size</t>
    </r>
    <r>
      <rPr>
        <sz val="11"/>
        <color theme="1"/>
        <rFont val="Calibri"/>
        <family val="2"/>
        <scheme val="minor"/>
      </rPr>
      <t xml:space="preserve"> : This factor helps in the Step 4 calculation sheet to get the number of partition files per table
</t>
    </r>
    <r>
      <rPr>
        <u/>
        <sz val="11"/>
        <color theme="1"/>
        <rFont val="Calibri"/>
        <family val="2"/>
        <scheme val="minor"/>
      </rPr>
      <t>Max Nb Records per blocks</t>
    </r>
    <r>
      <rPr>
        <sz val="11"/>
        <color theme="1"/>
        <rFont val="Calibri"/>
        <family val="2"/>
        <scheme val="minor"/>
      </rPr>
      <t xml:space="preserve"> : based on the number of records per table, it will help estimate the average number of writing transactions sent to the lake</t>
    </r>
  </si>
  <si>
    <t>Service writer parameters</t>
  </si>
  <si>
    <t>Current Limits</t>
  </si>
  <si>
    <t>Max Number of Blocks per blob</t>
  </si>
  <si>
    <t>Number of Records per block</t>
  </si>
  <si>
    <r>
      <rPr>
        <b/>
        <i/>
        <sz val="11"/>
        <color theme="1"/>
        <rFont val="Calibri"/>
        <family val="2"/>
        <scheme val="minor"/>
      </rPr>
      <t>DISCLAIMER</t>
    </r>
    <r>
      <rPr>
        <i/>
        <sz val="11"/>
        <color theme="1"/>
        <rFont val="Calibri"/>
        <family val="2"/>
        <scheme val="minor"/>
      </rPr>
      <t xml:space="preserve"> : The number of records per block may change in 
future to improve write cost and or performance, this calculator relies on current state of the micro service writer</t>
    </r>
  </si>
  <si>
    <t>Step 4 - Intermediary calculations</t>
  </si>
  <si>
    <t>This tab is exclusively aimed to host intermediary calculations required to reach the final cost analysis target.</t>
  </si>
  <si>
    <t>(BYOD) Nb Tables</t>
  </si>
  <si>
    <t>(BYOD) Avg Number 
of lines per table</t>
  </si>
  <si>
    <t>(BYOD) AVG Row size</t>
  </si>
  <si>
    <t>(BYOD) Avg Number of lines 
incrementaly 
loaded / 10 minutes</t>
  </si>
  <si>
    <t>(AXDB) Number of raw tables 
for BYOD entities</t>
  </si>
  <si>
    <t>(AXDB) avg raw table 
record size in bytes</t>
  </si>
  <si>
    <t>(AXDB) avg nb records</t>
  </si>
  <si>
    <t>(BYOD) avg NB 
queries Per Hour</t>
  </si>
  <si>
    <t>(BYOD) avg number of 
entities per query</t>
  </si>
  <si>
    <t>(BYOD) Avg number 
of tables per entity</t>
  </si>
  <si>
    <t xml:space="preserve">byod size in byte : </t>
  </si>
  <si>
    <t>axdb size in byte :</t>
  </si>
  <si>
    <t>Gap size factor 
(byod table record size 
vs raw tablesrecords size)</t>
  </si>
  <si>
    <t>ratio Incremental vs full</t>
  </si>
  <si>
    <t>AVG Query Size in bytes</t>
  </si>
  <si>
    <t>Initial write</t>
  </si>
  <si>
    <t>incremental(10min)</t>
  </si>
  <si>
    <t>Monthly increment</t>
  </si>
  <si>
    <t>AVG Nb Blocks per entity</t>
  </si>
  <si>
    <t>AVG Nb partitions per entity</t>
  </si>
  <si>
    <t>AVG Nb Writes</t>
  </si>
  <si>
    <t>AVG NB Other Operations</t>
  </si>
  <si>
    <t>Estimated Volume (Bytes)</t>
  </si>
  <si>
    <t>AVG Nb Blocks per 
entity in Incremental</t>
  </si>
  <si>
    <t>AVG NB Other 
Operations</t>
  </si>
  <si>
    <t>Synapse</t>
  </si>
  <si>
    <t>ADLS Gen 2</t>
  </si>
  <si>
    <t>Amount of data scanned 
in Bytes per hour</t>
  </si>
  <si>
    <t>Amount of data 
scaned per month in Bytes</t>
  </si>
  <si>
    <t>NB Reads per hour</t>
  </si>
  <si>
    <t>Nb Reads Per Month</t>
  </si>
  <si>
    <t>Data ingestion (12 months)</t>
  </si>
  <si>
    <t>Initial Nb Writes</t>
  </si>
  <si>
    <t>Initial Nb Other Ops</t>
  </si>
  <si>
    <t>Yearly Nb Writes</t>
  </si>
  <si>
    <t>Yearly Nb operations
 (other then writes)</t>
  </si>
  <si>
    <t>M+12 Months 
storage Volume 
(Bytes)</t>
  </si>
  <si>
    <t>Write Costs in $</t>
  </si>
  <si>
    <t>Storage cost in $</t>
  </si>
  <si>
    <t>Other ops cost in $</t>
  </si>
  <si>
    <t>Total in $</t>
  </si>
  <si>
    <t>Data Cosnumption (12 months)</t>
  </si>
  <si>
    <t>ADLS Gen2 Nb Reads Per Year</t>
  </si>
  <si>
    <t>Data scanned per year</t>
  </si>
  <si>
    <t>ADLS Gen2 reads 
Cost in $</t>
  </si>
  <si>
    <t>Synapse SQL-OD
 Cost in $</t>
  </si>
  <si>
    <t>Step5 - Cost Comparison</t>
  </si>
  <si>
    <t>This step shows the final monetary comparison result of ownership between BYOD and ADLS + Synapse SQL-OD</t>
  </si>
  <si>
    <t>BYOD Yearly
Cost in $</t>
  </si>
  <si>
    <t>ADLS Gen 2 + 
Synapse SQL OD
Yearly Cost in $</t>
  </si>
  <si>
    <t>Yearly Difference 
in $</t>
  </si>
  <si>
    <t>Yearly Difference 
in %</t>
  </si>
  <si>
    <t xml:space="preserve">Data ingestion </t>
  </si>
  <si>
    <t>Data Consumption</t>
  </si>
  <si>
    <r>
      <rPr>
        <b/>
        <i/>
        <sz val="11"/>
        <color theme="1"/>
        <rFont val="Calibri"/>
        <family val="2"/>
        <scheme val="minor"/>
      </rPr>
      <t>DISCLAIMER</t>
    </r>
    <r>
      <rPr>
        <i/>
        <sz val="11"/>
        <color theme="1"/>
        <rFont val="Calibri"/>
        <family val="2"/>
        <scheme val="minor"/>
      </rPr>
      <t xml:space="preserve"> : The results comparison as well as the related potential savings are only rough estimates based on inputs you entered and calculation rules which applies to current implementation state of the Data Feed Table export private preview feature.
It will give the order of magnitude of what cost can be based on expected workload and micro service writer algorithm.
For simplifcation purposes, some marginal costs (e.g marginal unitary ADLS Gen2 operations used by te micro service writer, Synapse SQL-OD transformation steps used in complex queries)  are not represented. In the demo environment used to build this calculator these costs represented &lt;0.1% of the price. this ratio can't be known in advance and is tied to every implementation query complexity, but will remain marginal compared to factors taken in account.</t>
    </r>
  </si>
  <si>
    <t>v.0.2 - Avergae Number of records per block $= 4MB / Avg Nb Records</t>
  </si>
  <si>
    <t xml:space="preserve">Changes </t>
  </si>
  <si>
    <t>changes</t>
  </si>
  <si>
    <t>Data ingestion Per entity</t>
  </si>
  <si>
    <t>v 0.2 : Bug fix Initial Nb writes + changes in incremental writes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</si>
</sst>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22"/>
      <color theme="1"/>
      <name val="Calibri"/>
      <family val="2"/>
      <scheme val="minor"/>
    </font>
    <font>
      <u/>
      <sz val="11"/>
      <color theme="10"/>
      <name val="Calibri"/>
      <family val="2"/>
      <scheme val="minor"/>
    </font>
    <font>
      <sz val="18"/>
      <color theme="1"/>
      <name val="Calibri"/>
      <family val="2"/>
      <scheme val="minor"/>
    </font>
    <font>
      <sz val="22"/>
      <color theme="1"/>
      <name val="Calibri"/>
      <family val="2"/>
      <scheme val="minor"/>
    </font>
    <font>
      <u/>
      <sz val="11"/>
      <color theme="1"/>
      <name val="Calibri"/>
      <family val="2"/>
      <scheme val="minor"/>
    </font>
    <font>
      <b/>
      <sz val="18"/>
      <color theme="1"/>
      <name val="Calibri"/>
      <family val="2"/>
      <scheme val="minor"/>
    </font>
    <font>
      <i/>
      <sz val="11"/>
      <color theme="1"/>
      <name val="Calibri"/>
      <family val="2"/>
      <scheme val="minor"/>
    </font>
    <font>
      <b/>
      <i/>
      <sz val="11"/>
      <color theme="1"/>
      <name val="Calibri"/>
      <family val="2"/>
      <scheme val="minor"/>
    </font>
  </fonts>
  <fills count="7">
    <fill>
      <patternFill patternType="none"/>
    </fill>
    <fill>
      <patternFill patternType="gray125"/>
    </fill>
    <fill>
      <patternFill patternType="solid">
        <fgColor theme="6" tint="0.39997558519241921"/>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theme="7" tint="0.5999938962981048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3" fillId="0" borderId="0" applyNumberFormat="0" applyFill="0" applyBorder="0" applyAlignment="0" applyProtection="0"/>
  </cellStyleXfs>
  <cellXfs count="56">
    <xf numFmtId="0" fontId="0" fillId="0" borderId="0" xfId="0"/>
    <xf numFmtId="0" fontId="1" fillId="0" borderId="1" xfId="0" applyFont="1" applyBorder="1"/>
    <xf numFmtId="0" fontId="0" fillId="0" borderId="1" xfId="0" applyBorder="1"/>
    <xf numFmtId="0" fontId="0" fillId="0" borderId="1" xfId="0" applyFont="1" applyBorder="1"/>
    <xf numFmtId="0" fontId="0" fillId="0" borderId="0" xfId="0" applyAlignment="1">
      <alignment wrapText="1"/>
    </xf>
    <xf numFmtId="0" fontId="3" fillId="0" borderId="0" xfId="1"/>
    <xf numFmtId="0" fontId="0" fillId="0" borderId="1" xfId="0" applyFont="1" applyFill="1" applyBorder="1"/>
    <xf numFmtId="0" fontId="0" fillId="0" borderId="1" xfId="0" applyFill="1" applyBorder="1"/>
    <xf numFmtId="0" fontId="0" fillId="3" borderId="1" xfId="0" applyFill="1" applyBorder="1"/>
    <xf numFmtId="0" fontId="5" fillId="0" borderId="0" xfId="0" applyFont="1"/>
    <xf numFmtId="0" fontId="0" fillId="0" borderId="1" xfId="0" applyBorder="1" applyAlignment="1">
      <alignment wrapText="1"/>
    </xf>
    <xf numFmtId="0" fontId="0" fillId="0" borderId="0" xfId="0" applyAlignment="1"/>
    <xf numFmtId="0" fontId="0" fillId="2" borderId="1" xfId="0" applyFill="1" applyBorder="1" applyAlignment="1">
      <alignment wrapText="1"/>
    </xf>
    <xf numFmtId="0" fontId="0" fillId="2" borderId="1" xfId="0" applyFill="1" applyBorder="1"/>
    <xf numFmtId="0" fontId="1" fillId="0" borderId="1" xfId="0" applyFont="1" applyBorder="1" applyAlignment="1">
      <alignment wrapText="1"/>
    </xf>
    <xf numFmtId="0" fontId="0" fillId="0" borderId="0" xfId="0" applyBorder="1"/>
    <xf numFmtId="0" fontId="1" fillId="0" borderId="0" xfId="0" applyFont="1" applyBorder="1" applyAlignment="1">
      <alignment wrapText="1"/>
    </xf>
    <xf numFmtId="0" fontId="0" fillId="0" borderId="0" xfId="0" applyBorder="1" applyAlignment="1">
      <alignment wrapText="1"/>
    </xf>
    <xf numFmtId="0" fontId="0" fillId="3" borderId="1" xfId="0" applyFill="1" applyBorder="1" applyAlignment="1">
      <alignment wrapText="1"/>
    </xf>
    <xf numFmtId="0" fontId="0" fillId="0" borderId="6" xfId="0" applyBorder="1" applyAlignment="1">
      <alignment wrapText="1"/>
    </xf>
    <xf numFmtId="0" fontId="1" fillId="4" borderId="5" xfId="0" applyFont="1" applyFill="1" applyBorder="1" applyProtection="1">
      <protection locked="0"/>
    </xf>
    <xf numFmtId="0" fontId="4" fillId="3" borderId="1" xfId="0" applyFont="1" applyFill="1" applyBorder="1" applyAlignment="1">
      <alignment wrapText="1"/>
    </xf>
    <xf numFmtId="0" fontId="0" fillId="6" borderId="1" xfId="0" applyFill="1" applyBorder="1"/>
    <xf numFmtId="0" fontId="2" fillId="0" borderId="0" xfId="0" applyFont="1" applyBorder="1" applyAlignment="1">
      <alignment wrapText="1"/>
    </xf>
    <xf numFmtId="0" fontId="1" fillId="4" borderId="5" xfId="0" applyFont="1" applyFill="1" applyBorder="1" applyAlignment="1" applyProtection="1">
      <alignment wrapText="1"/>
      <protection locked="0"/>
    </xf>
    <xf numFmtId="0" fontId="0" fillId="0" borderId="7" xfId="0" applyBorder="1" applyAlignment="1">
      <alignment wrapText="1"/>
    </xf>
    <xf numFmtId="0" fontId="0" fillId="6" borderId="1" xfId="0" applyFill="1" applyBorder="1" applyAlignment="1">
      <alignment wrapText="1"/>
    </xf>
    <xf numFmtId="0" fontId="0" fillId="0" borderId="1" xfId="0" applyFont="1" applyFill="1" applyBorder="1" applyAlignment="1">
      <alignment wrapText="1"/>
    </xf>
    <xf numFmtId="0" fontId="7" fillId="2" borderId="1" xfId="0" applyFont="1" applyFill="1" applyBorder="1" applyAlignment="1">
      <alignment wrapText="1"/>
    </xf>
    <xf numFmtId="0" fontId="8" fillId="0" borderId="0" xfId="0" applyFont="1" applyAlignment="1">
      <alignment wrapText="1"/>
    </xf>
    <xf numFmtId="0" fontId="1" fillId="5" borderId="5" xfId="0" applyFont="1" applyFill="1" applyBorder="1" applyProtection="1"/>
    <xf numFmtId="0" fontId="1" fillId="5" borderId="5" xfId="0" applyFont="1" applyFill="1" applyBorder="1" applyAlignment="1" applyProtection="1">
      <alignment wrapText="1"/>
    </xf>
    <xf numFmtId="0" fontId="0" fillId="0" borderId="0" xfId="0" applyAlignment="1">
      <alignment vertical="top" wrapText="1"/>
    </xf>
    <xf numFmtId="0" fontId="1" fillId="4" borderId="0" xfId="0" applyFont="1" applyFill="1" applyBorder="1" applyProtection="1">
      <protection locked="0"/>
    </xf>
    <xf numFmtId="0" fontId="0" fillId="0" borderId="0" xfId="0" applyFont="1" applyBorder="1" applyAlignment="1">
      <alignment wrapText="1"/>
    </xf>
    <xf numFmtId="0" fontId="1" fillId="0" borderId="0" xfId="0" applyFont="1"/>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0" fillId="3" borderId="1" xfId="0"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7" fillId="2" borderId="2" xfId="0" applyFont="1" applyFill="1" applyBorder="1" applyAlignment="1">
      <alignment horizontal="center" wrapText="1"/>
    </xf>
    <xf numFmtId="0" fontId="7" fillId="2" borderId="4" xfId="0" applyFont="1" applyFill="1" applyBorder="1" applyAlignment="1">
      <alignment horizontal="center" wrapText="1"/>
    </xf>
    <xf numFmtId="0" fontId="4" fillId="3" borderId="2" xfId="0" applyFont="1" applyFill="1" applyBorder="1" applyAlignment="1">
      <alignment horizontal="center" wrapText="1"/>
    </xf>
    <xf numFmtId="0" fontId="4" fillId="3" borderId="4" xfId="0" applyFont="1" applyFill="1" applyBorder="1" applyAlignment="1">
      <alignment horizontal="center" wrapText="1"/>
    </xf>
    <xf numFmtId="0" fontId="7" fillId="2" borderId="6" xfId="0" applyFont="1" applyFill="1" applyBorder="1" applyAlignment="1">
      <alignment horizontal="center" wrapText="1"/>
    </xf>
    <xf numFmtId="0" fontId="7" fillId="2" borderId="8" xfId="0" applyFont="1" applyFill="1" applyBorder="1" applyAlignment="1">
      <alignment horizontal="center" wrapText="1"/>
    </xf>
    <xf numFmtId="0" fontId="7" fillId="2" borderId="7" xfId="0" applyFont="1" applyFill="1" applyBorder="1" applyAlignment="1">
      <alignment horizontal="center" wrapText="1"/>
    </xf>
    <xf numFmtId="0" fontId="7" fillId="6" borderId="6" xfId="0" applyFont="1" applyFill="1" applyBorder="1" applyAlignment="1">
      <alignment horizontal="center"/>
    </xf>
    <xf numFmtId="0" fontId="7" fillId="6" borderId="8" xfId="0" applyFont="1" applyFill="1" applyBorder="1" applyAlignment="1">
      <alignment horizontal="center"/>
    </xf>
    <xf numFmtId="0" fontId="7" fillId="6" borderId="7" xfId="0" applyFont="1" applyFill="1" applyBorder="1" applyAlignment="1">
      <alignment horizontal="center"/>
    </xf>
    <xf numFmtId="10" fontId="7" fillId="6" borderId="6" xfId="0" applyNumberFormat="1" applyFont="1" applyFill="1" applyBorder="1" applyAlignment="1">
      <alignment horizontal="center"/>
    </xf>
    <xf numFmtId="10" fontId="7" fillId="6" borderId="8" xfId="0" applyNumberFormat="1" applyFont="1" applyFill="1" applyBorder="1" applyAlignment="1">
      <alignment horizontal="center"/>
    </xf>
    <xf numFmtId="10" fontId="7" fillId="6" borderId="7" xfId="0" applyNumberFormat="1" applyFont="1" applyFill="1" applyBorder="1" applyAlignment="1">
      <alignment horizontal="center"/>
    </xf>
  </cellXfs>
  <cellStyles count="2">
    <cellStyle name="Hyperlink" xfId="1" builtinId="8"/>
    <cellStyle name="Normal" xfId="0" builtinId="0"/>
  </cellStyles>
  <dxfs count="2">
    <dxf>
      <font>
        <color theme="1"/>
      </font>
      <fill>
        <patternFill>
          <bgColor theme="9" tint="0.59996337778862885"/>
        </patternFill>
      </fill>
    </dxf>
    <dxf>
      <font>
        <color auto="1"/>
      </font>
      <fill>
        <patternFill>
          <bgColor theme="5"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oneCellAnchor>
    <xdr:from>
      <xdr:col>2</xdr:col>
      <xdr:colOff>33337</xdr:colOff>
      <xdr:row>5</xdr:row>
      <xdr:rowOff>30115</xdr:rowOff>
    </xdr:from>
    <xdr:ext cx="2957514" cy="1208375"/>
    <xdr:pic>
      <xdr:nvPicPr>
        <xdr:cNvPr id="2" name="Picture 1">
          <a:extLst>
            <a:ext uri="{FF2B5EF4-FFF2-40B4-BE49-F238E27FC236}">
              <a16:creationId xmlns:a16="http://schemas.microsoft.com/office/drawing/2014/main" id="{3FA914BC-3327-499F-A230-8787BF0D8826}"/>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1328737" y="2020840"/>
          <a:ext cx="2957514" cy="120837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609603</xdr:colOff>
      <xdr:row>21</xdr:row>
      <xdr:rowOff>9232</xdr:rowOff>
    </xdr:from>
    <xdr:to>
      <xdr:col>4</xdr:col>
      <xdr:colOff>477730</xdr:colOff>
      <xdr:row>25</xdr:row>
      <xdr:rowOff>124021</xdr:rowOff>
    </xdr:to>
    <xdr:pic>
      <xdr:nvPicPr>
        <xdr:cNvPr id="2" name="Picture 1">
          <a:extLst>
            <a:ext uri="{FF2B5EF4-FFF2-40B4-BE49-F238E27FC236}">
              <a16:creationId xmlns:a16="http://schemas.microsoft.com/office/drawing/2014/main" id="{65791B6A-E8B3-4192-A0C2-9349EB0665F2}"/>
            </a:ext>
          </a:extLst>
        </xdr:cNvPr>
        <xdr:cNvPicPr>
          <a:picLocks noChangeAspect="1"/>
        </xdr:cNvPicPr>
      </xdr:nvPicPr>
      <xdr:blipFill>
        <a:blip xmlns:r="http://schemas.openxmlformats.org/officeDocument/2006/relationships" r:embed="rId1"/>
        <a:stretch>
          <a:fillRect/>
        </a:stretch>
      </xdr:blipFill>
      <xdr:spPr>
        <a:xfrm>
          <a:off x="609603" y="5467057"/>
          <a:ext cx="6426090" cy="838689"/>
        </a:xfrm>
        <a:prstGeom prst="rect">
          <a:avLst/>
        </a:prstGeom>
      </xdr:spPr>
    </xdr:pic>
    <xdr:clientData/>
  </xdr:twoCellAnchor>
  <xdr:twoCellAnchor editAs="oneCell">
    <xdr:from>
      <xdr:col>0</xdr:col>
      <xdr:colOff>642939</xdr:colOff>
      <xdr:row>26</xdr:row>
      <xdr:rowOff>28549</xdr:rowOff>
    </xdr:from>
    <xdr:to>
      <xdr:col>4</xdr:col>
      <xdr:colOff>447676</xdr:colOff>
      <xdr:row>34</xdr:row>
      <xdr:rowOff>73016</xdr:rowOff>
    </xdr:to>
    <xdr:pic>
      <xdr:nvPicPr>
        <xdr:cNvPr id="4" name="Picture 3">
          <a:extLst>
            <a:ext uri="{FF2B5EF4-FFF2-40B4-BE49-F238E27FC236}">
              <a16:creationId xmlns:a16="http://schemas.microsoft.com/office/drawing/2014/main" id="{0AFCB56A-019B-46FF-B3DE-1777CB08E461}"/>
            </a:ext>
          </a:extLst>
        </xdr:cNvPr>
        <xdr:cNvPicPr>
          <a:picLocks noChangeAspect="1"/>
        </xdr:cNvPicPr>
      </xdr:nvPicPr>
      <xdr:blipFill>
        <a:blip xmlns:r="http://schemas.openxmlformats.org/officeDocument/2006/relationships" r:embed="rId2"/>
        <a:stretch>
          <a:fillRect/>
        </a:stretch>
      </xdr:blipFill>
      <xdr:spPr>
        <a:xfrm>
          <a:off x="642939" y="6391249"/>
          <a:ext cx="6362700" cy="1492267"/>
        </a:xfrm>
        <a:prstGeom prst="rect">
          <a:avLst/>
        </a:prstGeom>
      </xdr:spPr>
    </xdr:pic>
    <xdr:clientData/>
  </xdr:twoCellAnchor>
  <xdr:twoCellAnchor editAs="oneCell">
    <xdr:from>
      <xdr:col>0</xdr:col>
      <xdr:colOff>642938</xdr:colOff>
      <xdr:row>34</xdr:row>
      <xdr:rowOff>139136</xdr:rowOff>
    </xdr:from>
    <xdr:to>
      <xdr:col>4</xdr:col>
      <xdr:colOff>496518</xdr:colOff>
      <xdr:row>43</xdr:row>
      <xdr:rowOff>128592</xdr:rowOff>
    </xdr:to>
    <xdr:pic>
      <xdr:nvPicPr>
        <xdr:cNvPr id="5" name="Picture 4">
          <a:extLst>
            <a:ext uri="{FF2B5EF4-FFF2-40B4-BE49-F238E27FC236}">
              <a16:creationId xmlns:a16="http://schemas.microsoft.com/office/drawing/2014/main" id="{88349AE3-E340-4911-84CB-930FE2C22C9D}"/>
            </a:ext>
          </a:extLst>
        </xdr:cNvPr>
        <xdr:cNvPicPr>
          <a:picLocks noChangeAspect="1"/>
        </xdr:cNvPicPr>
      </xdr:nvPicPr>
      <xdr:blipFill>
        <a:blip xmlns:r="http://schemas.openxmlformats.org/officeDocument/2006/relationships" r:embed="rId3"/>
        <a:stretch>
          <a:fillRect/>
        </a:stretch>
      </xdr:blipFill>
      <xdr:spPr>
        <a:xfrm>
          <a:off x="642938" y="7949636"/>
          <a:ext cx="6411543" cy="1618231"/>
        </a:xfrm>
        <a:prstGeom prst="rect">
          <a:avLst/>
        </a:prstGeom>
      </xdr:spPr>
    </xdr:pic>
    <xdr:clientData/>
  </xdr:twoCellAnchor>
  <xdr:twoCellAnchor editAs="oneCell">
    <xdr:from>
      <xdr:col>0</xdr:col>
      <xdr:colOff>628648</xdr:colOff>
      <xdr:row>17</xdr:row>
      <xdr:rowOff>57149</xdr:rowOff>
    </xdr:from>
    <xdr:to>
      <xdr:col>4</xdr:col>
      <xdr:colOff>520942</xdr:colOff>
      <xdr:row>20</xdr:row>
      <xdr:rowOff>104907</xdr:rowOff>
    </xdr:to>
    <xdr:pic>
      <xdr:nvPicPr>
        <xdr:cNvPr id="6" name="Picture 5">
          <a:extLst>
            <a:ext uri="{FF2B5EF4-FFF2-40B4-BE49-F238E27FC236}">
              <a16:creationId xmlns:a16="http://schemas.microsoft.com/office/drawing/2014/main" id="{EEB11830-CA65-4E07-8470-B7A728D1B6FB}"/>
            </a:ext>
          </a:extLst>
        </xdr:cNvPr>
        <xdr:cNvPicPr>
          <a:picLocks noChangeAspect="1"/>
        </xdr:cNvPicPr>
      </xdr:nvPicPr>
      <xdr:blipFill>
        <a:blip xmlns:r="http://schemas.openxmlformats.org/officeDocument/2006/relationships" r:embed="rId4"/>
        <a:stretch>
          <a:fillRect/>
        </a:stretch>
      </xdr:blipFill>
      <xdr:spPr>
        <a:xfrm>
          <a:off x="628648" y="4791074"/>
          <a:ext cx="6450257" cy="590683"/>
        </a:xfrm>
        <a:prstGeom prst="rect">
          <a:avLst/>
        </a:prstGeom>
      </xdr:spPr>
    </xdr:pic>
    <xdr:clientData/>
  </xdr:twoCellAnchor>
  <xdr:twoCellAnchor editAs="oneCell">
    <xdr:from>
      <xdr:col>5</xdr:col>
      <xdr:colOff>627731</xdr:colOff>
      <xdr:row>17</xdr:row>
      <xdr:rowOff>95250</xdr:rowOff>
    </xdr:from>
    <xdr:to>
      <xdr:col>16</xdr:col>
      <xdr:colOff>297021</xdr:colOff>
      <xdr:row>41</xdr:row>
      <xdr:rowOff>43908</xdr:rowOff>
    </xdr:to>
    <xdr:pic>
      <xdr:nvPicPr>
        <xdr:cNvPr id="7" name="Picture 6">
          <a:extLst>
            <a:ext uri="{FF2B5EF4-FFF2-40B4-BE49-F238E27FC236}">
              <a16:creationId xmlns:a16="http://schemas.microsoft.com/office/drawing/2014/main" id="{48815345-5D6A-4063-B2AB-C4A0BD32C09C}"/>
            </a:ext>
          </a:extLst>
        </xdr:cNvPr>
        <xdr:cNvPicPr>
          <a:picLocks noChangeAspect="1"/>
        </xdr:cNvPicPr>
      </xdr:nvPicPr>
      <xdr:blipFill>
        <a:blip xmlns:r="http://schemas.openxmlformats.org/officeDocument/2006/relationships" r:embed="rId5"/>
        <a:stretch>
          <a:fillRect/>
        </a:stretch>
      </xdr:blipFill>
      <xdr:spPr>
        <a:xfrm>
          <a:off x="7833394" y="6296025"/>
          <a:ext cx="7160702" cy="429205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azure.microsoft.com/en-us/pricing/details/storage/data-lake/" TargetMode="External"/><Relationship Id="rId1" Type="http://schemas.openxmlformats.org/officeDocument/2006/relationships/hyperlink" Target="https://azure.microsoft.com/en-us/pricing/details/storage/data-lake/" TargetMode="External"/><Relationship Id="rId4"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B0701-2E2E-4C6F-996E-957289E045F3}">
  <dimension ref="B1:C15"/>
  <sheetViews>
    <sheetView tabSelected="1" workbookViewId="0">
      <selection activeCell="C7" sqref="C7"/>
    </sheetView>
  </sheetViews>
  <sheetFormatPr defaultColWidth="9" defaultRowHeight="14.25" x14ac:dyDescent="0.45"/>
  <cols>
    <col min="1" max="1" width="9" style="17"/>
    <col min="2" max="2" width="130.3984375" style="17" bestFit="1" customWidth="1"/>
    <col min="3" max="3" width="24.73046875" style="17" customWidth="1"/>
    <col min="4" max="4" width="9" style="17"/>
    <col min="5" max="5" width="17.3984375" style="17" bestFit="1" customWidth="1"/>
    <col min="6" max="6" width="20.1328125" style="17" customWidth="1"/>
    <col min="7" max="16384" width="9" style="17"/>
  </cols>
  <sheetData>
    <row r="1" spans="2:3" ht="28.5" x14ac:dyDescent="0.85">
      <c r="B1" s="23" t="s">
        <v>0</v>
      </c>
    </row>
    <row r="2" spans="2:3" ht="14.65" thickBot="1" x14ac:dyDescent="0.5">
      <c r="C2" s="19" t="s">
        <v>1</v>
      </c>
    </row>
    <row r="3" spans="2:3" ht="15" thickTop="1" thickBot="1" x14ac:dyDescent="0.5">
      <c r="C3" s="24" t="s">
        <v>2</v>
      </c>
    </row>
    <row r="4" spans="2:3" ht="15" thickTop="1" thickBot="1" x14ac:dyDescent="0.5">
      <c r="C4" s="31" t="s">
        <v>3</v>
      </c>
    </row>
    <row r="5" spans="2:3" ht="14.65" thickTop="1" x14ac:dyDescent="0.45">
      <c r="C5" s="25" t="s">
        <v>4</v>
      </c>
    </row>
    <row r="6" spans="2:3" x14ac:dyDescent="0.45">
      <c r="C6" s="12" t="s">
        <v>5</v>
      </c>
    </row>
    <row r="7" spans="2:3" x14ac:dyDescent="0.45">
      <c r="C7" s="26" t="s">
        <v>6</v>
      </c>
    </row>
    <row r="9" spans="2:3" x14ac:dyDescent="0.45">
      <c r="B9" s="16" t="s">
        <v>7</v>
      </c>
    </row>
    <row r="10" spans="2:3" ht="28.5" x14ac:dyDescent="0.45">
      <c r="B10" s="17" t="s">
        <v>8</v>
      </c>
    </row>
    <row r="11" spans="2:3" ht="57" x14ac:dyDescent="0.45">
      <c r="B11" s="17" t="s">
        <v>9</v>
      </c>
    </row>
    <row r="14" spans="2:3" x14ac:dyDescent="0.45">
      <c r="B14" s="16" t="s">
        <v>10</v>
      </c>
    </row>
    <row r="15" spans="2:3" ht="28.5" x14ac:dyDescent="0.45">
      <c r="B15" s="17" t="s">
        <v>11</v>
      </c>
    </row>
  </sheetData>
  <sheetProtection algorithmName="SHA-512" hashValue="AqWCJEKtTr5OlJmSYYyZ6IgofZoyVc4Hr6D+VFnuTUzcB584WnRucrrO7cLmGT1d2jFra0RE5f9fJPdFbBUAcA==" saltValue="ULnlkOgq4cNMO/cRiP5hFg==" spinCount="100000" sheet="1" objects="1" scenarios="1"/>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1087D-AB9E-484D-A2C1-D8D6E9B18891}">
  <dimension ref="C1:C12"/>
  <sheetViews>
    <sheetView workbookViewId="0">
      <selection activeCell="C3" sqref="C3"/>
    </sheetView>
  </sheetViews>
  <sheetFormatPr defaultRowHeight="14.25" x14ac:dyDescent="0.45"/>
  <cols>
    <col min="3" max="3" width="92" bestFit="1" customWidth="1"/>
  </cols>
  <sheetData>
    <row r="1" spans="3:3" ht="28.5" x14ac:dyDescent="0.85">
      <c r="C1" s="9" t="s">
        <v>12</v>
      </c>
    </row>
    <row r="3" spans="3:3" ht="28.5" x14ac:dyDescent="0.45">
      <c r="C3" s="34" t="s">
        <v>13</v>
      </c>
    </row>
    <row r="5" spans="3:3" ht="28.5" x14ac:dyDescent="0.45">
      <c r="C5" s="16" t="s">
        <v>14</v>
      </c>
    </row>
    <row r="6" spans="3:3" x14ac:dyDescent="0.45">
      <c r="C6" s="15"/>
    </row>
    <row r="7" spans="3:3" x14ac:dyDescent="0.45">
      <c r="C7" s="15"/>
    </row>
    <row r="8" spans="3:3" x14ac:dyDescent="0.45">
      <c r="C8" s="15"/>
    </row>
    <row r="9" spans="3:3" x14ac:dyDescent="0.45">
      <c r="C9" s="15"/>
    </row>
    <row r="10" spans="3:3" x14ac:dyDescent="0.45">
      <c r="C10" s="15"/>
    </row>
    <row r="11" spans="3:3" x14ac:dyDescent="0.45">
      <c r="C11" s="15"/>
    </row>
    <row r="12" spans="3:3" x14ac:dyDescent="0.45">
      <c r="C12" s="15"/>
    </row>
  </sheetData>
  <sheetProtection algorithmName="SHA-512" hashValue="ZR7XaYFQl9Wg2SZR4oYKXK9HnPHwM3QkdlOezUto1laGGZztS9UyNhTWdydy8/C6B0rjZz1yYq7RuYqUsBg6Kg==" saltValue="j+VfGQk9lsldB8Txpjvw3Q==" spinCount="100000" sheet="1" objects="1" scenarios="1"/>
  <pageMargins left="0.7" right="0.7" top="0.75" bottom="0.75" header="0.3" footer="0.3"/>
  <pageSetup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23"/>
  <sheetViews>
    <sheetView zoomScaleNormal="100" workbookViewId="0">
      <selection activeCell="C10" sqref="C10"/>
    </sheetView>
  </sheetViews>
  <sheetFormatPr defaultRowHeight="14.25" x14ac:dyDescent="0.45"/>
  <cols>
    <col min="2" max="2" width="60.3984375" bestFit="1" customWidth="1"/>
    <col min="4" max="4" width="58.3984375" customWidth="1"/>
    <col min="6" max="6" width="37.73046875" customWidth="1"/>
    <col min="7" max="7" width="144.86328125" customWidth="1"/>
    <col min="8" max="8" width="55.86328125" customWidth="1"/>
  </cols>
  <sheetData>
    <row r="1" spans="2:4" ht="28.5" x14ac:dyDescent="0.85">
      <c r="B1" s="9" t="s">
        <v>15</v>
      </c>
    </row>
    <row r="2" spans="2:4" ht="57" x14ac:dyDescent="0.45">
      <c r="B2" s="4" t="s">
        <v>16</v>
      </c>
    </row>
    <row r="5" spans="2:4" x14ac:dyDescent="0.45">
      <c r="B5" s="1" t="s">
        <v>17</v>
      </c>
      <c r="C5" s="1" t="s">
        <v>18</v>
      </c>
      <c r="D5" s="1" t="s">
        <v>19</v>
      </c>
    </row>
    <row r="6" spans="2:4" ht="14.65" thickBot="1" x14ac:dyDescent="0.5">
      <c r="B6" s="36" t="s">
        <v>20</v>
      </c>
      <c r="C6" s="37"/>
      <c r="D6" s="38"/>
    </row>
    <row r="7" spans="2:4" ht="15" thickTop="1" thickBot="1" x14ac:dyDescent="0.5">
      <c r="B7" s="2" t="s">
        <v>21</v>
      </c>
      <c r="C7" s="20">
        <v>10</v>
      </c>
      <c r="D7" s="2" t="s">
        <v>22</v>
      </c>
    </row>
    <row r="8" spans="2:4" ht="15" thickTop="1" thickBot="1" x14ac:dyDescent="0.5">
      <c r="B8" s="2" t="s">
        <v>23</v>
      </c>
      <c r="C8" s="20">
        <v>970</v>
      </c>
      <c r="D8" s="2" t="s">
        <v>24</v>
      </c>
    </row>
    <row r="9" spans="2:4" ht="15" thickTop="1" thickBot="1" x14ac:dyDescent="0.5">
      <c r="B9" s="2" t="s">
        <v>25</v>
      </c>
      <c r="C9" s="20">
        <v>10360</v>
      </c>
      <c r="D9" s="2" t="s">
        <v>26</v>
      </c>
    </row>
    <row r="10" spans="2:4" ht="15" thickTop="1" thickBot="1" x14ac:dyDescent="0.5">
      <c r="B10" s="2" t="s">
        <v>27</v>
      </c>
      <c r="C10" s="20">
        <v>20</v>
      </c>
      <c r="D10" s="2" t="s">
        <v>28</v>
      </c>
    </row>
    <row r="11" spans="2:4" ht="29.25" thickTop="1" thickBot="1" x14ac:dyDescent="0.5">
      <c r="B11" s="10" t="s">
        <v>29</v>
      </c>
      <c r="C11" s="20">
        <v>38</v>
      </c>
      <c r="D11" s="10" t="s">
        <v>30</v>
      </c>
    </row>
    <row r="12" spans="2:4" ht="15" thickTop="1" thickBot="1" x14ac:dyDescent="0.5">
      <c r="B12" s="2" t="s">
        <v>31</v>
      </c>
      <c r="C12" s="20">
        <v>281</v>
      </c>
      <c r="D12" s="2" t="s">
        <v>32</v>
      </c>
    </row>
    <row r="13" spans="2:4" ht="15" thickTop="1" thickBot="1" x14ac:dyDescent="0.5">
      <c r="B13" s="2" t="s">
        <v>33</v>
      </c>
      <c r="C13" s="20">
        <v>12000</v>
      </c>
      <c r="D13" s="2" t="s">
        <v>34</v>
      </c>
    </row>
    <row r="14" spans="2:4" ht="43.5" thickTop="1" thickBot="1" x14ac:dyDescent="0.5">
      <c r="B14" s="2" t="s">
        <v>35</v>
      </c>
      <c r="C14" s="20">
        <v>0.5</v>
      </c>
      <c r="D14" s="27" t="s">
        <v>36</v>
      </c>
    </row>
    <row r="15" spans="2:4" ht="29.25" thickTop="1" thickBot="1" x14ac:dyDescent="0.5">
      <c r="B15" s="2" t="s">
        <v>37</v>
      </c>
      <c r="C15" s="20">
        <f>24*20</f>
        <v>480</v>
      </c>
      <c r="D15" s="27" t="s">
        <v>38</v>
      </c>
    </row>
    <row r="16" spans="2:4" ht="15" thickTop="1" thickBot="1" x14ac:dyDescent="0.5">
      <c r="B16" s="36" t="s">
        <v>39</v>
      </c>
      <c r="C16" s="37"/>
      <c r="D16" s="38"/>
    </row>
    <row r="17" spans="2:4" ht="15" thickTop="1" thickBot="1" x14ac:dyDescent="0.5">
      <c r="B17" s="2" t="s">
        <v>40</v>
      </c>
      <c r="C17" s="20">
        <v>50</v>
      </c>
      <c r="D17" s="2" t="s">
        <v>41</v>
      </c>
    </row>
    <row r="18" spans="2:4" ht="15" thickTop="1" thickBot="1" x14ac:dyDescent="0.5">
      <c r="B18" s="2" t="s">
        <v>42</v>
      </c>
      <c r="C18" s="20">
        <v>2</v>
      </c>
      <c r="D18" s="7" t="s">
        <v>43</v>
      </c>
    </row>
    <row r="19" spans="2:4" ht="15" thickTop="1" thickBot="1" x14ac:dyDescent="0.5">
      <c r="B19" s="2" t="s">
        <v>44</v>
      </c>
      <c r="C19" s="20">
        <v>18</v>
      </c>
      <c r="D19" s="2" t="s">
        <v>45</v>
      </c>
    </row>
    <row r="20" spans="2:4" ht="29.25" thickTop="1" thickBot="1" x14ac:dyDescent="0.5">
      <c r="B20" s="2" t="s">
        <v>46</v>
      </c>
      <c r="C20" s="20">
        <f>8*20</f>
        <v>160</v>
      </c>
      <c r="D20" s="27" t="s">
        <v>47</v>
      </c>
    </row>
    <row r="21" spans="2:4" ht="15" thickTop="1" thickBot="1" x14ac:dyDescent="0.5">
      <c r="B21" s="36" t="s">
        <v>48</v>
      </c>
      <c r="C21" s="37"/>
      <c r="D21" s="38"/>
    </row>
    <row r="22" spans="2:4" ht="15" thickTop="1" thickBot="1" x14ac:dyDescent="0.5">
      <c r="B22" s="7" t="s">
        <v>49</v>
      </c>
      <c r="C22" s="20">
        <v>30</v>
      </c>
      <c r="D22" s="3" t="s">
        <v>50</v>
      </c>
    </row>
    <row r="23" spans="2:4" ht="14.65" thickTop="1" x14ac:dyDescent="0.45"/>
  </sheetData>
  <mergeCells count="3">
    <mergeCell ref="B16:D16"/>
    <mergeCell ref="B21:D21"/>
    <mergeCell ref="B6:D6"/>
  </mergeCell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15428-A3D9-43C8-AC37-585D1897BBE7}">
  <dimension ref="A1:D27"/>
  <sheetViews>
    <sheetView zoomScale="70" zoomScaleNormal="70" workbookViewId="0">
      <selection activeCell="A15" sqref="A15:C15"/>
    </sheetView>
  </sheetViews>
  <sheetFormatPr defaultRowHeight="14.25" x14ac:dyDescent="0.45"/>
  <cols>
    <col min="1" max="1" width="62.59765625" bestFit="1" customWidth="1"/>
    <col min="2" max="2" width="56" bestFit="1" customWidth="1"/>
    <col min="3" max="3" width="58.86328125" customWidth="1"/>
    <col min="4" max="4" width="182.1328125" customWidth="1"/>
  </cols>
  <sheetData>
    <row r="1" spans="1:4" s="9" customFormat="1" ht="28.5" x14ac:dyDescent="0.85">
      <c r="A1"/>
      <c r="B1" s="9" t="s">
        <v>51</v>
      </c>
    </row>
    <row r="2" spans="1:4" s="9" customFormat="1" ht="28.5" x14ac:dyDescent="0.85"/>
    <row r="6" spans="1:4" x14ac:dyDescent="0.45">
      <c r="A6" s="2" t="s">
        <v>52</v>
      </c>
      <c r="B6" s="2" t="s">
        <v>53</v>
      </c>
      <c r="C6" s="2" t="s">
        <v>54</v>
      </c>
    </row>
    <row r="7" spans="1:4" x14ac:dyDescent="0.45">
      <c r="A7" s="36" t="s">
        <v>55</v>
      </c>
      <c r="B7" s="37"/>
      <c r="C7" s="38"/>
    </row>
    <row r="8" spans="1:4" x14ac:dyDescent="0.45">
      <c r="A8" s="2" t="s">
        <v>56</v>
      </c>
      <c r="B8" s="2" t="s">
        <v>22</v>
      </c>
      <c r="C8" s="2" t="s">
        <v>57</v>
      </c>
    </row>
    <row r="9" spans="1:4" x14ac:dyDescent="0.45">
      <c r="A9" s="2" t="s">
        <v>58</v>
      </c>
      <c r="B9" s="2" t="s">
        <v>24</v>
      </c>
      <c r="C9" s="2" t="s">
        <v>59</v>
      </c>
    </row>
    <row r="10" spans="1:4" x14ac:dyDescent="0.45">
      <c r="A10" s="2" t="s">
        <v>25</v>
      </c>
      <c r="B10" s="2" t="s">
        <v>26</v>
      </c>
      <c r="C10" s="2" t="s">
        <v>60</v>
      </c>
      <c r="D10" s="4"/>
    </row>
    <row r="11" spans="1:4" x14ac:dyDescent="0.45">
      <c r="A11" s="2" t="s">
        <v>27</v>
      </c>
      <c r="B11" s="2" t="s">
        <v>28</v>
      </c>
      <c r="C11" s="2" t="s">
        <v>61</v>
      </c>
      <c r="D11" s="4"/>
    </row>
    <row r="12" spans="1:4" x14ac:dyDescent="0.45">
      <c r="A12" s="2" t="s">
        <v>62</v>
      </c>
      <c r="B12" s="10" t="s">
        <v>30</v>
      </c>
      <c r="C12" s="10" t="s">
        <v>63</v>
      </c>
      <c r="D12" s="4"/>
    </row>
    <row r="13" spans="1:4" x14ac:dyDescent="0.45">
      <c r="A13" s="2" t="s">
        <v>31</v>
      </c>
      <c r="B13" s="2" t="s">
        <v>32</v>
      </c>
      <c r="C13" s="2" t="s">
        <v>64</v>
      </c>
      <c r="D13" s="4"/>
    </row>
    <row r="14" spans="1:4" x14ac:dyDescent="0.45">
      <c r="A14" s="2" t="s">
        <v>33</v>
      </c>
      <c r="B14" s="2" t="s">
        <v>34</v>
      </c>
      <c r="C14" s="2" t="s">
        <v>65</v>
      </c>
      <c r="D14" s="4"/>
    </row>
    <row r="15" spans="1:4" x14ac:dyDescent="0.45">
      <c r="A15" s="36" t="s">
        <v>39</v>
      </c>
      <c r="B15" s="37"/>
      <c r="C15" s="38"/>
    </row>
    <row r="16" spans="1:4" x14ac:dyDescent="0.45">
      <c r="A16" s="2" t="s">
        <v>40</v>
      </c>
      <c r="B16" s="2" t="s">
        <v>41</v>
      </c>
      <c r="C16" s="2" t="s">
        <v>66</v>
      </c>
    </row>
    <row r="17" spans="1:4" x14ac:dyDescent="0.45">
      <c r="A17" s="2" t="s">
        <v>42</v>
      </c>
      <c r="B17" s="7" t="s">
        <v>43</v>
      </c>
      <c r="C17" s="7" t="s">
        <v>67</v>
      </c>
    </row>
    <row r="18" spans="1:4" x14ac:dyDescent="0.45">
      <c r="A18" s="2" t="s">
        <v>44</v>
      </c>
      <c r="B18" s="2" t="s">
        <v>45</v>
      </c>
      <c r="C18" s="2" t="s">
        <v>68</v>
      </c>
      <c r="D18" s="4"/>
    </row>
    <row r="24" spans="1:4" x14ac:dyDescent="0.45">
      <c r="A24" s="1" t="s">
        <v>69</v>
      </c>
      <c r="B24" s="1" t="s">
        <v>70</v>
      </c>
    </row>
    <row r="25" spans="1:4" x14ac:dyDescent="0.45">
      <c r="A25" s="1" t="s">
        <v>71</v>
      </c>
      <c r="B25" s="1" t="s">
        <v>72</v>
      </c>
    </row>
    <row r="26" spans="1:4" ht="28.5" x14ac:dyDescent="0.45">
      <c r="A26" s="1" t="s">
        <v>73</v>
      </c>
      <c r="B26" s="14" t="s">
        <v>74</v>
      </c>
    </row>
    <row r="27" spans="1:4" x14ac:dyDescent="0.45">
      <c r="A27" s="1" t="s">
        <v>75</v>
      </c>
      <c r="B27" s="1" t="s">
        <v>76</v>
      </c>
    </row>
  </sheetData>
  <sheetProtection algorithmName="SHA-512" hashValue="kwRIt8HsrYnqNEMTHxtwct3KnDo6JY7/KFQbE7htWIxIzrnY74t7pUz8VwvdwDvtneKrhoyVOWEK8gWeRQMAUw==" saltValue="kAYlQhJqKr9PLLyXs738sg==" spinCount="100000" sheet="1" objects="1" scenarios="1"/>
  <mergeCells count="2">
    <mergeCell ref="A7:C7"/>
    <mergeCell ref="A15:C1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5643A-03A2-4846-B9BA-147695CFEC9A}">
  <dimension ref="B1:G17"/>
  <sheetViews>
    <sheetView workbookViewId="0">
      <selection activeCell="D13" sqref="D13"/>
    </sheetView>
  </sheetViews>
  <sheetFormatPr defaultRowHeight="14.25" x14ac:dyDescent="0.45"/>
  <cols>
    <col min="2" max="2" width="49" bestFit="1" customWidth="1"/>
    <col min="3" max="3" width="24.59765625" bestFit="1" customWidth="1"/>
    <col min="7" max="7" width="14.1328125" bestFit="1" customWidth="1"/>
  </cols>
  <sheetData>
    <row r="1" spans="2:5" ht="28.5" x14ac:dyDescent="0.85">
      <c r="B1" s="9" t="s">
        <v>77</v>
      </c>
    </row>
    <row r="2" spans="2:5" ht="141" customHeight="1" x14ac:dyDescent="0.45">
      <c r="B2" s="4" t="s">
        <v>78</v>
      </c>
    </row>
    <row r="3" spans="2:5" x14ac:dyDescent="0.45">
      <c r="B3" s="5" t="s">
        <v>79</v>
      </c>
    </row>
    <row r="4" spans="2:5" x14ac:dyDescent="0.45">
      <c r="B4" s="5" t="s">
        <v>80</v>
      </c>
    </row>
    <row r="6" spans="2:5" ht="14.65" thickBot="1" x14ac:dyDescent="0.5">
      <c r="B6" s="1" t="s">
        <v>81</v>
      </c>
      <c r="C6" s="1" t="s">
        <v>82</v>
      </c>
      <c r="D6" s="1" t="s">
        <v>83</v>
      </c>
      <c r="E6" s="1" t="s">
        <v>84</v>
      </c>
    </row>
    <row r="7" spans="2:5" ht="15" thickTop="1" thickBot="1" x14ac:dyDescent="0.5">
      <c r="B7" s="3" t="s">
        <v>85</v>
      </c>
      <c r="C7" s="20">
        <v>1.9599999999999999E-2</v>
      </c>
      <c r="D7" s="20">
        <v>1</v>
      </c>
      <c r="E7" s="2" t="s">
        <v>86</v>
      </c>
    </row>
    <row r="8" spans="2:5" ht="15" thickTop="1" thickBot="1" x14ac:dyDescent="0.5">
      <c r="B8" s="3" t="s">
        <v>87</v>
      </c>
      <c r="C8" s="20">
        <v>7.0199999999999999E-2</v>
      </c>
      <c r="D8" s="20">
        <v>10000</v>
      </c>
      <c r="E8" s="2" t="s">
        <v>88</v>
      </c>
    </row>
    <row r="9" spans="2:5" ht="15" thickTop="1" thickBot="1" x14ac:dyDescent="0.5">
      <c r="B9" s="3" t="s">
        <v>89</v>
      </c>
      <c r="C9" s="20">
        <v>5.5999999999999999E-3</v>
      </c>
      <c r="D9" s="20">
        <v>10000</v>
      </c>
      <c r="E9" s="2" t="s">
        <v>88</v>
      </c>
    </row>
    <row r="10" spans="2:5" ht="15" thickTop="1" thickBot="1" x14ac:dyDescent="0.5">
      <c r="B10" s="6" t="s">
        <v>90</v>
      </c>
      <c r="C10" s="20">
        <v>5.5900000000000004E-3</v>
      </c>
      <c r="D10" s="20">
        <v>10000</v>
      </c>
      <c r="E10" s="7" t="s">
        <v>91</v>
      </c>
    </row>
    <row r="11" spans="2:5" ht="14.65" thickTop="1" x14ac:dyDescent="0.45">
      <c r="B11" s="6"/>
      <c r="C11" s="33"/>
      <c r="D11" s="33"/>
      <c r="E11" s="7"/>
    </row>
    <row r="12" spans="2:5" ht="14.65" thickBot="1" x14ac:dyDescent="0.5">
      <c r="B12" s="1" t="s">
        <v>92</v>
      </c>
      <c r="C12" s="1" t="s">
        <v>82</v>
      </c>
      <c r="D12" s="1" t="s">
        <v>83</v>
      </c>
      <c r="E12" s="1" t="s">
        <v>84</v>
      </c>
    </row>
    <row r="13" spans="2:5" ht="15" thickTop="1" thickBot="1" x14ac:dyDescent="0.5">
      <c r="B13" s="2" t="s">
        <v>93</v>
      </c>
      <c r="C13" s="20">
        <v>5</v>
      </c>
      <c r="D13" s="20">
        <v>1</v>
      </c>
      <c r="E13" s="2" t="s">
        <v>94</v>
      </c>
    </row>
    <row r="14" spans="2:5" ht="14.65" thickTop="1" x14ac:dyDescent="0.45"/>
    <row r="15" spans="2:5" ht="156.75" x14ac:dyDescent="0.45">
      <c r="B15" s="32" t="s">
        <v>95</v>
      </c>
      <c r="C15" s="29"/>
      <c r="D15" s="32"/>
    </row>
    <row r="16" spans="2:5" x14ac:dyDescent="0.45">
      <c r="C16" s="5"/>
    </row>
    <row r="17" spans="2:7" x14ac:dyDescent="0.45">
      <c r="B17" s="5" t="s">
        <v>79</v>
      </c>
      <c r="G17" s="5" t="s">
        <v>80</v>
      </c>
    </row>
  </sheetData>
  <hyperlinks>
    <hyperlink ref="B3" r:id="rId1" xr:uid="{93782DE5-94AD-4C11-AF36-137ACD8C0819}"/>
    <hyperlink ref="B17" r:id="rId2" xr:uid="{BC8AD451-542B-40FA-BC51-E9716F9B04D9}"/>
  </hyperlinks>
  <pageMargins left="0.7" right="0.7" top="0.75" bottom="0.75" header="0.3" footer="0.3"/>
  <pageSetup orientation="portrait" verticalDpi="0" r:id="rId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2EC95-19AF-426B-B22D-E8231528B15D}">
  <dimension ref="B1:D12"/>
  <sheetViews>
    <sheetView workbookViewId="0">
      <selection activeCell="C6" sqref="C6"/>
    </sheetView>
  </sheetViews>
  <sheetFormatPr defaultRowHeight="14.25" x14ac:dyDescent="0.45"/>
  <cols>
    <col min="2" max="2" width="45.1328125" bestFit="1" customWidth="1"/>
    <col min="3" max="3" width="13.59765625" bestFit="1" customWidth="1"/>
    <col min="4" max="4" width="82" customWidth="1"/>
  </cols>
  <sheetData>
    <row r="1" spans="2:4" ht="28.5" x14ac:dyDescent="0.85">
      <c r="B1" s="9" t="s">
        <v>96</v>
      </c>
    </row>
    <row r="2" spans="2:4" ht="156.75" x14ac:dyDescent="0.45">
      <c r="B2" s="32" t="s">
        <v>97</v>
      </c>
    </row>
    <row r="5" spans="2:4" ht="14.65" thickBot="1" x14ac:dyDescent="0.5">
      <c r="B5" s="1" t="s">
        <v>98</v>
      </c>
      <c r="C5" s="1" t="s">
        <v>99</v>
      </c>
    </row>
    <row r="6" spans="2:4" ht="15" thickTop="1" thickBot="1" x14ac:dyDescent="0.5">
      <c r="B6" s="8" t="s">
        <v>100</v>
      </c>
      <c r="C6" s="30">
        <f>200/4</f>
        <v>50</v>
      </c>
    </row>
    <row r="7" spans="2:4" ht="43.5" thickTop="1" thickBot="1" x14ac:dyDescent="0.5">
      <c r="B7" s="8" t="s">
        <v>101</v>
      </c>
      <c r="C7" s="30">
        <f>ROUND((4*1024*1024)/AXDB_Average_row_size_in_Bytes,0)</f>
        <v>14926</v>
      </c>
      <c r="D7" s="29" t="s">
        <v>102</v>
      </c>
    </row>
    <row r="8" spans="2:4" ht="14.65" thickTop="1" x14ac:dyDescent="0.45"/>
    <row r="11" spans="2:4" x14ac:dyDescent="0.45">
      <c r="B11" s="35" t="s">
        <v>161</v>
      </c>
    </row>
    <row r="12" spans="2:4" x14ac:dyDescent="0.45">
      <c r="B12" t="s">
        <v>160</v>
      </c>
    </row>
  </sheetData>
  <sheetProtection algorithmName="SHA-512" hashValue="cMtzm043OoWS+fugNTxjWlc0XG1Ld4hInN1zCeE3IpjSextOAvXiZS1IwkBue1U7gkgINhBDfsWS0m4mi/Xh3Q==" saltValue="4M2k4eoDj43zhsYGmodsag==" spinCount="100000" sheet="1" objects="1" scenarios="1"/>
  <pageMargins left="0.7" right="0.7" top="0.75" bottom="0.75" header="0.3" footer="0.3"/>
  <pageSetup orientation="portrait" verticalDpi="0" r:id="rId1"/>
  <cellWatches>
    <cellWatch r="C6"/>
  </cellWatch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78BFF-AA74-480E-A3C5-98130E0630DD}">
  <dimension ref="B1:M41"/>
  <sheetViews>
    <sheetView topLeftCell="A10" workbookViewId="0">
      <selection activeCell="D24" sqref="D24"/>
    </sheetView>
  </sheetViews>
  <sheetFormatPr defaultRowHeight="14.25" x14ac:dyDescent="0.45"/>
  <cols>
    <col min="1" max="1" width="1.86328125" customWidth="1"/>
    <col min="2" max="2" width="55.73046875" customWidth="1"/>
    <col min="3" max="3" width="20.1328125" bestFit="1" customWidth="1"/>
    <col min="4" max="4" width="18.1328125" bestFit="1" customWidth="1"/>
    <col min="5" max="5" width="23" bestFit="1" customWidth="1"/>
    <col min="6" max="6" width="24.1328125" bestFit="1" customWidth="1"/>
    <col min="7" max="7" width="17.59765625" bestFit="1" customWidth="1"/>
    <col min="8" max="8" width="18.3984375" bestFit="1" customWidth="1"/>
    <col min="9" max="9" width="14" bestFit="1" customWidth="1"/>
    <col min="10" max="10" width="21.1328125" bestFit="1" customWidth="1"/>
    <col min="11" max="11" width="16.3984375" bestFit="1" customWidth="1"/>
    <col min="12" max="12" width="14.86328125" customWidth="1"/>
    <col min="13" max="13" width="21.1328125" bestFit="1" customWidth="1"/>
    <col min="14" max="14" width="12.73046875" bestFit="1" customWidth="1"/>
  </cols>
  <sheetData>
    <row r="1" spans="2:13" ht="28.5" x14ac:dyDescent="0.85">
      <c r="B1" s="9" t="s">
        <v>103</v>
      </c>
    </row>
    <row r="3" spans="2:13" ht="28.5" x14ac:dyDescent="0.45">
      <c r="B3" s="4" t="s">
        <v>104</v>
      </c>
    </row>
    <row r="6" spans="2:13" ht="42.75" x14ac:dyDescent="0.45">
      <c r="B6" s="8" t="s">
        <v>105</v>
      </c>
      <c r="C6" s="18" t="s">
        <v>106</v>
      </c>
      <c r="D6" s="18" t="s">
        <v>107</v>
      </c>
      <c r="E6" s="18" t="s">
        <v>108</v>
      </c>
      <c r="F6" s="18" t="s">
        <v>109</v>
      </c>
      <c r="G6" s="18" t="s">
        <v>110</v>
      </c>
      <c r="H6" s="18" t="s">
        <v>111</v>
      </c>
      <c r="I6" s="18" t="s">
        <v>112</v>
      </c>
      <c r="J6" s="18" t="s">
        <v>113</v>
      </c>
      <c r="K6" s="18" t="s">
        <v>114</v>
      </c>
    </row>
    <row r="7" spans="2:13" x14ac:dyDescent="0.45">
      <c r="B7" s="13">
        <f>BYOD_Number_of_Tables_in_BYOD</f>
        <v>10</v>
      </c>
      <c r="C7" s="13">
        <f>BYOD_Average_number_of_lines_per_tables</f>
        <v>10360</v>
      </c>
      <c r="D7" s="13">
        <f>BYOD_Average_raw_table_size_in_BYOD</f>
        <v>970</v>
      </c>
      <c r="E7" s="13">
        <f>BYOD_Average_number_of_lines_incrementally_Loaded_to_BYOD_per_10_minutes</f>
        <v>20</v>
      </c>
      <c r="F7" s="13">
        <f>AXDB_NB_RawTablePerEntity</f>
        <v>38</v>
      </c>
      <c r="G7" s="13">
        <f>AXDB_Average_row_size_in_Bytes</f>
        <v>281</v>
      </c>
      <c r="H7" s="13">
        <f>AXDB_Average_number_of_rows_per_table</f>
        <v>12000</v>
      </c>
      <c r="I7" s="13">
        <f>BYOD_Consumption_Average_Number_of_queries_per_hour</f>
        <v>50</v>
      </c>
      <c r="J7" s="13">
        <f>BYOD_Average_number_of_BYOD_tables_involved_in_each_query</f>
        <v>2</v>
      </c>
      <c r="K7" s="13">
        <f>AXDB_Average_Number_AXDBTables_Per_DataEntity</f>
        <v>18</v>
      </c>
    </row>
    <row r="9" spans="2:13" x14ac:dyDescent="0.45">
      <c r="B9" s="18" t="s">
        <v>115</v>
      </c>
      <c r="C9" s="12">
        <f>BYOD_Number_of_Tables_in_BYOD*BYOD_Average_number_of_lines_per_tables*BYOD_Average_raw_table_size_in_BYOD</f>
        <v>100492000</v>
      </c>
    </row>
    <row r="10" spans="2:13" x14ac:dyDescent="0.45">
      <c r="B10" s="18" t="s">
        <v>116</v>
      </c>
      <c r="C10" s="12">
        <f>AXDB_NB_RawTablePerEntity*AXDB_Average_row_size_in_Bytes*AXDB_Average_number_of_rows_per_table</f>
        <v>128136000</v>
      </c>
    </row>
    <row r="11" spans="2:13" ht="42.75" x14ac:dyDescent="0.45">
      <c r="B11" s="18" t="s">
        <v>117</v>
      </c>
      <c r="C11" s="12">
        <f>INTERMEDIARY_total_axdb_size_in_byte/INTERMEDIARY_total_byod_size_in_byte</f>
        <v>1.2750865740556463</v>
      </c>
    </row>
    <row r="12" spans="2:13" x14ac:dyDescent="0.45">
      <c r="B12" s="18" t="s">
        <v>118</v>
      </c>
      <c r="C12" s="12">
        <f>BYOD_Average_number_of_lines_incrementally_Loaded_to_BYOD_per_10_minutes/(BYOD_Average_number_of_lines_per_tables*BYOD_Number_of_Tables_in_BYOD)</f>
        <v>1.9305019305019305E-4</v>
      </c>
    </row>
    <row r="13" spans="2:13" x14ac:dyDescent="0.45">
      <c r="B13" s="18" t="s">
        <v>119</v>
      </c>
      <c r="C13" s="12">
        <f>BYOD_Average_number_of_BYOD_tables_involved_in_each_query*AXDB_Average_Number_AXDBTables_Per_DataEntity*AXDB_Average_row_size_in_Bytes*AXDB_Average_number_of_rows_per_table</f>
        <v>121392000</v>
      </c>
    </row>
    <row r="15" spans="2:13" x14ac:dyDescent="0.45">
      <c r="B15" s="40" t="s">
        <v>163</v>
      </c>
      <c r="C15" s="41"/>
      <c r="D15" s="41"/>
      <c r="E15" s="41"/>
      <c r="F15" s="41"/>
      <c r="G15" s="41"/>
      <c r="H15" s="41"/>
      <c r="I15" s="41"/>
      <c r="J15" s="41"/>
      <c r="K15" s="41"/>
      <c r="L15" s="41"/>
      <c r="M15" s="42"/>
    </row>
    <row r="16" spans="2:13" x14ac:dyDescent="0.45">
      <c r="B16" s="40" t="s">
        <v>120</v>
      </c>
      <c r="C16" s="41"/>
      <c r="D16" s="41"/>
      <c r="E16" s="41"/>
      <c r="F16" s="42"/>
      <c r="G16" s="40" t="s">
        <v>121</v>
      </c>
      <c r="H16" s="41"/>
      <c r="I16" s="41"/>
      <c r="J16" s="42"/>
      <c r="K16" s="40" t="s">
        <v>122</v>
      </c>
      <c r="L16" s="41"/>
      <c r="M16" s="42"/>
    </row>
    <row r="17" spans="2:13" ht="28.5" x14ac:dyDescent="0.45">
      <c r="B17" s="8" t="s">
        <v>123</v>
      </c>
      <c r="C17" s="8" t="s">
        <v>124</v>
      </c>
      <c r="D17" s="8" t="s">
        <v>125</v>
      </c>
      <c r="E17" s="8" t="s">
        <v>126</v>
      </c>
      <c r="F17" s="8" t="s">
        <v>127</v>
      </c>
      <c r="G17" s="18" t="s">
        <v>128</v>
      </c>
      <c r="H17" s="8" t="s">
        <v>125</v>
      </c>
      <c r="I17" s="18" t="s">
        <v>129</v>
      </c>
      <c r="J17" s="8" t="s">
        <v>127</v>
      </c>
      <c r="K17" s="8" t="s">
        <v>125</v>
      </c>
      <c r="L17" s="18" t="s">
        <v>126</v>
      </c>
      <c r="M17" s="8" t="s">
        <v>127</v>
      </c>
    </row>
    <row r="18" spans="2:13" x14ac:dyDescent="0.45">
      <c r="B18" s="13">
        <f>ROUNDUP((AXDB_Average_number_of_rows_per_table)/WriteParams_Max_Nb_Records_per_block,0)*F7</f>
        <v>38</v>
      </c>
      <c r="C18" s="13">
        <f>ROUNDUP((ROUNDUP((AXDB_Average_number_of_rows_per_table)/WriteParams_Max_Nb_Records_per_block,0))/WriteParams_Max_nb_blocks_perBlob,0)*F7</f>
        <v>38</v>
      </c>
      <c r="D18" s="13">
        <f>AVG_Nb_Blocks_per_entity + AVG_Nb_Files_per_entity+F7</f>
        <v>114</v>
      </c>
      <c r="E18" s="13">
        <f>4*AVG_Nb_Files_per_entity</f>
        <v>152</v>
      </c>
      <c r="F18" s="13">
        <f>AXDB_Average_row_size_in_Bytes*AXDB_NB_RawTablePerEntity*AXDB_Average_number_of_rows_per_table</f>
        <v>128136000</v>
      </c>
      <c r="G18" s="13">
        <f>MIN(ROUNDUP((BYOD_Average_number_of_lines_incrementally_Loaded_to_BYOD_per_10_minutes/B7),0),AVG_Nb_Blocks_per_entity*AVG_Nb_Files_per_entity)</f>
        <v>2</v>
      </c>
      <c r="H18" s="13">
        <f>Nb_Blocks_per_entity_in_Incremental*4</f>
        <v>8</v>
      </c>
      <c r="I18" s="13">
        <f>4*Nb_Blocks_per_entity_in_Incremental</f>
        <v>8</v>
      </c>
      <c r="J18" s="13">
        <f>BYOD_Average_number_of_lines_incrementally_Loaded_to_BYOD_per_10_minutes*BYOD_Average_raw_table_size_in_BYOD*INTERMEDIARY_Gap_size_factor___byod_table_record_size__vs_raw_tablesrecords_size*2</f>
        <v>49473.359073359075</v>
      </c>
      <c r="K18" s="13">
        <f>Nb_Writes_Per10Mins*6*AXDB_Nb_Hours_Per_Month_data_ingestion</f>
        <v>23040</v>
      </c>
      <c r="L18" s="13">
        <f>Other_operations_Per10Mins*6*AXDB_Nb_Hours_Per_Month_data_ingestion</f>
        <v>23040</v>
      </c>
      <c r="M18" s="13">
        <f>Volume_Per10Mins_Bytes*6*AXDB_Nb_Hours_Per_Month_data_ingestion*INTERMEDIARY_Incremental_Load___growth_factor</f>
        <v>71241637.065637067</v>
      </c>
    </row>
    <row r="21" spans="2:13" x14ac:dyDescent="0.45">
      <c r="B21" s="40" t="s">
        <v>39</v>
      </c>
      <c r="C21" s="41"/>
      <c r="D21" s="41"/>
      <c r="E21" s="42"/>
      <c r="F21" s="11"/>
      <c r="G21" s="11"/>
    </row>
    <row r="22" spans="2:13" x14ac:dyDescent="0.45">
      <c r="B22" s="40" t="s">
        <v>130</v>
      </c>
      <c r="C22" s="42"/>
      <c r="D22" s="40" t="s">
        <v>131</v>
      </c>
      <c r="E22" s="42"/>
      <c r="F22" s="11"/>
      <c r="G22" s="11"/>
    </row>
    <row r="23" spans="2:13" ht="42.75" x14ac:dyDescent="0.45">
      <c r="B23" s="18" t="s">
        <v>132</v>
      </c>
      <c r="C23" s="18" t="s">
        <v>133</v>
      </c>
      <c r="D23" s="8" t="s">
        <v>134</v>
      </c>
      <c r="E23" s="8" t="s">
        <v>135</v>
      </c>
    </row>
    <row r="24" spans="2:13" x14ac:dyDescent="0.45">
      <c r="B24" s="13">
        <f>BYOD_Consumption_Average_Number_of_queries_per_hour*MAX(AVG_Query_Size_in_bytes,(10*1024*1024))</f>
        <v>6069600000</v>
      </c>
      <c r="C24" s="13">
        <f>Amount_of_data_scanned__in_Bytes_per_hour*Nb_Hours_Per_Month_data_consumption</f>
        <v>971136000000</v>
      </c>
      <c r="D24" s="13">
        <f>BYOD_Consumption_Average_Number_of_queries_per_hour*BYOD_Average_number_of_BYOD_tables_involved_in_each_query*AXDB_Average_Number_AXDBTables_Per_DataEntity</f>
        <v>1800</v>
      </c>
      <c r="E24" s="13">
        <f>NB_Reads_per_hour*Nb_Hours_Per_Month_data_consumption</f>
        <v>288000</v>
      </c>
    </row>
    <row r="28" spans="2:13" x14ac:dyDescent="0.45">
      <c r="B28" s="39" t="s">
        <v>136</v>
      </c>
      <c r="C28" s="39"/>
      <c r="D28" s="39"/>
      <c r="E28" s="39"/>
      <c r="F28" s="39"/>
      <c r="G28" s="39"/>
      <c r="H28" s="39"/>
      <c r="I28" s="39"/>
      <c r="J28" s="39"/>
    </row>
    <row r="29" spans="2:13" ht="42.75" x14ac:dyDescent="0.45">
      <c r="B29" s="8" t="s">
        <v>137</v>
      </c>
      <c r="C29" s="8" t="s">
        <v>138</v>
      </c>
      <c r="D29" s="8" t="s">
        <v>139</v>
      </c>
      <c r="E29" s="18" t="s">
        <v>140</v>
      </c>
      <c r="F29" s="18" t="s">
        <v>141</v>
      </c>
      <c r="G29" s="8" t="s">
        <v>142</v>
      </c>
      <c r="H29" s="8" t="s">
        <v>143</v>
      </c>
      <c r="I29" s="8" t="s">
        <v>144</v>
      </c>
      <c r="J29" s="8" t="s">
        <v>145</v>
      </c>
    </row>
    <row r="30" spans="2:13" x14ac:dyDescent="0.45">
      <c r="B30" s="13">
        <f>'Step 4 - Intermediary calcs'!$D$18*BYOD_Number_of_Tables_in_BYOD</f>
        <v>1140</v>
      </c>
      <c r="C30" s="13">
        <f>'Step 4 - Intermediary calcs'!E18*BYOD_Number_of_Tables_in_BYOD</f>
        <v>1520</v>
      </c>
      <c r="D30" s="13">
        <f>'Step 4 - Intermediary calcs'!$K$18 * 12*BYOD_Number_of_Tables_in_BYOD</f>
        <v>2764800</v>
      </c>
      <c r="E30" s="13">
        <f>'Step 4 - Intermediary calcs'!L18*12*BYOD_Number_of_Tables_in_BYOD</f>
        <v>2764800</v>
      </c>
      <c r="F30" s="13">
        <f>('Step 4 - Intermediary calcs'!$M$18*12)+'Step 4 - Intermediary calcs'!$F$18</f>
        <v>983035644.78764486</v>
      </c>
      <c r="G30" s="22">
        <f>((D30+B30)/'Step 2 - Azure Services Price '!$D$8)*'Step 2 - Azure Services Price '!$C$8</f>
        <v>19.416898799999998</v>
      </c>
      <c r="H30" s="22">
        <f>(F30/(1024*1024*1024))*Price_Write_Operations_cost</f>
        <v>6.4269734792497632E-2</v>
      </c>
      <c r="I30" s="22">
        <f>(E30+C30)*Price_Other_operation/'Step 2 - Azure Services Price '!D10</f>
        <v>1.5463728800000001</v>
      </c>
      <c r="J30" s="22">
        <f>SUM(G30:I31)</f>
        <v>21.027541414792495</v>
      </c>
    </row>
    <row r="34" spans="2:6" x14ac:dyDescent="0.45">
      <c r="B34" s="40" t="s">
        <v>146</v>
      </c>
      <c r="C34" s="41"/>
      <c r="D34" s="41"/>
      <c r="E34" s="41"/>
      <c r="F34" s="42"/>
    </row>
    <row r="35" spans="2:6" ht="28.5" x14ac:dyDescent="0.45">
      <c r="B35" s="8" t="s">
        <v>147</v>
      </c>
      <c r="C35" s="8" t="s">
        <v>148</v>
      </c>
      <c r="D35" s="18" t="s">
        <v>149</v>
      </c>
      <c r="E35" s="18" t="s">
        <v>150</v>
      </c>
      <c r="F35" s="8" t="s">
        <v>145</v>
      </c>
    </row>
    <row r="36" spans="2:6" x14ac:dyDescent="0.45">
      <c r="B36" s="13">
        <f>'Step 4 - Intermediary calcs'!E24*12</f>
        <v>3456000</v>
      </c>
      <c r="C36" s="13">
        <f>'Step 4 - Intermediary calcs'!C24*12</f>
        <v>11653632000000</v>
      </c>
      <c r="D36" s="22">
        <f>(B36/Price_read_ops_cost_baseUnit)*Price_Read_Operations_Cost</f>
        <v>1.9353600000000002</v>
      </c>
      <c r="E36" s="22">
        <f>C36*Price_Data_scanned/('Step 2 - Azure Services Price '!D13*1099511627776)</f>
        <v>52.994582802057266</v>
      </c>
      <c r="F36" s="22">
        <f>SUM(E36+D36)</f>
        <v>54.929942802057269</v>
      </c>
    </row>
    <row r="40" spans="2:6" x14ac:dyDescent="0.45">
      <c r="B40" t="s">
        <v>162</v>
      </c>
    </row>
    <row r="41" spans="2:6" x14ac:dyDescent="0.45">
      <c r="B41" t="s">
        <v>164</v>
      </c>
    </row>
  </sheetData>
  <sheetProtection algorithmName="SHA-512" hashValue="En6k3wFLhceWYYjN0ev9S4Ak8a5obSKsjK8sMZuG/Z+72Xq1eaTOyTToaP2A927BGqfXv0V6SAl8OLftPlyKJA==" saltValue="hIQNGRvvi6/r84xzgWiqZg==" spinCount="100000" sheet="1" objects="1" scenarios="1"/>
  <mergeCells count="9">
    <mergeCell ref="B28:J28"/>
    <mergeCell ref="B34:F34"/>
    <mergeCell ref="B15:M15"/>
    <mergeCell ref="B16:F16"/>
    <mergeCell ref="G16:J16"/>
    <mergeCell ref="K16:M16"/>
    <mergeCell ref="B21:E21"/>
    <mergeCell ref="B22:C22"/>
    <mergeCell ref="D22:E2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A941B-F722-4326-BD69-6C427922497F}">
  <dimension ref="B1:G23"/>
  <sheetViews>
    <sheetView workbookViewId="0">
      <selection activeCell="C11" sqref="C11:C13"/>
    </sheetView>
  </sheetViews>
  <sheetFormatPr defaultRowHeight="14.25" x14ac:dyDescent="0.45"/>
  <cols>
    <col min="1" max="1" width="19.1328125" customWidth="1"/>
    <col min="2" max="2" width="63.59765625" customWidth="1"/>
    <col min="3" max="3" width="27" customWidth="1"/>
    <col min="4" max="4" width="22.3984375" bestFit="1" customWidth="1"/>
    <col min="5" max="5" width="26.1328125" customWidth="1"/>
    <col min="6" max="6" width="23.59765625" bestFit="1" customWidth="1"/>
    <col min="7" max="7" width="23.3984375" customWidth="1"/>
    <col min="8" max="8" width="23.59765625" bestFit="1" customWidth="1"/>
    <col min="9" max="9" width="30" bestFit="1" customWidth="1"/>
    <col min="10" max="10" width="17.59765625" bestFit="1" customWidth="1"/>
    <col min="11" max="11" width="15.265625" customWidth="1"/>
    <col min="12" max="12" width="11" bestFit="1" customWidth="1"/>
    <col min="13" max="13" width="12.1328125" bestFit="1" customWidth="1"/>
  </cols>
  <sheetData>
    <row r="1" spans="2:7" ht="28.5" x14ac:dyDescent="0.85">
      <c r="B1" s="9" t="s">
        <v>151</v>
      </c>
    </row>
    <row r="2" spans="2:7" ht="28.5" x14ac:dyDescent="0.45">
      <c r="B2" s="4" t="s">
        <v>152</v>
      </c>
    </row>
    <row r="10" spans="2:7" ht="69.75" x14ac:dyDescent="0.7">
      <c r="C10" s="21" t="s">
        <v>153</v>
      </c>
      <c r="D10" s="45" t="s">
        <v>154</v>
      </c>
      <c r="E10" s="46"/>
      <c r="F10" s="21" t="s">
        <v>155</v>
      </c>
      <c r="G10" s="21" t="s">
        <v>156</v>
      </c>
    </row>
    <row r="11" spans="2:7" ht="23.25" x14ac:dyDescent="0.7">
      <c r="C11" s="47">
        <f>BYOD_Monthly_Cost_in_dollars*12</f>
        <v>360</v>
      </c>
      <c r="D11" s="21" t="s">
        <v>157</v>
      </c>
      <c r="E11" s="21" t="s">
        <v>158</v>
      </c>
      <c r="F11" s="50">
        <f>C11-D13</f>
        <v>284.03999999999996</v>
      </c>
      <c r="G11" s="53">
        <f>F11/C11</f>
        <v>0.78899999999999992</v>
      </c>
    </row>
    <row r="12" spans="2:7" ht="23.25" customHeight="1" x14ac:dyDescent="0.7">
      <c r="C12" s="48"/>
      <c r="D12" s="28">
        <f>ROUNDUP(Total_DataIngestion,2)</f>
        <v>21.03</v>
      </c>
      <c r="E12" s="28">
        <f>ROUNDUP(Total_DataConsumption,2)</f>
        <v>54.93</v>
      </c>
      <c r="F12" s="51"/>
      <c r="G12" s="54"/>
    </row>
    <row r="13" spans="2:7" ht="23.25" x14ac:dyDescent="0.7">
      <c r="C13" s="49"/>
      <c r="D13" s="43">
        <f>ROUNDUP(Total_DataConsumption+Total_DataIngestion,2)</f>
        <v>75.960000000000008</v>
      </c>
      <c r="E13" s="44"/>
      <c r="F13" s="52"/>
      <c r="G13" s="55"/>
    </row>
    <row r="16" spans="2:7" ht="185.25" x14ac:dyDescent="0.45">
      <c r="B16" s="29" t="s">
        <v>159</v>
      </c>
    </row>
    <row r="23" ht="73.150000000000006" customHeight="1" x14ac:dyDescent="0.45"/>
  </sheetData>
  <sheetProtection algorithmName="SHA-512" hashValue="OqSmHPZK3g9UyTdubYuEPnAlvLs/UGPrWDi8PABDUG6oA2krfSXITnrBVaVeJBEQPGGA820lo5TuDGwnOCMbvw==" saltValue="jsHsrlNB2UK8iSHx7PCTdQ==" spinCount="100000" sheet="1" objects="1" scenarios="1"/>
  <mergeCells count="5">
    <mergeCell ref="D13:E13"/>
    <mergeCell ref="D10:E10"/>
    <mergeCell ref="C11:C13"/>
    <mergeCell ref="F11:F13"/>
    <mergeCell ref="G11:G13"/>
  </mergeCells>
  <conditionalFormatting sqref="F11:G11">
    <cfRule type="cellIs" dxfId="1" priority="1" operator="lessThan">
      <formula>0</formula>
    </cfRule>
    <cfRule type="cellIs" dxfId="0" priority="2" operator="greaterThan">
      <formula>0</formula>
    </cfRule>
  </conditionalFormatting>
  <pageMargins left="0.7" right="0.7" top="0.75" bottom="0.75" header="0.3" footer="0.3"/>
  <pageSetup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D99B3E14891514CA589A2B20C1E5AEA" ma:contentTypeVersion="15" ma:contentTypeDescription="Create a new document." ma:contentTypeScope="" ma:versionID="d99749affb3f79fb6d50ec01e4f1b0d0">
  <xsd:schema xmlns:xsd="http://www.w3.org/2001/XMLSchema" xmlns:xs="http://www.w3.org/2001/XMLSchema" xmlns:p="http://schemas.microsoft.com/office/2006/metadata/properties" xmlns:ns1="http://schemas.microsoft.com/sharepoint/v3" xmlns:ns2="6fd25a3a-b5db-4c06-8b30-b7d922845082" xmlns:ns3="122541b4-18e1-44fa-96f4-57b4f42b153d" targetNamespace="http://schemas.microsoft.com/office/2006/metadata/properties" ma:root="true" ma:fieldsID="648de72f96cfb87d13f2a41f9fb3f0df" ns1:_="" ns2:_="" ns3:_="">
    <xsd:import namespace="http://schemas.microsoft.com/sharepoint/v3"/>
    <xsd:import namespace="6fd25a3a-b5db-4c06-8b30-b7d922845082"/>
    <xsd:import namespace="122541b4-18e1-44fa-96f4-57b4f42b153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EventHashCode" minOccurs="0"/>
                <xsd:element ref="ns2:MediaServiceGenerationTime" minOccurs="0"/>
                <xsd:element ref="ns2:MediaServiceAutoTags" minOccurs="0"/>
                <xsd:element ref="ns2:MediaServiceOCR" minOccurs="0"/>
                <xsd:element ref="ns1:_ip_UnifiedCompliancePolicyProperties" minOccurs="0"/>
                <xsd:element ref="ns1:_ip_UnifiedCompliancePolicyUIAction" minOccurs="0"/>
                <xsd:element ref="ns2:MediaServiceDateTaken" minOccurs="0"/>
                <xsd:element ref="ns2:MediaServiceAutoKeyPoints" minOccurs="0"/>
                <xsd:element ref="ns2:MediaServiceKeyPoints" minOccurs="0"/>
                <xsd:element ref="ns2:MediaServiceLocation" minOccurs="0"/>
                <xsd:element ref="ns2: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fd25a3a-b5db-4c06-8b30-b7d92284508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false">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element name="_Flow_SignoffStatus" ma:index="22" nillable="true" ma:displayName="Sign-off status" ma:internalName="Sign_x002d_off_x0020_status">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22541b4-18e1-44fa-96f4-57b4f42b153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ediaServiceKeyPoints xmlns="6fd25a3a-b5db-4c06-8b30-b7d922845082" xsi:nil="true"/>
    <_ip_UnifiedCompliancePolicyProperties xmlns="http://schemas.microsoft.com/sharepoint/v3" xsi:nil="true"/>
    <_Flow_SignoffStatus xmlns="6fd25a3a-b5db-4c06-8b30-b7d922845082" xsi:nil="true"/>
    <_ip_UnifiedCompliancePolicyUIAction xmlns="http://schemas.microsoft.com/sharepoint/v3" xsi:nil="true"/>
  </documentManagement>
</p:properties>
</file>

<file path=customXml/itemProps1.xml><?xml version="1.0" encoding="utf-8"?>
<ds:datastoreItem xmlns:ds="http://schemas.openxmlformats.org/officeDocument/2006/customXml" ds:itemID="{B82EED64-2065-4777-AD11-19F3DD12DB9A}">
  <ds:schemaRefs>
    <ds:schemaRef ds:uri="http://schemas.microsoft.com/sharepoint/v3/contenttype/forms"/>
  </ds:schemaRefs>
</ds:datastoreItem>
</file>

<file path=customXml/itemProps2.xml><?xml version="1.0" encoding="utf-8"?>
<ds:datastoreItem xmlns:ds="http://schemas.openxmlformats.org/officeDocument/2006/customXml" ds:itemID="{96928CAC-9729-48AD-8D92-3B7C5B8E2A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fd25a3a-b5db-4c06-8b30-b7d922845082"/>
    <ds:schemaRef ds:uri="122541b4-18e1-44fa-96f4-57b4f42b15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10EFF5D-0D6F-4840-8BDE-8B45DD0EDE19}">
  <ds:schemaRefs>
    <ds:schemaRef ds:uri="http://schemas.microsoft.com/office/2006/metadata/properties"/>
    <ds:schemaRef ds:uri="http://schemas.microsoft.com/office/infopath/2007/PartnerControls"/>
    <ds:schemaRef ds:uri="6fd25a3a-b5db-4c06-8b30-b7d922845082"/>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38</vt:i4>
      </vt:variant>
    </vt:vector>
  </HeadingPairs>
  <TitlesOfParts>
    <vt:vector size="46" baseType="lpstr">
      <vt:lpstr>Scenario</vt:lpstr>
      <vt:lpstr>Step 0 - Prerequisites</vt:lpstr>
      <vt:lpstr>Step 1 - BYOD usage</vt:lpstr>
      <vt:lpstr>Step1 Helpers</vt:lpstr>
      <vt:lpstr>Step 2 - Azure Services Price </vt:lpstr>
      <vt:lpstr>Step3 - Writers parameters</vt:lpstr>
      <vt:lpstr>Step 4 - Intermediary calcs</vt:lpstr>
      <vt:lpstr>Step5 - Result</vt:lpstr>
      <vt:lpstr>Amount_of_data_scanned__in_Bytes_per_hour</vt:lpstr>
      <vt:lpstr>AVG_Nb_Blocks_per_entity</vt:lpstr>
      <vt:lpstr>AVG_Nb_Files_per_entity</vt:lpstr>
      <vt:lpstr>AVG_Query_Size_in_bytes</vt:lpstr>
      <vt:lpstr>AXDB_Average_Number_AXDBTables_Per_DataEntity</vt:lpstr>
      <vt:lpstr>AXDB_Average_number_of_rows_per_table</vt:lpstr>
      <vt:lpstr>AXDB_Average_row_size_in_Bytes</vt:lpstr>
      <vt:lpstr>AXDB_Nb_Hours_Per_Month_data_ingestion</vt:lpstr>
      <vt:lpstr>AXDB_NB_RawTablePerEntity</vt:lpstr>
      <vt:lpstr>BYOD_Average_number_of_BYOD_tables_involved_in_each_query</vt:lpstr>
      <vt:lpstr>BYOD_Average_number_of_lines_incrementally_Loaded_to_BYOD_per_10_minutes</vt:lpstr>
      <vt:lpstr>BYOD_Average_number_of_lines_per_tables</vt:lpstr>
      <vt:lpstr>BYOD_Average_raw_table_size_in_BYOD</vt:lpstr>
      <vt:lpstr>BYOD_Consumption_Average_Number_of_queries_per_hour</vt:lpstr>
      <vt:lpstr>BYOD_Monthly_Cost_in_dollars</vt:lpstr>
      <vt:lpstr>BYOD_Number_of_Tables_in_BYOD</vt:lpstr>
      <vt:lpstr>INTERMEDIARY_Gap_size_factor___byod_table_record_size__vs_raw_tablesrecords_size</vt:lpstr>
      <vt:lpstr>INTERMEDIARY_Incremental_Load___growth_factor</vt:lpstr>
      <vt:lpstr>INTERMEDIARY_total_axdb_size_in_byte</vt:lpstr>
      <vt:lpstr>INTERMEDIARY_total_byod_size_in_byte</vt:lpstr>
      <vt:lpstr>Nb_Blocks_per_entity_in_Incremental</vt:lpstr>
      <vt:lpstr>Nb_Hours_Per_Month_data_consumption</vt:lpstr>
      <vt:lpstr>NB_Reads_per_hour</vt:lpstr>
      <vt:lpstr>Nb_Writes_Per10Mins</vt:lpstr>
      <vt:lpstr>Other_operations_Per10Mins</vt:lpstr>
      <vt:lpstr>percent_volume_Incremental_vs_full</vt:lpstr>
      <vt:lpstr>Price_Data_scanned</vt:lpstr>
      <vt:lpstr>Price_Other_operation</vt:lpstr>
      <vt:lpstr>Price_Read_Operations_Cost</vt:lpstr>
      <vt:lpstr>Price_read_ops_cost_baseUnit</vt:lpstr>
      <vt:lpstr>Price_Storage_Capacity_Cost___Month</vt:lpstr>
      <vt:lpstr>Price_Write_Operations_cost</vt:lpstr>
      <vt:lpstr>Price_write_ops_cost_BaseUnit</vt:lpstr>
      <vt:lpstr>Total_DataConsumption</vt:lpstr>
      <vt:lpstr>Total_DataIngestion</vt:lpstr>
      <vt:lpstr>Volume_Per10Mins_Bytes</vt:lpstr>
      <vt:lpstr>WriteParams_Max_nb_blocks_perBlob</vt:lpstr>
      <vt:lpstr>WriteParams_Max_Nb_Records_per_block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Samy Sid Otmane</dc:creator>
  <cp:keywords/>
  <dc:description/>
  <cp:lastModifiedBy>Samy Sid Otmane</cp:lastModifiedBy>
  <cp:revision/>
  <dcterms:created xsi:type="dcterms:W3CDTF">2015-06-05T18:17:20Z</dcterms:created>
  <dcterms:modified xsi:type="dcterms:W3CDTF">2020-11-05T18:54:44Z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0x010100DD99B3E14891514CA589A2B20C1E5AEA</vt:lpwstr>
  </property>
</Properties>
</file>