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Mouhand\AppData\Local\Microsoft\Windows\INetCache\Content.Outlook\1C74M0LC\"/>
    </mc:Choice>
  </mc:AlternateContent>
  <xr:revisionPtr revIDLastSave="0" documentId="8_{D863F994-F312-4783-9CDA-4E5316E5C71B}" xr6:coauthVersionLast="46" xr6:coauthVersionMax="46" xr10:uidLastSave="{00000000-0000-0000-0000-000000000000}"/>
  <bookViews>
    <workbookView xWindow="-120" yWindow="-120" windowWidth="29040" windowHeight="15840" firstSheet="1" activeTab="3" xr2:uid="{00000000-000D-0000-FFFF-FFFF00000000}"/>
  </bookViews>
  <sheets>
    <sheet name="Feuil1" sheetId="6" state="hidden" r:id="rId1"/>
    <sheet name="Détails" sheetId="1" r:id="rId2"/>
    <sheet name="Cons_Gasoil" sheetId="2" state="hidden" r:id="rId3"/>
    <sheet name="Table_Bord" sheetId="3" r:id="rId4"/>
    <sheet name="Feuil2" sheetId="12" r:id="rId5"/>
    <sheet name="Dépenses" sheetId="4" state="hidden" r:id="rId6"/>
    <sheet name="Traitement" sheetId="5" state="hidden" r:id="rId7"/>
  </sheets>
  <definedNames>
    <definedName name="_xlcn.WorksheetConnection_GestionMatérielMais2021.xlsxTableau1" hidden="1">Tableau1[]</definedName>
    <definedName name="_xlcn.WorksheetConnection_GestionMatérielMais2021.xlsxTableau2" hidden="1">Tableau2[]</definedName>
    <definedName name="ChronologieNative_Date">#N/A</definedName>
    <definedName name="Segment_Chantier">#N/A</definedName>
    <definedName name="Segment_Code">#N/A</definedName>
    <definedName name="Segment_Type">#N/A</definedName>
  </definedNames>
  <calcPr calcId="191029"/>
  <pivotCaches>
    <pivotCache cacheId="1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au2" name="Tableau2" connection="WorksheetConnection_Gestion Matériel Mais-2021.xlsx!Tableau2"/>
          <x15:modelTable id="Tableau1" name="Tableau1" connection="WorksheetConnection_Gestion Matériel Mais-2021.xlsx!Tableau1"/>
        </x15:modelTables>
      </x15:dataModel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R86" i="12"/>
  <c r="S86" i="12"/>
  <c r="X86" i="12" s="1"/>
  <c r="T86" i="12"/>
  <c r="U86" i="12"/>
  <c r="V86" i="12"/>
  <c r="W86" i="12"/>
  <c r="AD75" i="12"/>
  <c r="AD76" i="12"/>
  <c r="AD77" i="12"/>
  <c r="AD78" i="12"/>
  <c r="AD79" i="12"/>
  <c r="AD80" i="12"/>
  <c r="AD81" i="12"/>
  <c r="AD82" i="12"/>
  <c r="AD83" i="12"/>
  <c r="AD84" i="12"/>
  <c r="AD85" i="12"/>
  <c r="AD61" i="12"/>
  <c r="R26" i="12"/>
  <c r="S26" i="12"/>
  <c r="T26" i="12"/>
  <c r="U26" i="12"/>
  <c r="V26" i="12"/>
  <c r="W26" i="12"/>
  <c r="AD4" i="12"/>
  <c r="AD5" i="12"/>
  <c r="AD6" i="12"/>
  <c r="AD7" i="12"/>
  <c r="AD8" i="12"/>
  <c r="AD9" i="12"/>
  <c r="AD10" i="12"/>
  <c r="AD11" i="12"/>
  <c r="AD12" i="12"/>
  <c r="AD13" i="12"/>
  <c r="AD14" i="12"/>
  <c r="AD15" i="12"/>
  <c r="AD16" i="12"/>
  <c r="AD17" i="12"/>
  <c r="AD18" i="12"/>
  <c r="AD19" i="12"/>
  <c r="AD20" i="12"/>
  <c r="AD21" i="12"/>
  <c r="AD22" i="12"/>
  <c r="AD23" i="12"/>
  <c r="AD24" i="12"/>
  <c r="AD25" i="12"/>
  <c r="AD26" i="12"/>
  <c r="AD27" i="12"/>
  <c r="AD28" i="12"/>
  <c r="AD29" i="12"/>
  <c r="AD30" i="12"/>
  <c r="AD31" i="12"/>
  <c r="AD32" i="12"/>
  <c r="AD33" i="12"/>
  <c r="AD34" i="12"/>
  <c r="AD35" i="12"/>
  <c r="AD36" i="12"/>
  <c r="AD37" i="12"/>
  <c r="AD38" i="12"/>
  <c r="AD39" i="12"/>
  <c r="AD40" i="12"/>
  <c r="AD41" i="12"/>
  <c r="AD42" i="12"/>
  <c r="AD43" i="12"/>
  <c r="AD44" i="12"/>
  <c r="AD45" i="12"/>
  <c r="AD46" i="12"/>
  <c r="AD47" i="12"/>
  <c r="AD48" i="12"/>
  <c r="AD49" i="12"/>
  <c r="AD50" i="12"/>
  <c r="AD51" i="12"/>
  <c r="AD52" i="12"/>
  <c r="AD53" i="12"/>
  <c r="AD54" i="12"/>
  <c r="AD55" i="12"/>
  <c r="AD56" i="12"/>
  <c r="AD57" i="12"/>
  <c r="AD58" i="12"/>
  <c r="AD59" i="12"/>
  <c r="AD60" i="12"/>
  <c r="AD62" i="12"/>
  <c r="AD63" i="12"/>
  <c r="AD64" i="12"/>
  <c r="AD65" i="12"/>
  <c r="AD66" i="12"/>
  <c r="AD67" i="12"/>
  <c r="AD68" i="12"/>
  <c r="AD69" i="12"/>
  <c r="AD70" i="12"/>
  <c r="AD71" i="12"/>
  <c r="AD72" i="12"/>
  <c r="AD73" i="12"/>
  <c r="AD74" i="12"/>
  <c r="AD3" i="12"/>
  <c r="W6" i="12"/>
  <c r="M102" i="12"/>
  <c r="M34" i="12"/>
  <c r="Y86" i="12" l="1"/>
  <c r="X26" i="12"/>
  <c r="Y26" i="12"/>
  <c r="R78" i="12"/>
  <c r="R79" i="12"/>
  <c r="R80" i="12"/>
  <c r="R81" i="12"/>
  <c r="R82" i="12"/>
  <c r="R83" i="12"/>
  <c r="R84" i="12"/>
  <c r="R85" i="12"/>
  <c r="S78" i="12"/>
  <c r="S79" i="12"/>
  <c r="S80" i="12"/>
  <c r="S81" i="12"/>
  <c r="S82" i="12"/>
  <c r="S83" i="12"/>
  <c r="S84" i="12"/>
  <c r="S85" i="12"/>
  <c r="T78" i="12"/>
  <c r="T79" i="12"/>
  <c r="T80" i="12"/>
  <c r="T81" i="12"/>
  <c r="T82" i="12"/>
  <c r="T83" i="12"/>
  <c r="T84" i="12"/>
  <c r="T85" i="12"/>
  <c r="U78" i="12"/>
  <c r="U79" i="12"/>
  <c r="U80" i="12"/>
  <c r="U81" i="12"/>
  <c r="U82" i="12"/>
  <c r="U83" i="12"/>
  <c r="U84" i="12"/>
  <c r="U85" i="12"/>
  <c r="V78" i="12"/>
  <c r="V79" i="12"/>
  <c r="V80" i="12"/>
  <c r="V81" i="12"/>
  <c r="V82" i="12"/>
  <c r="V83" i="12"/>
  <c r="V84" i="12"/>
  <c r="V85" i="12"/>
  <c r="W78" i="12"/>
  <c r="W79" i="12"/>
  <c r="W80" i="12"/>
  <c r="W81" i="12"/>
  <c r="W82" i="12"/>
  <c r="W83" i="12"/>
  <c r="W84" i="12"/>
  <c r="W85" i="12"/>
  <c r="X85" i="12" l="1"/>
  <c r="Y85" i="12"/>
  <c r="X78" i="12"/>
  <c r="Y78" i="12"/>
  <c r="X84" i="12"/>
  <c r="Y84" i="12"/>
  <c r="X83" i="12"/>
  <c r="Y83" i="12"/>
  <c r="Y82" i="12"/>
  <c r="X82" i="12"/>
  <c r="X80" i="12"/>
  <c r="Y80" i="12"/>
  <c r="Y81" i="12"/>
  <c r="X81" i="12"/>
  <c r="X79" i="12"/>
  <c r="Y79" i="12"/>
  <c r="W3" i="12"/>
  <c r="W4" i="12"/>
  <c r="W5" i="12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5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46" i="12"/>
  <c r="W47" i="12"/>
  <c r="W48" i="12"/>
  <c r="W49" i="12"/>
  <c r="W50" i="12"/>
  <c r="W51" i="12"/>
  <c r="W52" i="12"/>
  <c r="W53" i="12"/>
  <c r="W54" i="12"/>
  <c r="W55" i="12"/>
  <c r="W56" i="12"/>
  <c r="W57" i="12"/>
  <c r="W58" i="12"/>
  <c r="W59" i="12"/>
  <c r="W60" i="12"/>
  <c r="W61" i="12"/>
  <c r="W62" i="12"/>
  <c r="W63" i="12"/>
  <c r="W64" i="12"/>
  <c r="W65" i="12"/>
  <c r="W66" i="12"/>
  <c r="W67" i="12"/>
  <c r="W68" i="12"/>
  <c r="W69" i="12"/>
  <c r="W70" i="12"/>
  <c r="W71" i="12"/>
  <c r="W72" i="12"/>
  <c r="W73" i="12"/>
  <c r="W74" i="12"/>
  <c r="W75" i="12"/>
  <c r="W76" i="12"/>
  <c r="W77" i="12"/>
  <c r="V3" i="12"/>
  <c r="V4" i="12"/>
  <c r="V5" i="12"/>
  <c r="V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7" i="12"/>
  <c r="V28" i="12"/>
  <c r="V29" i="12"/>
  <c r="V30" i="12"/>
  <c r="V31" i="12"/>
  <c r="V32" i="12"/>
  <c r="V33" i="12"/>
  <c r="V34" i="12"/>
  <c r="V35" i="12"/>
  <c r="V36" i="12"/>
  <c r="V37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55" i="12"/>
  <c r="V56" i="12"/>
  <c r="V57" i="12"/>
  <c r="V58" i="12"/>
  <c r="V59" i="12"/>
  <c r="V60" i="12"/>
  <c r="V61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U3" i="12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42" i="12"/>
  <c r="U43" i="12"/>
  <c r="U44" i="12"/>
  <c r="U45" i="12"/>
  <c r="U46" i="12"/>
  <c r="U47" i="12"/>
  <c r="U48" i="12"/>
  <c r="U49" i="12"/>
  <c r="U50" i="12"/>
  <c r="U51" i="12"/>
  <c r="U52" i="12"/>
  <c r="U53" i="12"/>
  <c r="U54" i="12"/>
  <c r="U55" i="12"/>
  <c r="U56" i="12"/>
  <c r="U57" i="12"/>
  <c r="U58" i="12"/>
  <c r="U59" i="12"/>
  <c r="U60" i="12"/>
  <c r="U61" i="12"/>
  <c r="U62" i="12"/>
  <c r="U63" i="12"/>
  <c r="U64" i="12"/>
  <c r="U65" i="12"/>
  <c r="U66" i="12"/>
  <c r="U67" i="12"/>
  <c r="U68" i="12"/>
  <c r="U69" i="12"/>
  <c r="U70" i="12"/>
  <c r="U71" i="12"/>
  <c r="U72" i="12"/>
  <c r="U73" i="12"/>
  <c r="U74" i="12"/>
  <c r="U75" i="12"/>
  <c r="U76" i="12"/>
  <c r="U77" i="12"/>
  <c r="T3" i="12"/>
  <c r="T4" i="12"/>
  <c r="T5" i="12"/>
  <c r="T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54" i="12"/>
  <c r="T55" i="12"/>
  <c r="T56" i="12"/>
  <c r="T57" i="12"/>
  <c r="T58" i="12"/>
  <c r="T59" i="12"/>
  <c r="T60" i="12"/>
  <c r="T61" i="12"/>
  <c r="T62" i="12"/>
  <c r="T63" i="12"/>
  <c r="T64" i="12"/>
  <c r="T65" i="12"/>
  <c r="T66" i="12"/>
  <c r="T67" i="12"/>
  <c r="T68" i="12"/>
  <c r="T69" i="12"/>
  <c r="T70" i="12"/>
  <c r="T71" i="12"/>
  <c r="T72" i="12"/>
  <c r="T73" i="12"/>
  <c r="T74" i="12"/>
  <c r="T75" i="12"/>
  <c r="T76" i="12"/>
  <c r="T77" i="12"/>
  <c r="S3" i="12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S54" i="12"/>
  <c r="S55" i="12"/>
  <c r="S56" i="12"/>
  <c r="S57" i="12"/>
  <c r="S58" i="12"/>
  <c r="S59" i="12"/>
  <c r="S60" i="12"/>
  <c r="S61" i="12"/>
  <c r="S62" i="12"/>
  <c r="S63" i="12"/>
  <c r="S64" i="12"/>
  <c r="S65" i="12"/>
  <c r="S66" i="12"/>
  <c r="S67" i="12"/>
  <c r="S68" i="12"/>
  <c r="S69" i="12"/>
  <c r="S70" i="12"/>
  <c r="S71" i="12"/>
  <c r="S72" i="12"/>
  <c r="S73" i="12"/>
  <c r="S74" i="12"/>
  <c r="S75" i="12"/>
  <c r="S76" i="12"/>
  <c r="S77" i="12"/>
  <c r="R3" i="12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X52" i="12" l="1"/>
  <c r="Y52" i="12"/>
  <c r="Y3" i="12"/>
  <c r="X3" i="12"/>
  <c r="X35" i="12"/>
  <c r="Y35" i="12"/>
  <c r="X60" i="12"/>
  <c r="Y60" i="12"/>
  <c r="X19" i="12"/>
  <c r="Y19" i="12"/>
  <c r="Y59" i="12"/>
  <c r="X59" i="12"/>
  <c r="X18" i="12"/>
  <c r="Y18" i="12"/>
  <c r="X74" i="12"/>
  <c r="Y74" i="12"/>
  <c r="Y66" i="12"/>
  <c r="X66" i="12"/>
  <c r="Y58" i="12"/>
  <c r="X58" i="12"/>
  <c r="X50" i="12"/>
  <c r="Y50" i="12"/>
  <c r="Y42" i="12"/>
  <c r="X42" i="12"/>
  <c r="X34" i="12"/>
  <c r="Y34" i="12"/>
  <c r="Y25" i="12"/>
  <c r="X25" i="12"/>
  <c r="X17" i="12"/>
  <c r="Y17" i="12"/>
  <c r="X9" i="12"/>
  <c r="Y9" i="12"/>
  <c r="Y68" i="12"/>
  <c r="X68" i="12"/>
  <c r="X11" i="12"/>
  <c r="Y11" i="12"/>
  <c r="X67" i="12"/>
  <c r="Y67" i="12"/>
  <c r="Y27" i="12"/>
  <c r="X27" i="12"/>
  <c r="X73" i="12"/>
  <c r="Y73" i="12"/>
  <c r="Y65" i="12"/>
  <c r="X65" i="12"/>
  <c r="Y57" i="12"/>
  <c r="X57" i="12"/>
  <c r="X49" i="12"/>
  <c r="Y49" i="12"/>
  <c r="Y41" i="12"/>
  <c r="X41" i="12"/>
  <c r="Y33" i="12"/>
  <c r="X33" i="12"/>
  <c r="Y24" i="12"/>
  <c r="X24" i="12"/>
  <c r="X16" i="12"/>
  <c r="Y16" i="12"/>
  <c r="Y8" i="12"/>
  <c r="X8" i="12"/>
  <c r="Y44" i="12"/>
  <c r="X44" i="12"/>
  <c r="Y75" i="12"/>
  <c r="X75" i="12"/>
  <c r="Y43" i="12"/>
  <c r="X43" i="12"/>
  <c r="X72" i="12"/>
  <c r="Y72" i="12"/>
  <c r="X64" i="12"/>
  <c r="Y64" i="12"/>
  <c r="X56" i="12"/>
  <c r="Y56" i="12"/>
  <c r="X48" i="12"/>
  <c r="Y48" i="12"/>
  <c r="X40" i="12"/>
  <c r="Y40" i="12"/>
  <c r="Y32" i="12"/>
  <c r="X32" i="12"/>
  <c r="X23" i="12"/>
  <c r="Y23" i="12"/>
  <c r="Y15" i="12"/>
  <c r="X15" i="12"/>
  <c r="X7" i="12"/>
  <c r="Y7" i="12"/>
  <c r="Y36" i="12"/>
  <c r="X36" i="12"/>
  <c r="X51" i="12"/>
  <c r="Y51" i="12"/>
  <c r="X10" i="12"/>
  <c r="Y10" i="12"/>
  <c r="X71" i="12"/>
  <c r="Y71" i="12"/>
  <c r="X63" i="12"/>
  <c r="Y63" i="12"/>
  <c r="X55" i="12"/>
  <c r="Y55" i="12"/>
  <c r="X47" i="12"/>
  <c r="Y47" i="12"/>
  <c r="Y39" i="12"/>
  <c r="X39" i="12"/>
  <c r="X31" i="12"/>
  <c r="Y31" i="12"/>
  <c r="Y22" i="12"/>
  <c r="X22" i="12"/>
  <c r="X14" i="12"/>
  <c r="Y14" i="12"/>
  <c r="X6" i="12"/>
  <c r="Y6" i="12"/>
  <c r="Y76" i="12"/>
  <c r="X76" i="12"/>
  <c r="X28" i="12"/>
  <c r="Y28" i="12"/>
  <c r="Y70" i="12"/>
  <c r="X70" i="12"/>
  <c r="X62" i="12"/>
  <c r="Y62" i="12"/>
  <c r="Y54" i="12"/>
  <c r="X54" i="12"/>
  <c r="X46" i="12"/>
  <c r="Y46" i="12"/>
  <c r="X38" i="12"/>
  <c r="Y38" i="12"/>
  <c r="X30" i="12"/>
  <c r="Y30" i="12"/>
  <c r="X21" i="12"/>
  <c r="Y21" i="12"/>
  <c r="X13" i="12"/>
  <c r="Y13" i="12"/>
  <c r="X5" i="12"/>
  <c r="Y5" i="12"/>
  <c r="X77" i="12"/>
  <c r="Y77" i="12"/>
  <c r="Y69" i="12"/>
  <c r="X69" i="12"/>
  <c r="Y61" i="12"/>
  <c r="X61" i="12"/>
  <c r="Y53" i="12"/>
  <c r="X53" i="12"/>
  <c r="X45" i="12"/>
  <c r="Y45" i="12"/>
  <c r="X37" i="12"/>
  <c r="Y37" i="12"/>
  <c r="X29" i="12"/>
  <c r="Y29" i="12"/>
  <c r="X20" i="12"/>
  <c r="Y20" i="12"/>
  <c r="X12" i="12"/>
  <c r="Y12" i="12"/>
  <c r="Y4" i="12"/>
  <c r="X4" i="12"/>
  <c r="O740" i="1"/>
  <c r="O737" i="1"/>
  <c r="O702" i="1"/>
  <c r="O685" i="1"/>
  <c r="O681" i="1"/>
  <c r="O761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680" i="1"/>
  <c r="X4" i="3"/>
  <c r="T4" i="3"/>
  <c r="O680" i="1" l="1"/>
  <c r="O682" i="1"/>
  <c r="O683" i="1"/>
  <c r="O684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5" i="1"/>
  <c r="O736" i="1"/>
  <c r="O738" i="1"/>
  <c r="O739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34" i="1" l="1"/>
  <c r="O262" i="1"/>
  <c r="S464" i="1"/>
  <c r="R636" i="1"/>
  <c r="S636" i="1" s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G6" i="2" l="1"/>
  <c r="G2" i="2"/>
  <c r="G7" i="2"/>
  <c r="G4" i="2"/>
  <c r="G8" i="2"/>
  <c r="G3" i="2"/>
  <c r="G5" i="2"/>
  <c r="G14" i="2"/>
  <c r="G15" i="2"/>
  <c r="G13" i="2"/>
  <c r="G12" i="2"/>
  <c r="G16" i="2"/>
  <c r="G11" i="2"/>
  <c r="G10" i="2"/>
  <c r="G9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O3" i="1" l="1"/>
  <c r="O4" i="1"/>
  <c r="O5" i="1"/>
  <c r="O6" i="1"/>
  <c r="O7" i="1"/>
  <c r="O8" i="1"/>
  <c r="O11" i="1"/>
  <c r="O9" i="1"/>
  <c r="O10" i="1"/>
  <c r="O14" i="1"/>
  <c r="O12" i="1"/>
  <c r="O13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4" i="1"/>
  <c r="O33" i="1"/>
  <c r="O35" i="1"/>
  <c r="O36" i="1"/>
  <c r="O37" i="1"/>
  <c r="O38" i="1"/>
  <c r="O39" i="1"/>
  <c r="O40" i="1"/>
  <c r="O42" i="1"/>
  <c r="O41" i="1"/>
  <c r="O43" i="1"/>
  <c r="O45" i="1"/>
  <c r="O44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2" i="1"/>
  <c r="O61" i="1"/>
  <c r="O63" i="1"/>
  <c r="O64" i="1"/>
  <c r="O65" i="1"/>
  <c r="O66" i="1"/>
  <c r="O67" i="1"/>
  <c r="O68" i="1"/>
  <c r="O69" i="1"/>
  <c r="O72" i="1"/>
  <c r="O70" i="1"/>
  <c r="O71" i="1"/>
  <c r="O73" i="1"/>
  <c r="O74" i="1"/>
  <c r="O76" i="1"/>
  <c r="O75" i="1"/>
  <c r="O77" i="1"/>
  <c r="O78" i="1"/>
  <c r="O79" i="1"/>
  <c r="O81" i="1"/>
  <c r="O80" i="1"/>
  <c r="O83" i="1"/>
  <c r="O82" i="1"/>
  <c r="O84" i="1"/>
  <c r="O85" i="1"/>
  <c r="O86" i="1"/>
  <c r="O87" i="1"/>
  <c r="O88" i="1"/>
  <c r="O89" i="1"/>
  <c r="O91" i="1"/>
  <c r="O90" i="1"/>
  <c r="O93" i="1"/>
  <c r="O92" i="1"/>
  <c r="O95" i="1"/>
  <c r="O94" i="1"/>
  <c r="O96" i="1"/>
  <c r="O97" i="1"/>
  <c r="O98" i="1"/>
  <c r="O99" i="1"/>
  <c r="O100" i="1"/>
  <c r="O101" i="1"/>
  <c r="O102" i="1"/>
  <c r="O104" i="1"/>
  <c r="O103" i="1"/>
  <c r="O105" i="1"/>
  <c r="O107" i="1"/>
  <c r="O106" i="1"/>
  <c r="O109" i="1"/>
  <c r="O108" i="1"/>
  <c r="O110" i="1"/>
  <c r="O111" i="1"/>
  <c r="O112" i="1"/>
  <c r="O113" i="1"/>
  <c r="O114" i="1"/>
  <c r="O115" i="1"/>
  <c r="O118" i="1"/>
  <c r="O116" i="1"/>
  <c r="O117" i="1"/>
  <c r="O119" i="1"/>
  <c r="O120" i="1"/>
  <c r="O123" i="1"/>
  <c r="O121" i="1"/>
  <c r="O122" i="1"/>
  <c r="O124" i="1"/>
  <c r="O125" i="1"/>
  <c r="O126" i="1"/>
  <c r="O128" i="1"/>
  <c r="O127" i="1"/>
  <c r="O129" i="1"/>
  <c r="O130" i="1"/>
  <c r="O131" i="1"/>
  <c r="O133" i="1"/>
  <c r="O132" i="1"/>
  <c r="O134" i="1"/>
  <c r="O136" i="1"/>
  <c r="O135" i="1"/>
  <c r="O137" i="1"/>
  <c r="O138" i="1"/>
  <c r="O140" i="1"/>
  <c r="O139" i="1"/>
  <c r="O142" i="1"/>
  <c r="O141" i="1"/>
  <c r="O143" i="1"/>
  <c r="O144" i="1"/>
  <c r="O145" i="1"/>
  <c r="O146" i="1"/>
  <c r="O148" i="1"/>
  <c r="O147" i="1"/>
  <c r="O149" i="1"/>
  <c r="O150" i="1"/>
  <c r="O151" i="1"/>
  <c r="O152" i="1"/>
  <c r="O153" i="1"/>
  <c r="O155" i="1"/>
  <c r="O154" i="1"/>
  <c r="O157" i="1"/>
  <c r="O156" i="1"/>
  <c r="O159" i="1"/>
  <c r="O158" i="1"/>
  <c r="O160" i="1"/>
  <c r="O161" i="1"/>
  <c r="O162" i="1"/>
  <c r="O163" i="1"/>
  <c r="O164" i="1"/>
  <c r="O166" i="1"/>
  <c r="O165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9" i="1"/>
  <c r="O187" i="1"/>
  <c r="O188" i="1"/>
  <c r="O190" i="1"/>
  <c r="O191" i="1"/>
  <c r="O192" i="1"/>
  <c r="O193" i="1"/>
  <c r="O194" i="1"/>
  <c r="O196" i="1"/>
  <c r="O195" i="1"/>
  <c r="O197" i="1"/>
  <c r="O199" i="1"/>
  <c r="O198" i="1"/>
  <c r="O200" i="1"/>
  <c r="O201" i="1"/>
  <c r="O202" i="1"/>
  <c r="O203" i="1"/>
  <c r="O204" i="1"/>
  <c r="O205" i="1"/>
  <c r="O206" i="1"/>
  <c r="O207" i="1"/>
  <c r="O209" i="1"/>
  <c r="O208" i="1"/>
  <c r="O211" i="1"/>
  <c r="O210" i="1"/>
  <c r="O213" i="1"/>
  <c r="O212" i="1"/>
  <c r="O215" i="1"/>
  <c r="O214" i="1"/>
  <c r="O216" i="1"/>
  <c r="O221" i="1"/>
  <c r="O217" i="1"/>
  <c r="O218" i="1"/>
  <c r="O219" i="1"/>
  <c r="O220" i="1"/>
  <c r="O222" i="1"/>
  <c r="O223" i="1"/>
  <c r="O224" i="1"/>
  <c r="O225" i="1"/>
  <c r="O226" i="1"/>
  <c r="O228" i="1"/>
  <c r="O227" i="1"/>
  <c r="O230" i="1"/>
  <c r="O229" i="1"/>
  <c r="O231" i="1"/>
  <c r="O233" i="1"/>
  <c r="O232" i="1"/>
  <c r="O235" i="1"/>
  <c r="O234" i="1"/>
  <c r="O236" i="1"/>
  <c r="O237" i="1"/>
  <c r="O239" i="1"/>
  <c r="O238" i="1"/>
  <c r="O241" i="1"/>
  <c r="O240" i="1"/>
  <c r="O246" i="1"/>
  <c r="O242" i="1"/>
  <c r="O243" i="1"/>
  <c r="O244" i="1"/>
  <c r="O245" i="1"/>
  <c r="O248" i="1"/>
  <c r="O247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7" i="1"/>
  <c r="O296" i="1"/>
  <c r="O298" i="1"/>
  <c r="O300" i="1"/>
  <c r="O299" i="1"/>
  <c r="O302" i="1"/>
  <c r="O301" i="1"/>
  <c r="O303" i="1"/>
  <c r="O304" i="1"/>
  <c r="O305" i="1"/>
  <c r="O306" i="1"/>
  <c r="O307" i="1"/>
  <c r="O308" i="1"/>
  <c r="O309" i="1"/>
  <c r="O310" i="1"/>
  <c r="O313" i="1"/>
  <c r="O311" i="1"/>
  <c r="O312" i="1"/>
  <c r="O315" i="1"/>
  <c r="O314" i="1"/>
  <c r="O317" i="1"/>
  <c r="O316" i="1"/>
  <c r="O318" i="1"/>
  <c r="O319" i="1"/>
  <c r="O320" i="1"/>
  <c r="O322" i="1"/>
  <c r="O321" i="1"/>
  <c r="O323" i="1"/>
  <c r="O325" i="1"/>
  <c r="O324" i="1"/>
  <c r="O326" i="1"/>
  <c r="O327" i="1"/>
  <c r="O328" i="1"/>
  <c r="O329" i="1"/>
  <c r="O330" i="1"/>
  <c r="O331" i="1"/>
  <c r="O332" i="1"/>
  <c r="O333" i="1"/>
  <c r="O334" i="1"/>
  <c r="O335" i="1"/>
  <c r="O339" i="1"/>
  <c r="O336" i="1"/>
  <c r="O337" i="1"/>
  <c r="O338" i="1"/>
  <c r="O340" i="1"/>
  <c r="O341" i="1"/>
  <c r="O343" i="1"/>
  <c r="O342" i="1"/>
  <c r="O344" i="1"/>
  <c r="O345" i="1"/>
  <c r="O346" i="1"/>
  <c r="O347" i="1"/>
  <c r="O348" i="1"/>
  <c r="O350" i="1"/>
  <c r="O349" i="1"/>
  <c r="O351" i="1"/>
  <c r="O352" i="1"/>
  <c r="O353" i="1"/>
  <c r="O354" i="1"/>
  <c r="O355" i="1"/>
  <c r="O356" i="1"/>
  <c r="O357" i="1"/>
  <c r="O360" i="1"/>
  <c r="O358" i="1"/>
  <c r="O359" i="1"/>
  <c r="O361" i="1"/>
  <c r="O363" i="1"/>
  <c r="O362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5" i="1"/>
  <c r="O404" i="1"/>
  <c r="O407" i="1"/>
  <c r="O406" i="1"/>
  <c r="O409" i="1"/>
  <c r="O408" i="1"/>
  <c r="O411" i="1"/>
  <c r="O410" i="1"/>
  <c r="O412" i="1"/>
  <c r="O413" i="1"/>
  <c r="O415" i="1"/>
  <c r="O414" i="1"/>
  <c r="O417" i="1"/>
  <c r="O416" i="1"/>
  <c r="O420" i="1"/>
  <c r="O418" i="1"/>
  <c r="O419" i="1"/>
  <c r="O421" i="1"/>
  <c r="O423" i="1"/>
  <c r="O422" i="1"/>
  <c r="O424" i="1"/>
  <c r="O425" i="1"/>
  <c r="O427" i="1"/>
  <c r="O426" i="1"/>
  <c r="O428" i="1"/>
  <c r="O430" i="1"/>
  <c r="O429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5" i="1"/>
  <c r="O544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R66" i="1" l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R113" i="1"/>
  <c r="S113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126" i="1"/>
  <c r="S126" i="1"/>
  <c r="R127" i="1"/>
  <c r="S127" i="1"/>
  <c r="R128" i="1"/>
  <c r="S128" i="1"/>
  <c r="R129" i="1"/>
  <c r="S129" i="1"/>
  <c r="R130" i="1"/>
  <c r="S130" i="1"/>
  <c r="R131" i="1"/>
  <c r="S131" i="1"/>
  <c r="R132" i="1"/>
  <c r="S132" i="1"/>
  <c r="R133" i="1"/>
  <c r="S133" i="1"/>
  <c r="R134" i="1"/>
  <c r="S134" i="1"/>
  <c r="R135" i="1"/>
  <c r="S135" i="1"/>
  <c r="R136" i="1"/>
  <c r="S136" i="1"/>
  <c r="R137" i="1"/>
  <c r="S137" i="1"/>
  <c r="R138" i="1"/>
  <c r="S138" i="1"/>
  <c r="R139" i="1"/>
  <c r="S139" i="1"/>
  <c r="R140" i="1"/>
  <c r="S140" i="1"/>
  <c r="R141" i="1"/>
  <c r="S141" i="1"/>
  <c r="R142" i="1"/>
  <c r="S142" i="1"/>
  <c r="R143" i="1"/>
  <c r="S143" i="1"/>
  <c r="R144" i="1"/>
  <c r="S144" i="1"/>
  <c r="R145" i="1"/>
  <c r="S145" i="1"/>
  <c r="R146" i="1"/>
  <c r="S146" i="1"/>
  <c r="R147" i="1"/>
  <c r="S147" i="1"/>
  <c r="R148" i="1"/>
  <c r="S148" i="1"/>
  <c r="R149" i="1"/>
  <c r="S149" i="1"/>
  <c r="R150" i="1"/>
  <c r="S150" i="1"/>
  <c r="R151" i="1"/>
  <c r="S151" i="1"/>
  <c r="R152" i="1"/>
  <c r="S152" i="1"/>
  <c r="R153" i="1"/>
  <c r="S153" i="1"/>
  <c r="R154" i="1"/>
  <c r="S154" i="1"/>
  <c r="R155" i="1"/>
  <c r="S155" i="1"/>
  <c r="R156" i="1"/>
  <c r="S156" i="1"/>
  <c r="R157" i="1"/>
  <c r="S157" i="1"/>
  <c r="R158" i="1"/>
  <c r="S158" i="1"/>
  <c r="R159" i="1"/>
  <c r="S159" i="1"/>
  <c r="R160" i="1"/>
  <c r="S160" i="1"/>
  <c r="R161" i="1"/>
  <c r="S161" i="1"/>
  <c r="R162" i="1"/>
  <c r="S162" i="1"/>
  <c r="R163" i="1"/>
  <c r="S163" i="1"/>
  <c r="R164" i="1"/>
  <c r="S164" i="1"/>
  <c r="R165" i="1"/>
  <c r="S165" i="1"/>
  <c r="R166" i="1"/>
  <c r="S166" i="1"/>
  <c r="R167" i="1"/>
  <c r="S167" i="1"/>
  <c r="R168" i="1"/>
  <c r="S168" i="1"/>
  <c r="R169" i="1"/>
  <c r="S169" i="1"/>
  <c r="R170" i="1"/>
  <c r="S170" i="1"/>
  <c r="R171" i="1"/>
  <c r="S171" i="1"/>
  <c r="R172" i="1"/>
  <c r="S172" i="1"/>
  <c r="R173" i="1"/>
  <c r="S173" i="1"/>
  <c r="R174" i="1"/>
  <c r="S174" i="1"/>
  <c r="R175" i="1"/>
  <c r="S175" i="1"/>
  <c r="R176" i="1"/>
  <c r="S176" i="1"/>
  <c r="R177" i="1"/>
  <c r="S177" i="1"/>
  <c r="R178" i="1"/>
  <c r="S178" i="1"/>
  <c r="R179" i="1"/>
  <c r="S179" i="1"/>
  <c r="R180" i="1"/>
  <c r="S180" i="1"/>
  <c r="R181" i="1"/>
  <c r="S181" i="1"/>
  <c r="R182" i="1"/>
  <c r="S182" i="1"/>
  <c r="R183" i="1"/>
  <c r="S183" i="1"/>
  <c r="R184" i="1"/>
  <c r="S184" i="1"/>
  <c r="R185" i="1"/>
  <c r="S185" i="1"/>
  <c r="R186" i="1"/>
  <c r="S186" i="1"/>
  <c r="R187" i="1"/>
  <c r="S187" i="1"/>
  <c r="R188" i="1"/>
  <c r="S188" i="1"/>
  <c r="R189" i="1"/>
  <c r="S189" i="1"/>
  <c r="R190" i="1"/>
  <c r="S190" i="1"/>
  <c r="R191" i="1"/>
  <c r="S191" i="1"/>
  <c r="R192" i="1"/>
  <c r="S192" i="1"/>
  <c r="R193" i="1"/>
  <c r="S193" i="1"/>
  <c r="R194" i="1"/>
  <c r="S194" i="1"/>
  <c r="R195" i="1"/>
  <c r="S195" i="1"/>
  <c r="R196" i="1"/>
  <c r="S196" i="1"/>
  <c r="R197" i="1"/>
  <c r="S197" i="1"/>
  <c r="R198" i="1"/>
  <c r="S198" i="1"/>
  <c r="R199" i="1"/>
  <c r="S199" i="1"/>
  <c r="R200" i="1"/>
  <c r="S200" i="1"/>
  <c r="R201" i="1"/>
  <c r="S201" i="1"/>
  <c r="R202" i="1"/>
  <c r="S202" i="1"/>
  <c r="R203" i="1"/>
  <c r="S203" i="1"/>
  <c r="R204" i="1"/>
  <c r="S204" i="1"/>
  <c r="R205" i="1"/>
  <c r="S205" i="1"/>
  <c r="R206" i="1"/>
  <c r="S206" i="1"/>
  <c r="R207" i="1"/>
  <c r="S207" i="1"/>
  <c r="R208" i="1"/>
  <c r="S208" i="1"/>
  <c r="R209" i="1"/>
  <c r="S209" i="1"/>
  <c r="R210" i="1"/>
  <c r="S210" i="1"/>
  <c r="R211" i="1"/>
  <c r="S211" i="1"/>
  <c r="R212" i="1"/>
  <c r="S212" i="1"/>
  <c r="R213" i="1"/>
  <c r="S213" i="1"/>
  <c r="R214" i="1"/>
  <c r="S214" i="1"/>
  <c r="R215" i="1"/>
  <c r="S215" i="1"/>
  <c r="R216" i="1"/>
  <c r="S216" i="1"/>
  <c r="R217" i="1"/>
  <c r="S217" i="1"/>
  <c r="R218" i="1"/>
  <c r="S218" i="1"/>
  <c r="R219" i="1"/>
  <c r="S219" i="1"/>
  <c r="R220" i="1"/>
  <c r="S220" i="1"/>
  <c r="R221" i="1"/>
  <c r="S221" i="1"/>
  <c r="R222" i="1"/>
  <c r="S222" i="1"/>
  <c r="R223" i="1"/>
  <c r="S223" i="1"/>
  <c r="R224" i="1"/>
  <c r="S224" i="1"/>
  <c r="R225" i="1"/>
  <c r="S225" i="1"/>
  <c r="R226" i="1"/>
  <c r="S226" i="1"/>
  <c r="R227" i="1"/>
  <c r="S227" i="1"/>
  <c r="R228" i="1"/>
  <c r="S228" i="1"/>
  <c r="R229" i="1"/>
  <c r="S229" i="1"/>
  <c r="R230" i="1"/>
  <c r="S230" i="1"/>
  <c r="R231" i="1"/>
  <c r="S231" i="1"/>
  <c r="R232" i="1"/>
  <c r="S232" i="1"/>
  <c r="R233" i="1"/>
  <c r="S233" i="1"/>
  <c r="R234" i="1"/>
  <c r="S234" i="1"/>
  <c r="R235" i="1"/>
  <c r="S235" i="1"/>
  <c r="R236" i="1"/>
  <c r="S236" i="1"/>
  <c r="R237" i="1"/>
  <c r="S237" i="1"/>
  <c r="R238" i="1"/>
  <c r="S238" i="1"/>
  <c r="R239" i="1"/>
  <c r="S239" i="1"/>
  <c r="R240" i="1"/>
  <c r="S240" i="1"/>
  <c r="R241" i="1"/>
  <c r="S241" i="1"/>
  <c r="R242" i="1"/>
  <c r="S242" i="1"/>
  <c r="R243" i="1"/>
  <c r="S243" i="1"/>
  <c r="R244" i="1"/>
  <c r="S244" i="1"/>
  <c r="R245" i="1"/>
  <c r="S245" i="1"/>
  <c r="R246" i="1"/>
  <c r="S246" i="1"/>
  <c r="R247" i="1"/>
  <c r="S247" i="1"/>
  <c r="R248" i="1"/>
  <c r="S248" i="1"/>
  <c r="R249" i="1"/>
  <c r="S249" i="1"/>
  <c r="R250" i="1"/>
  <c r="S250" i="1"/>
  <c r="R251" i="1"/>
  <c r="S251" i="1"/>
  <c r="R252" i="1"/>
  <c r="S252" i="1"/>
  <c r="R253" i="1"/>
  <c r="S253" i="1"/>
  <c r="R254" i="1"/>
  <c r="S254" i="1"/>
  <c r="R255" i="1"/>
  <c r="S255" i="1"/>
  <c r="R256" i="1"/>
  <c r="S256" i="1"/>
  <c r="R257" i="1"/>
  <c r="S257" i="1"/>
  <c r="R258" i="1"/>
  <c r="S258" i="1"/>
  <c r="R259" i="1"/>
  <c r="S259" i="1"/>
  <c r="R260" i="1"/>
  <c r="S260" i="1"/>
  <c r="R261" i="1"/>
  <c r="S261" i="1"/>
  <c r="R262" i="1"/>
  <c r="S262" i="1"/>
  <c r="R263" i="1"/>
  <c r="S263" i="1"/>
  <c r="R264" i="1"/>
  <c r="S264" i="1"/>
  <c r="R265" i="1"/>
  <c r="S265" i="1"/>
  <c r="R266" i="1"/>
  <c r="S266" i="1"/>
  <c r="R267" i="1"/>
  <c r="S267" i="1"/>
  <c r="R268" i="1"/>
  <c r="S268" i="1"/>
  <c r="R269" i="1"/>
  <c r="S269" i="1"/>
  <c r="R270" i="1"/>
  <c r="S270" i="1"/>
  <c r="R271" i="1"/>
  <c r="S271" i="1"/>
  <c r="R272" i="1"/>
  <c r="S272" i="1"/>
  <c r="R273" i="1"/>
  <c r="S273" i="1"/>
  <c r="R274" i="1"/>
  <c r="S274" i="1"/>
  <c r="R275" i="1"/>
  <c r="S275" i="1"/>
  <c r="R276" i="1"/>
  <c r="S276" i="1"/>
  <c r="R277" i="1"/>
  <c r="S277" i="1"/>
  <c r="R278" i="1"/>
  <c r="S278" i="1"/>
  <c r="R279" i="1"/>
  <c r="S279" i="1"/>
  <c r="R280" i="1"/>
  <c r="S280" i="1"/>
  <c r="R281" i="1"/>
  <c r="S281" i="1"/>
  <c r="R282" i="1"/>
  <c r="S282" i="1"/>
  <c r="R283" i="1"/>
  <c r="S283" i="1"/>
  <c r="R284" i="1"/>
  <c r="S284" i="1"/>
  <c r="R285" i="1"/>
  <c r="S285" i="1"/>
  <c r="R286" i="1"/>
  <c r="S286" i="1"/>
  <c r="R287" i="1"/>
  <c r="S287" i="1"/>
  <c r="R288" i="1"/>
  <c r="S288" i="1"/>
  <c r="R289" i="1"/>
  <c r="S289" i="1"/>
  <c r="R290" i="1"/>
  <c r="S290" i="1"/>
  <c r="R291" i="1"/>
  <c r="S291" i="1"/>
  <c r="R292" i="1"/>
  <c r="S292" i="1"/>
  <c r="R293" i="1"/>
  <c r="S293" i="1"/>
  <c r="R294" i="1"/>
  <c r="S294" i="1"/>
  <c r="R295" i="1"/>
  <c r="S295" i="1"/>
  <c r="R296" i="1"/>
  <c r="S296" i="1"/>
  <c r="R297" i="1"/>
  <c r="S297" i="1"/>
  <c r="R298" i="1"/>
  <c r="S298" i="1"/>
  <c r="R299" i="1"/>
  <c r="S299" i="1"/>
  <c r="R300" i="1"/>
  <c r="S300" i="1"/>
  <c r="R301" i="1"/>
  <c r="S301" i="1"/>
  <c r="R302" i="1"/>
  <c r="S302" i="1"/>
  <c r="R303" i="1"/>
  <c r="S303" i="1"/>
  <c r="R304" i="1"/>
  <c r="S304" i="1"/>
  <c r="R305" i="1"/>
  <c r="S305" i="1"/>
  <c r="R306" i="1"/>
  <c r="S306" i="1"/>
  <c r="R307" i="1"/>
  <c r="S307" i="1"/>
  <c r="R308" i="1"/>
  <c r="S308" i="1"/>
  <c r="R309" i="1"/>
  <c r="S309" i="1"/>
  <c r="R310" i="1"/>
  <c r="S310" i="1"/>
  <c r="R311" i="1"/>
  <c r="S311" i="1"/>
  <c r="R312" i="1"/>
  <c r="S312" i="1"/>
  <c r="R313" i="1"/>
  <c r="S313" i="1"/>
  <c r="R314" i="1"/>
  <c r="S314" i="1"/>
  <c r="R315" i="1"/>
  <c r="S315" i="1"/>
  <c r="R316" i="1"/>
  <c r="S316" i="1"/>
  <c r="R317" i="1"/>
  <c r="S317" i="1"/>
  <c r="R318" i="1"/>
  <c r="S318" i="1"/>
  <c r="R319" i="1"/>
  <c r="S319" i="1"/>
  <c r="R320" i="1"/>
  <c r="S320" i="1"/>
  <c r="R321" i="1"/>
  <c r="S321" i="1"/>
  <c r="R322" i="1"/>
  <c r="S322" i="1"/>
  <c r="R323" i="1"/>
  <c r="S323" i="1"/>
  <c r="R324" i="1"/>
  <c r="S324" i="1"/>
  <c r="R325" i="1"/>
  <c r="S325" i="1"/>
  <c r="R326" i="1"/>
  <c r="S326" i="1"/>
  <c r="R327" i="1"/>
  <c r="S327" i="1"/>
  <c r="R328" i="1"/>
  <c r="S328" i="1"/>
  <c r="R329" i="1"/>
  <c r="S329" i="1"/>
  <c r="R330" i="1"/>
  <c r="S330" i="1"/>
  <c r="R331" i="1"/>
  <c r="S331" i="1"/>
  <c r="R332" i="1"/>
  <c r="S332" i="1"/>
  <c r="R333" i="1"/>
  <c r="S333" i="1"/>
  <c r="R334" i="1"/>
  <c r="S334" i="1"/>
  <c r="R335" i="1"/>
  <c r="S335" i="1"/>
  <c r="R336" i="1"/>
  <c r="S336" i="1"/>
  <c r="R337" i="1"/>
  <c r="S337" i="1"/>
  <c r="R338" i="1"/>
  <c r="S338" i="1"/>
  <c r="R339" i="1"/>
  <c r="S339" i="1"/>
  <c r="R340" i="1"/>
  <c r="S340" i="1"/>
  <c r="R341" i="1"/>
  <c r="S341" i="1"/>
  <c r="R342" i="1"/>
  <c r="S342" i="1"/>
  <c r="R343" i="1"/>
  <c r="S343" i="1"/>
  <c r="R344" i="1"/>
  <c r="S344" i="1"/>
  <c r="R345" i="1"/>
  <c r="S345" i="1"/>
  <c r="R346" i="1"/>
  <c r="S346" i="1"/>
  <c r="R347" i="1"/>
  <c r="S347" i="1"/>
  <c r="R348" i="1"/>
  <c r="S348" i="1"/>
  <c r="R349" i="1"/>
  <c r="S349" i="1"/>
  <c r="R350" i="1"/>
  <c r="S350" i="1"/>
  <c r="R351" i="1"/>
  <c r="S351" i="1"/>
  <c r="R352" i="1"/>
  <c r="S352" i="1"/>
  <c r="R353" i="1"/>
  <c r="S353" i="1"/>
  <c r="R354" i="1"/>
  <c r="S354" i="1"/>
  <c r="R355" i="1"/>
  <c r="S355" i="1"/>
  <c r="R356" i="1"/>
  <c r="S356" i="1"/>
  <c r="R357" i="1"/>
  <c r="S357" i="1"/>
  <c r="R358" i="1"/>
  <c r="S358" i="1"/>
  <c r="R359" i="1"/>
  <c r="S359" i="1"/>
  <c r="R360" i="1"/>
  <c r="S360" i="1"/>
  <c r="R361" i="1"/>
  <c r="S361" i="1"/>
  <c r="R362" i="1"/>
  <c r="S362" i="1"/>
  <c r="R363" i="1"/>
  <c r="S363" i="1"/>
  <c r="R364" i="1"/>
  <c r="S364" i="1"/>
  <c r="R365" i="1"/>
  <c r="S365" i="1"/>
  <c r="R366" i="1"/>
  <c r="S366" i="1"/>
  <c r="R367" i="1"/>
  <c r="S367" i="1"/>
  <c r="R368" i="1"/>
  <c r="S368" i="1"/>
  <c r="R369" i="1"/>
  <c r="S369" i="1"/>
  <c r="R370" i="1"/>
  <c r="S370" i="1"/>
  <c r="R371" i="1"/>
  <c r="S371" i="1"/>
  <c r="R372" i="1"/>
  <c r="S372" i="1"/>
  <c r="R373" i="1"/>
  <c r="S373" i="1"/>
  <c r="R374" i="1"/>
  <c r="S374" i="1"/>
  <c r="R375" i="1"/>
  <c r="S375" i="1"/>
  <c r="R376" i="1"/>
  <c r="S376" i="1"/>
  <c r="R377" i="1"/>
  <c r="S377" i="1"/>
  <c r="R378" i="1"/>
  <c r="S378" i="1"/>
  <c r="R379" i="1"/>
  <c r="S379" i="1"/>
  <c r="R380" i="1"/>
  <c r="S380" i="1"/>
  <c r="R381" i="1"/>
  <c r="S381" i="1"/>
  <c r="R382" i="1"/>
  <c r="S382" i="1"/>
  <c r="R383" i="1"/>
  <c r="S383" i="1"/>
  <c r="R384" i="1"/>
  <c r="S384" i="1"/>
  <c r="R385" i="1"/>
  <c r="S385" i="1"/>
  <c r="R386" i="1"/>
  <c r="S386" i="1"/>
  <c r="R387" i="1"/>
  <c r="S387" i="1"/>
  <c r="R388" i="1"/>
  <c r="S388" i="1"/>
  <c r="R389" i="1"/>
  <c r="S389" i="1"/>
  <c r="R390" i="1"/>
  <c r="S390" i="1"/>
  <c r="R391" i="1"/>
  <c r="S391" i="1"/>
  <c r="R392" i="1"/>
  <c r="S392" i="1"/>
  <c r="R393" i="1"/>
  <c r="S393" i="1"/>
  <c r="R394" i="1"/>
  <c r="S394" i="1"/>
  <c r="R395" i="1"/>
  <c r="S395" i="1"/>
  <c r="R396" i="1"/>
  <c r="S396" i="1"/>
  <c r="R397" i="1"/>
  <c r="S397" i="1"/>
  <c r="R398" i="1"/>
  <c r="S398" i="1"/>
  <c r="R399" i="1"/>
  <c r="S399" i="1"/>
  <c r="R400" i="1"/>
  <c r="S400" i="1"/>
  <c r="R401" i="1"/>
  <c r="S401" i="1"/>
  <c r="R402" i="1"/>
  <c r="S402" i="1"/>
  <c r="R403" i="1"/>
  <c r="S403" i="1"/>
  <c r="R404" i="1"/>
  <c r="S404" i="1"/>
  <c r="R405" i="1"/>
  <c r="S405" i="1"/>
  <c r="R406" i="1"/>
  <c r="S406" i="1"/>
  <c r="R407" i="1"/>
  <c r="S407" i="1"/>
  <c r="R408" i="1"/>
  <c r="S408" i="1"/>
  <c r="R409" i="1"/>
  <c r="S409" i="1"/>
  <c r="R410" i="1"/>
  <c r="S410" i="1"/>
  <c r="R411" i="1"/>
  <c r="S411" i="1"/>
  <c r="R412" i="1"/>
  <c r="S412" i="1"/>
  <c r="R413" i="1"/>
  <c r="S413" i="1"/>
  <c r="R414" i="1"/>
  <c r="S414" i="1"/>
  <c r="R415" i="1"/>
  <c r="S415" i="1"/>
  <c r="R416" i="1"/>
  <c r="S416" i="1"/>
  <c r="R417" i="1"/>
  <c r="S417" i="1"/>
  <c r="R418" i="1"/>
  <c r="S418" i="1"/>
  <c r="R419" i="1"/>
  <c r="S419" i="1"/>
  <c r="R420" i="1"/>
  <c r="S420" i="1"/>
  <c r="R421" i="1"/>
  <c r="S421" i="1"/>
  <c r="R422" i="1"/>
  <c r="S422" i="1"/>
  <c r="R423" i="1"/>
  <c r="S423" i="1"/>
  <c r="R424" i="1"/>
  <c r="S424" i="1"/>
  <c r="R425" i="1"/>
  <c r="S425" i="1"/>
  <c r="R426" i="1"/>
  <c r="S426" i="1"/>
  <c r="R427" i="1"/>
  <c r="S427" i="1"/>
  <c r="R428" i="1"/>
  <c r="S428" i="1"/>
  <c r="R65" i="1"/>
  <c r="S65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S3" i="1"/>
  <c r="R3" i="1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C79" i="3" s="1"/>
  <c r="B78" i="3"/>
  <c r="C78" i="3" s="1"/>
  <c r="Z110" i="3"/>
  <c r="Z109" i="3"/>
  <c r="Z108" i="3"/>
  <c r="Z107" i="3"/>
  <c r="Z106" i="3"/>
  <c r="Z105" i="3"/>
  <c r="Z104" i="3"/>
  <c r="Z103" i="3"/>
  <c r="Z102" i="3"/>
  <c r="Z101" i="3"/>
  <c r="Z100" i="3"/>
  <c r="Z99" i="3"/>
  <c r="Z98" i="3"/>
  <c r="Z97" i="3"/>
  <c r="Z96" i="3"/>
  <c r="Z95" i="3"/>
  <c r="Z94" i="3"/>
  <c r="Z93" i="3"/>
  <c r="Z92" i="3"/>
  <c r="Z91" i="3"/>
  <c r="Z90" i="3"/>
  <c r="Z89" i="3"/>
  <c r="Z88" i="3"/>
  <c r="Z87" i="3"/>
  <c r="Z86" i="3"/>
  <c r="Z85" i="3"/>
  <c r="Z84" i="3"/>
  <c r="Z83" i="3"/>
  <c r="Z82" i="3"/>
  <c r="Z81" i="3"/>
  <c r="Z80" i="3"/>
  <c r="Z79" i="3"/>
  <c r="Z18" i="3"/>
  <c r="Z78" i="3"/>
  <c r="Z77" i="3"/>
  <c r="Z76" i="3"/>
  <c r="Z75" i="3"/>
  <c r="Z74" i="3"/>
  <c r="Z73" i="3"/>
  <c r="Z72" i="3"/>
  <c r="Z71" i="3"/>
  <c r="Z70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B18" i="3"/>
  <c r="AA18" i="3" s="1"/>
  <c r="B77" i="3"/>
  <c r="C77" i="3" s="1"/>
  <c r="B76" i="3"/>
  <c r="C76" i="3" s="1"/>
  <c r="B75" i="3"/>
  <c r="C75" i="3" s="1"/>
  <c r="B74" i="3"/>
  <c r="C74" i="3" s="1"/>
  <c r="B73" i="3"/>
  <c r="C73" i="3" s="1"/>
  <c r="B72" i="3"/>
  <c r="C72" i="3" s="1"/>
  <c r="B71" i="3"/>
  <c r="C71" i="3" s="1"/>
  <c r="B70" i="3"/>
  <c r="C70" i="3" s="1"/>
  <c r="B69" i="3"/>
  <c r="C69" i="3" s="1"/>
  <c r="B68" i="3"/>
  <c r="C68" i="3" s="1"/>
  <c r="B67" i="3"/>
  <c r="C67" i="3" s="1"/>
  <c r="B66" i="3"/>
  <c r="C66" i="3" s="1"/>
  <c r="B65" i="3"/>
  <c r="C65" i="3" s="1"/>
  <c r="B64" i="3"/>
  <c r="C64" i="3" s="1"/>
  <c r="B63" i="3"/>
  <c r="C63" i="3" s="1"/>
  <c r="B62" i="3"/>
  <c r="C62" i="3" s="1"/>
  <c r="B61" i="3"/>
  <c r="C61" i="3" s="1"/>
  <c r="B60" i="3"/>
  <c r="C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K7" i="3"/>
  <c r="E7" i="3"/>
  <c r="B7" i="3"/>
  <c r="H7" i="3"/>
  <c r="AB4" i="3"/>
  <c r="AA50" i="3" l="1"/>
  <c r="AA22" i="3"/>
  <c r="AA54" i="3"/>
  <c r="AA26" i="3"/>
  <c r="AA58" i="3"/>
  <c r="AA30" i="3"/>
  <c r="AA62" i="3"/>
  <c r="AA34" i="3"/>
  <c r="AA66" i="3"/>
  <c r="AA38" i="3"/>
  <c r="AA70" i="3"/>
  <c r="AA42" i="3"/>
  <c r="AA74" i="3"/>
  <c r="AA46" i="3"/>
  <c r="AA78" i="3"/>
  <c r="AA24" i="3"/>
  <c r="AA32" i="3"/>
  <c r="AA40" i="3"/>
  <c r="AA48" i="3"/>
  <c r="AA56" i="3"/>
  <c r="AA64" i="3"/>
  <c r="AA72" i="3"/>
  <c r="C18" i="3"/>
  <c r="AA25" i="3"/>
  <c r="AA33" i="3"/>
  <c r="AA41" i="3"/>
  <c r="AA49" i="3"/>
  <c r="AA57" i="3"/>
  <c r="AA65" i="3"/>
  <c r="AA73" i="3"/>
  <c r="AA19" i="3"/>
  <c r="AA27" i="3"/>
  <c r="AA35" i="3"/>
  <c r="AA43" i="3"/>
  <c r="AA51" i="3"/>
  <c r="AA59" i="3"/>
  <c r="AA67" i="3"/>
  <c r="AA75" i="3"/>
  <c r="AA20" i="3"/>
  <c r="AA28" i="3"/>
  <c r="AA36" i="3"/>
  <c r="AA44" i="3"/>
  <c r="AA52" i="3"/>
  <c r="AA60" i="3"/>
  <c r="AA68" i="3"/>
  <c r="AA76" i="3"/>
  <c r="AA21" i="3"/>
  <c r="AA29" i="3"/>
  <c r="AA37" i="3"/>
  <c r="AA45" i="3"/>
  <c r="AA53" i="3"/>
  <c r="AA61" i="3"/>
  <c r="AA69" i="3"/>
  <c r="AA77" i="3"/>
  <c r="AA23" i="3"/>
  <c r="AA31" i="3"/>
  <c r="AA39" i="3"/>
  <c r="AA47" i="3"/>
  <c r="AA55" i="3"/>
  <c r="AA63" i="3"/>
  <c r="AA71" i="3"/>
  <c r="AA79" i="3"/>
  <c r="U5" i="4" l="1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2" i="4"/>
  <c r="U3" i="4"/>
  <c r="U4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24" i="4"/>
  <c r="T25" i="4"/>
  <c r="T22" i="4"/>
  <c r="T23" i="4"/>
  <c r="T11" i="4"/>
  <c r="T12" i="4"/>
  <c r="T13" i="4"/>
  <c r="T14" i="4"/>
  <c r="T15" i="4"/>
  <c r="T16" i="4"/>
  <c r="T17" i="4"/>
  <c r="T18" i="4"/>
  <c r="T19" i="4"/>
  <c r="T20" i="4"/>
  <c r="T21" i="4"/>
  <c r="T10" i="4"/>
  <c r="T8" i="4"/>
  <c r="T9" i="4"/>
  <c r="T7" i="4"/>
  <c r="T3" i="4"/>
  <c r="T4" i="4"/>
  <c r="T5" i="4"/>
  <c r="T6" i="4"/>
  <c r="T2" i="4"/>
  <c r="J3" i="2" l="1"/>
  <c r="I1" i="1"/>
  <c r="H1" i="1"/>
  <c r="G1" i="1"/>
  <c r="F1" i="1"/>
  <c r="E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AFC885-9C7E-4919-9705-842C852CED44}" keepAlive="1" name="ThisWorkbookDataModel" description="Modèle de donnée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99C87CA-7E4B-4712-9924-D343E9601376}" name="WorksheetConnection_Gestion Matériel Mais-2021.xlsx!Tableau1" type="102" refreshedVersion="6" minRefreshableVersion="5">
    <extLst>
      <ext xmlns:x15="http://schemas.microsoft.com/office/spreadsheetml/2010/11/main" uri="{DE250136-89BD-433C-8126-D09CA5730AF9}">
        <x15:connection id="Tableau1" autoDelete="1">
          <x15:rangePr sourceName="_xlcn.WorksheetConnection_GestionMatérielMais2021.xlsxTableau1"/>
        </x15:connection>
      </ext>
    </extLst>
  </connection>
  <connection id="3" xr16:uid="{23E81ECB-D0A7-4AB5-8FA5-E757D28DA101}" name="WorksheetConnection_Gestion Matériel Mais-2021.xlsx!Tableau2" type="102" refreshedVersion="6" minRefreshableVersion="5">
    <extLst>
      <ext xmlns:x15="http://schemas.microsoft.com/office/spreadsheetml/2010/11/main" uri="{DE250136-89BD-433C-8126-D09CA5730AF9}">
        <x15:connection id="Tableau2">
          <x15:rangePr sourceName="_xlcn.WorksheetConnection_GestionMatérielMais2021.xlsxTableau2"/>
        </x15:connection>
      </ext>
    </extLst>
  </connection>
</connections>
</file>

<file path=xl/sharedStrings.xml><?xml version="1.0" encoding="utf-8"?>
<sst xmlns="http://schemas.openxmlformats.org/spreadsheetml/2006/main" count="4691" uniqueCount="202">
  <si>
    <t>Materièl</t>
  </si>
  <si>
    <t>Code</t>
  </si>
  <si>
    <t>Type</t>
  </si>
  <si>
    <t>Gasoil (L)</t>
  </si>
  <si>
    <t>Huile 15/40(L)</t>
  </si>
  <si>
    <t>Huile 90 (L)</t>
  </si>
  <si>
    <t>Huile 10 (L)</t>
  </si>
  <si>
    <t>Graisse (kg)</t>
  </si>
  <si>
    <t>Chantier</t>
  </si>
  <si>
    <t>Date</t>
  </si>
  <si>
    <t>Quantité (H)</t>
  </si>
  <si>
    <t>N001</t>
  </si>
  <si>
    <t>N002</t>
  </si>
  <si>
    <t>N003</t>
  </si>
  <si>
    <t>N004</t>
  </si>
  <si>
    <t>N005</t>
  </si>
  <si>
    <t>C001</t>
  </si>
  <si>
    <t>C002</t>
  </si>
  <si>
    <t>C003</t>
  </si>
  <si>
    <t>C004</t>
  </si>
  <si>
    <t>P001</t>
  </si>
  <si>
    <t>P002</t>
  </si>
  <si>
    <t>P004</t>
  </si>
  <si>
    <t>P005</t>
  </si>
  <si>
    <t>P006</t>
  </si>
  <si>
    <t>P007</t>
  </si>
  <si>
    <t>P008</t>
  </si>
  <si>
    <t>P009</t>
  </si>
  <si>
    <t>CH001</t>
  </si>
  <si>
    <t>CH002</t>
  </si>
  <si>
    <t>CRI001</t>
  </si>
  <si>
    <t>AU001</t>
  </si>
  <si>
    <t>AU002</t>
  </si>
  <si>
    <t>TR001</t>
  </si>
  <si>
    <t>TR002</t>
  </si>
  <si>
    <t>TR003</t>
  </si>
  <si>
    <t>CONC001</t>
  </si>
  <si>
    <t>CONC002</t>
  </si>
  <si>
    <t>D8</t>
  </si>
  <si>
    <t>Niveleuse</t>
  </si>
  <si>
    <t>Compacteur</t>
  </si>
  <si>
    <t>Pelle</t>
  </si>
  <si>
    <t>Chargeur</t>
  </si>
  <si>
    <t>Tractopelle</t>
  </si>
  <si>
    <t>CA001</t>
  </si>
  <si>
    <t>CA002</t>
  </si>
  <si>
    <t>CA003</t>
  </si>
  <si>
    <t>CA004</t>
  </si>
  <si>
    <t>CA005</t>
  </si>
  <si>
    <t>CA006</t>
  </si>
  <si>
    <t>CA007</t>
  </si>
  <si>
    <t>CR001</t>
  </si>
  <si>
    <t>CB001</t>
  </si>
  <si>
    <t>CB002</t>
  </si>
  <si>
    <t>CA008</t>
  </si>
  <si>
    <t>CA011</t>
  </si>
  <si>
    <t>CA009</t>
  </si>
  <si>
    <t>CA010</t>
  </si>
  <si>
    <t>PICK001</t>
  </si>
  <si>
    <t>PICK002</t>
  </si>
  <si>
    <t>PICK003</t>
  </si>
  <si>
    <t>PICK004</t>
  </si>
  <si>
    <t>PICK005</t>
  </si>
  <si>
    <t>TRP001</t>
  </si>
  <si>
    <t>VL001</t>
  </si>
  <si>
    <t>VL002</t>
  </si>
  <si>
    <t>VL003</t>
  </si>
  <si>
    <t>VL004</t>
  </si>
  <si>
    <t>VL005</t>
  </si>
  <si>
    <t>VL006</t>
  </si>
  <si>
    <t>VL007</t>
  </si>
  <si>
    <t>VL008</t>
  </si>
  <si>
    <t>VL009</t>
  </si>
  <si>
    <t>VL010</t>
  </si>
  <si>
    <t>VL011</t>
  </si>
  <si>
    <t>VL012</t>
  </si>
  <si>
    <t>VL013</t>
  </si>
  <si>
    <t>VL014</t>
  </si>
  <si>
    <t>VL015</t>
  </si>
  <si>
    <t>Conc_CHR004</t>
  </si>
  <si>
    <t>CHR004</t>
  </si>
  <si>
    <t>CHR005</t>
  </si>
  <si>
    <t>CHR007</t>
  </si>
  <si>
    <t>CHR008</t>
  </si>
  <si>
    <t>CHR010</t>
  </si>
  <si>
    <t>Camion</t>
  </si>
  <si>
    <t>Pickup</t>
  </si>
  <si>
    <t>Transport</t>
  </si>
  <si>
    <t>Voiture</t>
  </si>
  <si>
    <t>Charges</t>
  </si>
  <si>
    <t>Produit</t>
  </si>
  <si>
    <t>Marge</t>
  </si>
  <si>
    <t>Autre</t>
  </si>
  <si>
    <t>Camion Semi</t>
  </si>
  <si>
    <t>CH003</t>
  </si>
  <si>
    <t>OUT0001</t>
  </si>
  <si>
    <t>Outillage</t>
  </si>
  <si>
    <t>OUT0002</t>
  </si>
  <si>
    <t>OUT0003</t>
  </si>
  <si>
    <t>OUT0004</t>
  </si>
  <si>
    <t>OUT0005</t>
  </si>
  <si>
    <t>OUT0006</t>
  </si>
  <si>
    <t>OUT0007</t>
  </si>
  <si>
    <t>OUT0008</t>
  </si>
  <si>
    <t>OUT0009</t>
  </si>
  <si>
    <t>TRP002</t>
  </si>
  <si>
    <t>Véhicule</t>
  </si>
  <si>
    <t>OUT0010</t>
  </si>
  <si>
    <t>Étiquettes de lignes</t>
  </si>
  <si>
    <t>Total général</t>
  </si>
  <si>
    <t>Somme de Gasoil (L)</t>
  </si>
  <si>
    <t>Somme de Marge</t>
  </si>
  <si>
    <t>Cons Gasoil/H</t>
  </si>
  <si>
    <t>Cons Gasoil /100 km</t>
  </si>
  <si>
    <t>Km H (Dist)</t>
  </si>
  <si>
    <t>Conc_CHR008</t>
  </si>
  <si>
    <t>CHR009</t>
  </si>
  <si>
    <t>CONS/H</t>
  </si>
  <si>
    <t>CONS/100 KM</t>
  </si>
  <si>
    <t>Les heures (H)</t>
  </si>
  <si>
    <t>OUT0014</t>
  </si>
  <si>
    <t>OUT0012</t>
  </si>
  <si>
    <t>P016</t>
  </si>
  <si>
    <t>P012</t>
  </si>
  <si>
    <t>P003</t>
  </si>
  <si>
    <t>OUT0011</t>
  </si>
  <si>
    <t>CH004</t>
  </si>
  <si>
    <t>P014</t>
  </si>
  <si>
    <t>P013</t>
  </si>
  <si>
    <t>P015</t>
  </si>
  <si>
    <t>P010</t>
  </si>
  <si>
    <t/>
  </si>
  <si>
    <t>VL016</t>
  </si>
  <si>
    <t>ROC001</t>
  </si>
  <si>
    <t>CA012</t>
  </si>
  <si>
    <t>OUT0013</t>
  </si>
  <si>
    <t>GR001</t>
  </si>
  <si>
    <t>P011</t>
  </si>
  <si>
    <t>ROCK001</t>
  </si>
  <si>
    <t>Moyenne de Cons Gasoil /100 km</t>
  </si>
  <si>
    <t>La Recette des Engins par Chantier</t>
  </si>
  <si>
    <t>Moyenne de Cons Gasoil/H</t>
  </si>
  <si>
    <t>Somme de Quantité (H)</t>
  </si>
  <si>
    <t>Somme de Huile 15/40(L)</t>
  </si>
  <si>
    <t>Somme de Huile 90 (L)</t>
  </si>
  <si>
    <t>Somme de Huile 10 (L)</t>
  </si>
  <si>
    <t>Somme de Graisse (kg)</t>
  </si>
  <si>
    <t>CONC_CHR008</t>
  </si>
  <si>
    <t>CA014</t>
  </si>
  <si>
    <t>CA013</t>
  </si>
  <si>
    <t>C005</t>
  </si>
  <si>
    <t>CA015</t>
  </si>
  <si>
    <t>mai</t>
  </si>
  <si>
    <t>juin</t>
  </si>
  <si>
    <t>AU003</t>
  </si>
  <si>
    <t xml:space="preserve">                     </t>
  </si>
  <si>
    <t>C006</t>
  </si>
  <si>
    <t xml:space="preserve">                    </t>
  </si>
  <si>
    <t>CONC_CHR009</t>
  </si>
  <si>
    <t>CONC_CHR010</t>
  </si>
  <si>
    <t>CHR012</t>
  </si>
  <si>
    <t>ADMI</t>
  </si>
  <si>
    <t>juil</t>
  </si>
  <si>
    <t xml:space="preserve">Les Consommations Gasoil </t>
  </si>
  <si>
    <t>OUT 014</t>
  </si>
  <si>
    <t>VL017</t>
  </si>
  <si>
    <t>OUT00</t>
  </si>
  <si>
    <t>km depart</t>
  </si>
  <si>
    <t>km final</t>
  </si>
  <si>
    <t xml:space="preserve">distace </t>
  </si>
  <si>
    <t>Consommation</t>
  </si>
  <si>
    <t>Gasoil</t>
  </si>
  <si>
    <t>août</t>
  </si>
  <si>
    <t>Concasseur</t>
  </si>
  <si>
    <t>TRP003</t>
  </si>
  <si>
    <t>Crible</t>
  </si>
  <si>
    <t>vl010</t>
  </si>
  <si>
    <t>vl013</t>
  </si>
  <si>
    <t>CONC CHR009</t>
  </si>
  <si>
    <t>CONC CHR010</t>
  </si>
  <si>
    <t>sept</t>
  </si>
  <si>
    <t xml:space="preserve"> les Charges</t>
  </si>
  <si>
    <t>Productivité</t>
  </si>
  <si>
    <t>VL018</t>
  </si>
  <si>
    <t>Somme de  les Charges</t>
  </si>
  <si>
    <t>Somme de Productivité</t>
  </si>
  <si>
    <t>janv</t>
  </si>
  <si>
    <t>févr</t>
  </si>
  <si>
    <t>mars</t>
  </si>
  <si>
    <t>avr</t>
  </si>
  <si>
    <t>Engin</t>
  </si>
  <si>
    <t>Cpt Panne</t>
  </si>
  <si>
    <t>CONC-FIX2</t>
  </si>
  <si>
    <t>CONC_FIX2</t>
  </si>
  <si>
    <t>Colonne1</t>
  </si>
  <si>
    <t>Bull</t>
  </si>
  <si>
    <t>GM</t>
  </si>
  <si>
    <t>ADM01</t>
  </si>
  <si>
    <t>CONS/100KM</t>
  </si>
  <si>
    <t>MACHINE_FLEXIBLE_1</t>
  </si>
  <si>
    <t>oct</t>
  </si>
  <si>
    <t>(vide)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</si>
</sst>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[$-F800]dddd\,\ mmmm\ dd\,\ yyyy"/>
    <numFmt numFmtId="165" formatCode="_-* #,##0.00\ _€_-;\-* #,##0.00\ _€_-;_-* &quot;-&quot;??\ _€_-;_-@_-"/>
    <numFmt numFmtId="166" formatCode="_-* #,##0.00\ [$MAD]_-;\-* #,##0.00\ [$MAD]_-;_-* &quot;-&quot;??\ [$MAD]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Times New Roman"/>
      <family val="1"/>
    </font>
    <font>
      <b/>
      <sz val="11"/>
      <name val="Calibri"/>
      <family val="2"/>
      <scheme val="minor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name val="Times New Roman"/>
      <family val="1"/>
    </font>
    <font>
      <sz val="11"/>
      <color theme="1"/>
      <name val="Times New Roman"/>
      <family val="1"/>
    </font>
    <font>
      <b/>
      <sz val="14"/>
      <color theme="0"/>
      <name val="Times New Roman"/>
      <family val="1"/>
    </font>
    <font>
      <b/>
      <sz val="16"/>
      <color theme="4" tint="-0.499984740745262"/>
      <name val="Times New Roman"/>
      <family val="1"/>
    </font>
    <font>
      <b/>
      <sz val="12"/>
      <color theme="9" tint="-0.249977111117893"/>
      <name val="Times New Roman"/>
      <family val="1"/>
    </font>
    <font>
      <b/>
      <sz val="14"/>
      <color theme="4" tint="-0.499984740745262"/>
      <name val="Times New Roman"/>
      <family val="1"/>
    </font>
    <font>
      <sz val="11"/>
      <color rgb="FF9C570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9C0006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BE4D5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0" borderId="0"/>
    <xf numFmtId="0" fontId="1" fillId="6" borderId="10" applyNumberFormat="0" applyFont="0" applyAlignment="0" applyProtection="0"/>
    <xf numFmtId="0" fontId="1" fillId="7" borderId="0" applyNumberFormat="0" applyBorder="0" applyAlignment="0" applyProtection="0"/>
    <xf numFmtId="0" fontId="19" fillId="0" borderId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0" fillId="15" borderId="0">
      <protection locked="0"/>
    </xf>
    <xf numFmtId="0" fontId="21" fillId="2" borderId="0">
      <protection locked="0"/>
    </xf>
    <xf numFmtId="44" fontId="20" fillId="0" borderId="0">
      <protection locked="0"/>
    </xf>
    <xf numFmtId="0" fontId="22" fillId="0" borderId="0">
      <alignment vertical="center"/>
    </xf>
    <xf numFmtId="0" fontId="20" fillId="0" borderId="0">
      <protection locked="0"/>
    </xf>
    <xf numFmtId="0" fontId="18" fillId="14" borderId="0" applyNumberFormat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0" fillId="0" borderId="0">
      <protection locked="0"/>
    </xf>
    <xf numFmtId="165" fontId="1" fillId="0" borderId="0" applyFont="0" applyFill="0" applyBorder="0" applyAlignment="0" applyProtection="0"/>
    <xf numFmtId="0" fontId="23" fillId="0" borderId="0">
      <alignment vertical="center"/>
    </xf>
    <xf numFmtId="165" fontId="24" fillId="0" borderId="0">
      <protection locked="0"/>
    </xf>
  </cellStyleXfs>
  <cellXfs count="90">
    <xf numFmtId="0" fontId="0" fillId="0" borderId="0" xfId="0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/>
    <xf numFmtId="0" fontId="5" fillId="0" borderId="0" xfId="0" applyFont="1"/>
    <xf numFmtId="0" fontId="7" fillId="0" borderId="2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5" borderId="3" xfId="0" applyFont="1" applyFill="1" applyBorder="1"/>
    <xf numFmtId="0" fontId="0" fillId="5" borderId="4" xfId="0" applyFont="1" applyFill="1" applyBorder="1"/>
    <xf numFmtId="0" fontId="0" fillId="4" borderId="6" xfId="0" applyFont="1" applyFill="1" applyBorder="1"/>
    <xf numFmtId="164" fontId="6" fillId="0" borderId="1" xfId="2" applyNumberFormat="1" applyFont="1" applyFill="1" applyBorder="1" applyAlignment="1">
      <alignment horizontal="center" vertical="center"/>
    </xf>
    <xf numFmtId="164" fontId="7" fillId="0" borderId="0" xfId="2" applyNumberFormat="1" applyFont="1" applyFill="1" applyBorder="1" applyAlignment="1">
      <alignment horizontal="center" vertical="center"/>
    </xf>
    <xf numFmtId="14" fontId="0" fillId="0" borderId="0" xfId="0" applyNumberFormat="1"/>
    <xf numFmtId="14" fontId="6" fillId="0" borderId="1" xfId="3" applyNumberFormat="1" applyFont="1" applyFill="1" applyBorder="1" applyAlignment="1">
      <alignment horizontal="center" vertical="center"/>
    </xf>
    <xf numFmtId="14" fontId="8" fillId="0" borderId="0" xfId="0" applyNumberFormat="1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5" xfId="0" applyFont="1" applyFill="1" applyBorder="1"/>
    <xf numFmtId="14" fontId="7" fillId="0" borderId="2" xfId="0" applyNumberFormat="1" applyFont="1" applyFill="1" applyBorder="1"/>
    <xf numFmtId="43" fontId="6" fillId="0" borderId="1" xfId="1" applyFont="1" applyFill="1" applyBorder="1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0" fillId="0" borderId="0" xfId="1" applyFont="1"/>
    <xf numFmtId="43" fontId="0" fillId="0" borderId="0" xfId="1" applyFont="1" applyAlignment="1">
      <alignment horizontal="center"/>
    </xf>
    <xf numFmtId="14" fontId="3" fillId="3" borderId="7" xfId="0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43" fontId="3" fillId="3" borderId="8" xfId="1" applyFont="1" applyFill="1" applyBorder="1" applyAlignment="1">
      <alignment horizontal="center" vertical="center"/>
    </xf>
    <xf numFmtId="43" fontId="3" fillId="3" borderId="9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6" fillId="0" borderId="2" xfId="0" applyNumberFormat="1" applyFont="1" applyFill="1" applyBorder="1" applyAlignment="1" applyProtection="1">
      <alignment horizontal="left" vertical="center"/>
    </xf>
    <xf numFmtId="164" fontId="7" fillId="0" borderId="2" xfId="0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0" fontId="0" fillId="5" borderId="0" xfId="0" applyFont="1" applyFill="1" applyBorder="1"/>
    <xf numFmtId="0" fontId="0" fillId="4" borderId="0" xfId="0" applyFont="1" applyFill="1" applyBorder="1"/>
    <xf numFmtId="0" fontId="0" fillId="0" borderId="3" xfId="0" applyBorder="1"/>
    <xf numFmtId="43" fontId="7" fillId="0" borderId="2" xfId="1" applyFont="1" applyFill="1" applyBorder="1" applyAlignment="1">
      <alignment horizontal="center" vertical="center"/>
    </xf>
    <xf numFmtId="0" fontId="0" fillId="6" borderId="10" xfId="4" applyFont="1"/>
    <xf numFmtId="0" fontId="1" fillId="7" borderId="0" xfId="5"/>
    <xf numFmtId="0" fontId="1" fillId="6" borderId="10" xfId="4"/>
    <xf numFmtId="43" fontId="1" fillId="7" borderId="0" xfId="5" applyNumberFormat="1"/>
    <xf numFmtId="43" fontId="1" fillId="6" borderId="10" xfId="4" applyNumberFormat="1"/>
    <xf numFmtId="164" fontId="7" fillId="0" borderId="2" xfId="2" applyNumberFormat="1" applyFont="1" applyFill="1" applyBorder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0" fontId="13" fillId="9" borderId="21" xfId="0" applyFont="1" applyFill="1" applyBorder="1" applyAlignment="1">
      <alignment horizontal="center" vertical="center"/>
    </xf>
    <xf numFmtId="0" fontId="13" fillId="9" borderId="22" xfId="0" applyFont="1" applyFill="1" applyBorder="1" applyAlignment="1">
      <alignment horizontal="center" vertical="center"/>
    </xf>
    <xf numFmtId="0" fontId="10" fillId="8" borderId="20" xfId="0" applyFont="1" applyFill="1" applyBorder="1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0" fontId="13" fillId="11" borderId="20" xfId="0" applyFont="1" applyFill="1" applyBorder="1" applyAlignment="1">
      <alignment horizontal="center" vertical="center"/>
    </xf>
    <xf numFmtId="0" fontId="13" fillId="11" borderId="21" xfId="0" applyFont="1" applyFill="1" applyBorder="1" applyAlignment="1">
      <alignment horizontal="center" vertical="center"/>
    </xf>
    <xf numFmtId="0" fontId="13" fillId="11" borderId="22" xfId="0" applyFont="1" applyFill="1" applyBorder="1" applyAlignment="1">
      <alignment horizontal="center" vertical="center"/>
    </xf>
    <xf numFmtId="0" fontId="13" fillId="11" borderId="0" xfId="0" applyFont="1" applyFill="1" applyBorder="1" applyAlignment="1">
      <alignment horizontal="center" vertical="center"/>
    </xf>
    <xf numFmtId="43" fontId="7" fillId="0" borderId="0" xfId="1" applyFont="1" applyFill="1" applyBorder="1" applyAlignment="1">
      <alignment horizontal="center" vertical="center"/>
    </xf>
    <xf numFmtId="43" fontId="5" fillId="0" borderId="0" xfId="1" applyFont="1" applyAlignment="1">
      <alignment horizontal="center" vertical="center"/>
    </xf>
    <xf numFmtId="43" fontId="5" fillId="0" borderId="0" xfId="1" applyFont="1"/>
    <xf numFmtId="0" fontId="8" fillId="0" borderId="0" xfId="0" applyFont="1"/>
    <xf numFmtId="0" fontId="16" fillId="0" borderId="0" xfId="0" applyFont="1"/>
    <xf numFmtId="43" fontId="0" fillId="0" borderId="0" xfId="0" applyNumberFormat="1"/>
    <xf numFmtId="43" fontId="0" fillId="0" borderId="0" xfId="0" applyNumberFormat="1" applyAlignment="1">
      <alignment horizontal="center" vertical="center"/>
    </xf>
    <xf numFmtId="43" fontId="0" fillId="0" borderId="0" xfId="0" applyNumberFormat="1" applyAlignment="1">
      <alignment horizontal="center"/>
    </xf>
    <xf numFmtId="13" fontId="0" fillId="0" borderId="0" xfId="1" applyNumberFormat="1" applyFont="1" applyAlignment="1">
      <alignment horizontal="center" vertical="center"/>
    </xf>
    <xf numFmtId="43" fontId="0" fillId="0" borderId="0" xfId="1" applyNumberFormat="1" applyFont="1"/>
    <xf numFmtId="0" fontId="0" fillId="0" borderId="0" xfId="0"/>
    <xf numFmtId="14" fontId="0" fillId="0" borderId="0" xfId="0" applyNumberFormat="1"/>
    <xf numFmtId="0" fontId="0" fillId="16" borderId="0" xfId="0" applyFill="1"/>
    <xf numFmtId="0" fontId="0" fillId="0" borderId="0" xfId="0" applyNumberFormat="1" applyAlignment="1">
      <alignment horizontal="center" vertical="center"/>
    </xf>
    <xf numFmtId="0" fontId="0" fillId="16" borderId="0" xfId="0" applyFont="1" applyFill="1"/>
    <xf numFmtId="43" fontId="0" fillId="0" borderId="0" xfId="1" applyNumberFormat="1" applyFont="1" applyAlignment="1">
      <alignment horizontal="center" vertical="center"/>
    </xf>
    <xf numFmtId="43" fontId="16" fillId="0" borderId="0" xfId="1" applyFont="1" applyBorder="1" applyAlignment="1">
      <alignment horizontal="center"/>
    </xf>
    <xf numFmtId="166" fontId="15" fillId="0" borderId="0" xfId="1" applyNumberFormat="1" applyFont="1" applyAlignment="1">
      <alignment horizontal="center" vertical="center"/>
    </xf>
    <xf numFmtId="166" fontId="11" fillId="0" borderId="0" xfId="0" applyNumberFormat="1" applyFont="1" applyAlignment="1">
      <alignment horizontal="center" vertical="center"/>
    </xf>
    <xf numFmtId="43" fontId="17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8" borderId="18" xfId="0" applyFont="1" applyFill="1" applyBorder="1" applyAlignment="1">
      <alignment horizontal="center" vertical="center"/>
    </xf>
    <xf numFmtId="0" fontId="12" fillId="8" borderId="19" xfId="0" applyFont="1" applyFill="1" applyBorder="1" applyAlignment="1">
      <alignment horizontal="center" vertical="center"/>
    </xf>
    <xf numFmtId="43" fontId="8" fillId="0" borderId="0" xfId="1" applyFont="1" applyBorder="1" applyAlignment="1">
      <alignment horizontal="center"/>
    </xf>
    <xf numFmtId="0" fontId="14" fillId="10" borderId="18" xfId="0" applyFont="1" applyFill="1" applyBorder="1" applyAlignment="1">
      <alignment horizontal="center" vertical="center"/>
    </xf>
    <xf numFmtId="0" fontId="14" fillId="10" borderId="19" xfId="0" applyFont="1" applyFill="1" applyBorder="1" applyAlignment="1">
      <alignment horizontal="center" vertical="center"/>
    </xf>
    <xf numFmtId="0" fontId="12" fillId="12" borderId="17" xfId="0" applyFont="1" applyFill="1" applyBorder="1" applyAlignment="1">
      <alignment horizontal="center" vertical="center"/>
    </xf>
    <xf numFmtId="0" fontId="12" fillId="12" borderId="18" xfId="0" applyFont="1" applyFill="1" applyBorder="1" applyAlignment="1">
      <alignment horizontal="center" vertical="center"/>
    </xf>
    <xf numFmtId="0" fontId="12" fillId="12" borderId="19" xfId="0" applyFont="1" applyFill="1" applyBorder="1" applyAlignment="1">
      <alignment horizontal="center" vertical="center"/>
    </xf>
    <xf numFmtId="0" fontId="12" fillId="13" borderId="11" xfId="0" applyFont="1" applyFill="1" applyBorder="1" applyAlignment="1">
      <alignment horizontal="center" vertical="center"/>
    </xf>
    <xf numFmtId="0" fontId="12" fillId="13" borderId="12" xfId="0" applyFont="1" applyFill="1" applyBorder="1" applyAlignment="1">
      <alignment horizontal="center" vertical="center"/>
    </xf>
    <xf numFmtId="0" fontId="12" fillId="13" borderId="13" xfId="0" applyFont="1" applyFill="1" applyBorder="1" applyAlignment="1">
      <alignment horizontal="center" vertical="center"/>
    </xf>
    <xf numFmtId="0" fontId="12" fillId="13" borderId="14" xfId="0" applyFont="1" applyFill="1" applyBorder="1" applyAlignment="1">
      <alignment horizontal="center" vertical="center"/>
    </xf>
    <xf numFmtId="0" fontId="12" fillId="13" borderId="15" xfId="0" applyFont="1" applyFill="1" applyBorder="1" applyAlignment="1">
      <alignment horizontal="center" vertical="center"/>
    </xf>
    <xf numFmtId="0" fontId="12" fillId="13" borderId="16" xfId="0" applyFont="1" applyFill="1" applyBorder="1" applyAlignment="1">
      <alignment horizontal="center" vertical="center"/>
    </xf>
  </cellXfs>
  <cellStyles count="21">
    <cellStyle name="20 % - Accent2 2" xfId="9" xr:uid="{6E21071B-2F1E-4AF6-A040-FBCD36045BD1}"/>
    <cellStyle name="20 % - Accent6" xfId="5" builtinId="50"/>
    <cellStyle name="Insatisfaisant" xfId="2" builtinId="27"/>
    <cellStyle name="Insatisfaisant 2" xfId="10" xr:uid="{1D5B5365-E152-4EFA-9D29-DAEA5A2750EE}"/>
    <cellStyle name="Milliers" xfId="1" builtinId="3"/>
    <cellStyle name="Milliers 2" xfId="7" xr:uid="{3DC2CB5E-E553-47A5-BA72-75B85AF6F99A}"/>
    <cellStyle name="Milliers 2 2" xfId="20" xr:uid="{26FF2B17-0DC6-4073-98D3-C850DA43EC44}"/>
    <cellStyle name="Milliers 3" xfId="18" xr:uid="{95212F0D-F9BB-4671-A639-5EF5A9834835}"/>
    <cellStyle name="Milliers 4" xfId="15" xr:uid="{BE274A5F-6F46-4167-93DB-4FB0E3CB7AF2}"/>
    <cellStyle name="Monétaire 2" xfId="11" xr:uid="{A4B6EC75-27F8-40CA-8211-371F8A4A642C}"/>
    <cellStyle name="Monétaire 2 2" xfId="17" xr:uid="{4E759543-EFA5-4F85-AB32-12B756B8FE8F}"/>
    <cellStyle name="Monétaire 3" xfId="16" xr:uid="{4E1DD9E9-F657-440B-9E79-A66DCC7D55D4}"/>
    <cellStyle name="Monétaire 4" xfId="8" xr:uid="{5B35FE30-8563-4D02-B50E-626D2E1D6791}"/>
    <cellStyle name="Neutre 2" xfId="14" xr:uid="{9B797655-1125-469C-B56C-BB9AD0851D0F}"/>
    <cellStyle name="Normal" xfId="0" builtinId="0"/>
    <cellStyle name="Normal 2" xfId="12" xr:uid="{00CB9880-E38D-4C58-8F5E-1693F523570E}"/>
    <cellStyle name="Normal 2 2" xfId="6" xr:uid="{F61F2E60-DCE8-46D7-837D-AF92C543D750}"/>
    <cellStyle name="Normal 3" xfId="3" xr:uid="{DD67BCE9-4EA0-4E55-8348-B3AE459DBF1A}"/>
    <cellStyle name="Normal 3 2" xfId="13" xr:uid="{19A64ABB-0F4A-48DD-85B0-813544F1DBF6}"/>
    <cellStyle name="Normal 4" xfId="19" xr:uid="{4BD7622E-FCFF-4816-9E10-6EB437E6632F}"/>
    <cellStyle name="Note" xfId="4" builtinId="1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35" formatCode="_-* #,##0.00_-;\-* #,##0.00_-;_-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FFFF00"/>
          <bgColor rgb="FF000000"/>
        </patternFill>
      </fill>
    </dxf>
    <dxf>
      <font>
        <color theme="9" tint="-0.24994659260841701"/>
      </font>
    </dxf>
    <dxf>
      <font>
        <color rgb="FF9C0006"/>
      </font>
    </dxf>
    <dxf>
      <font>
        <color rgb="FF9C0006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numFmt numFmtId="35" formatCode="_-* #,##0.00_-;\-* #,##0.00_-;_-* &quot;-&quot;??_-;_-@_-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5" formatCode="_-* #,##0.00_-;\-* #,##0.00_-;_-* &quot;-&quot;??_-;_-@_-"/>
    </dxf>
    <dxf>
      <numFmt numFmtId="19" formatCode="dd/mm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[$-F800]dddd\,\ mmmm\ dd\,\ 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3FFFDA"/>
      <color rgb="FF00CC99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1/relationships/timelineCache" Target="timelineCaches/timelineCache1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[Gestion Matériel oct-2021.xlsx]Feuil1!Tableau croisé dynamique1</c:name>
    <c:fmtId val="2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4983399802297439E-2"/>
          <c:y val="1.9221517264693632E-2"/>
          <c:w val="0.93216702457647338"/>
          <c:h val="0.82133663412717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Moyenne de Cons Gasoil /100 km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Feuil1!$A$4:$A$105</c:f>
              <c:strCache>
                <c:ptCount val="101"/>
                <c:pt idx="0">
                  <c:v>AU001</c:v>
                </c:pt>
                <c:pt idx="1">
                  <c:v>AU002</c:v>
                </c:pt>
                <c:pt idx="2">
                  <c:v>AU003</c:v>
                </c:pt>
                <c:pt idx="3">
                  <c:v>C001</c:v>
                </c:pt>
                <c:pt idx="4">
                  <c:v>C002</c:v>
                </c:pt>
                <c:pt idx="5">
                  <c:v>C003</c:v>
                </c:pt>
                <c:pt idx="6">
                  <c:v>C004</c:v>
                </c:pt>
                <c:pt idx="7">
                  <c:v>C005</c:v>
                </c:pt>
                <c:pt idx="8">
                  <c:v>C006</c:v>
                </c:pt>
                <c:pt idx="9">
                  <c:v>CA001</c:v>
                </c:pt>
                <c:pt idx="10">
                  <c:v>CA002</c:v>
                </c:pt>
                <c:pt idx="11">
                  <c:v>CA003</c:v>
                </c:pt>
                <c:pt idx="12">
                  <c:v>CA004</c:v>
                </c:pt>
                <c:pt idx="13">
                  <c:v>CA005</c:v>
                </c:pt>
                <c:pt idx="14">
                  <c:v>CA006</c:v>
                </c:pt>
                <c:pt idx="15">
                  <c:v>CA007</c:v>
                </c:pt>
                <c:pt idx="16">
                  <c:v>CA008</c:v>
                </c:pt>
                <c:pt idx="17">
                  <c:v>CA009</c:v>
                </c:pt>
                <c:pt idx="18">
                  <c:v>CA010</c:v>
                </c:pt>
                <c:pt idx="19">
                  <c:v>CA011</c:v>
                </c:pt>
                <c:pt idx="20">
                  <c:v>CA012</c:v>
                </c:pt>
                <c:pt idx="21">
                  <c:v>CA013</c:v>
                </c:pt>
                <c:pt idx="22">
                  <c:v>CA014</c:v>
                </c:pt>
                <c:pt idx="23">
                  <c:v>CA015</c:v>
                </c:pt>
                <c:pt idx="24">
                  <c:v>CB001</c:v>
                </c:pt>
                <c:pt idx="25">
                  <c:v>CB002</c:v>
                </c:pt>
                <c:pt idx="26">
                  <c:v>CH001</c:v>
                </c:pt>
                <c:pt idx="27">
                  <c:v>CH002</c:v>
                </c:pt>
                <c:pt idx="28">
                  <c:v>CH003</c:v>
                </c:pt>
                <c:pt idx="29">
                  <c:v>CH004</c:v>
                </c:pt>
                <c:pt idx="30">
                  <c:v>CONC001</c:v>
                </c:pt>
                <c:pt idx="31">
                  <c:v>CONC002</c:v>
                </c:pt>
                <c:pt idx="32">
                  <c:v>CR001</c:v>
                </c:pt>
                <c:pt idx="33">
                  <c:v>CRI001</c:v>
                </c:pt>
                <c:pt idx="34">
                  <c:v>D8</c:v>
                </c:pt>
                <c:pt idx="35">
                  <c:v>GR001</c:v>
                </c:pt>
                <c:pt idx="36">
                  <c:v>N001</c:v>
                </c:pt>
                <c:pt idx="37">
                  <c:v>N002</c:v>
                </c:pt>
                <c:pt idx="38">
                  <c:v>N003</c:v>
                </c:pt>
                <c:pt idx="39">
                  <c:v>N004</c:v>
                </c:pt>
                <c:pt idx="40">
                  <c:v>N005</c:v>
                </c:pt>
                <c:pt idx="41">
                  <c:v>OUT0001</c:v>
                </c:pt>
                <c:pt idx="42">
                  <c:v>OUT0002</c:v>
                </c:pt>
                <c:pt idx="43">
                  <c:v>OUT0003</c:v>
                </c:pt>
                <c:pt idx="44">
                  <c:v>OUT0004</c:v>
                </c:pt>
                <c:pt idx="45">
                  <c:v>OUT0005</c:v>
                </c:pt>
                <c:pt idx="46">
                  <c:v>OUT0006</c:v>
                </c:pt>
                <c:pt idx="47">
                  <c:v>OUT0007</c:v>
                </c:pt>
                <c:pt idx="48">
                  <c:v>OUT0009</c:v>
                </c:pt>
                <c:pt idx="49">
                  <c:v>OUT0010</c:v>
                </c:pt>
                <c:pt idx="50">
                  <c:v>OUT0011</c:v>
                </c:pt>
                <c:pt idx="51">
                  <c:v>OUT0012</c:v>
                </c:pt>
                <c:pt idx="52">
                  <c:v>OUT0013</c:v>
                </c:pt>
                <c:pt idx="53">
                  <c:v>OUT0014</c:v>
                </c:pt>
                <c:pt idx="54">
                  <c:v>P001</c:v>
                </c:pt>
                <c:pt idx="55">
                  <c:v>P002</c:v>
                </c:pt>
                <c:pt idx="56">
                  <c:v>P003</c:v>
                </c:pt>
                <c:pt idx="57">
                  <c:v>P004</c:v>
                </c:pt>
                <c:pt idx="58">
                  <c:v>P005</c:v>
                </c:pt>
                <c:pt idx="59">
                  <c:v>P006</c:v>
                </c:pt>
                <c:pt idx="60">
                  <c:v>P007</c:v>
                </c:pt>
                <c:pt idx="61">
                  <c:v>P008</c:v>
                </c:pt>
                <c:pt idx="62">
                  <c:v>P009</c:v>
                </c:pt>
                <c:pt idx="63">
                  <c:v>P010</c:v>
                </c:pt>
                <c:pt idx="64">
                  <c:v>P011</c:v>
                </c:pt>
                <c:pt idx="65">
                  <c:v>P012</c:v>
                </c:pt>
                <c:pt idx="66">
                  <c:v>P013</c:v>
                </c:pt>
                <c:pt idx="67">
                  <c:v>P014</c:v>
                </c:pt>
                <c:pt idx="68">
                  <c:v>P015</c:v>
                </c:pt>
                <c:pt idx="69">
                  <c:v>P016</c:v>
                </c:pt>
                <c:pt idx="70">
                  <c:v>PICK001</c:v>
                </c:pt>
                <c:pt idx="71">
                  <c:v>PICK002</c:v>
                </c:pt>
                <c:pt idx="72">
                  <c:v>PICK003</c:v>
                </c:pt>
                <c:pt idx="73">
                  <c:v>PICK004</c:v>
                </c:pt>
                <c:pt idx="74">
                  <c:v>PICK005</c:v>
                </c:pt>
                <c:pt idx="75">
                  <c:v>ROC001</c:v>
                </c:pt>
                <c:pt idx="76">
                  <c:v>TR001</c:v>
                </c:pt>
                <c:pt idx="77">
                  <c:v>TR002</c:v>
                </c:pt>
                <c:pt idx="78">
                  <c:v>TR003</c:v>
                </c:pt>
                <c:pt idx="79">
                  <c:v>TRP001</c:v>
                </c:pt>
                <c:pt idx="80">
                  <c:v>TRP002</c:v>
                </c:pt>
                <c:pt idx="81">
                  <c:v>TRP003</c:v>
                </c:pt>
                <c:pt idx="82">
                  <c:v>VL001</c:v>
                </c:pt>
                <c:pt idx="83">
                  <c:v>VL002</c:v>
                </c:pt>
                <c:pt idx="84">
                  <c:v>VL003</c:v>
                </c:pt>
                <c:pt idx="85">
                  <c:v>VL004</c:v>
                </c:pt>
                <c:pt idx="86">
                  <c:v>VL005</c:v>
                </c:pt>
                <c:pt idx="87">
                  <c:v>VL006</c:v>
                </c:pt>
                <c:pt idx="88">
                  <c:v>VL007</c:v>
                </c:pt>
                <c:pt idx="89">
                  <c:v>VL008</c:v>
                </c:pt>
                <c:pt idx="90">
                  <c:v>VL009</c:v>
                </c:pt>
                <c:pt idx="91">
                  <c:v>VL010</c:v>
                </c:pt>
                <c:pt idx="92">
                  <c:v>VL011</c:v>
                </c:pt>
                <c:pt idx="93">
                  <c:v>VL012</c:v>
                </c:pt>
                <c:pt idx="94">
                  <c:v>VL013</c:v>
                </c:pt>
                <c:pt idx="95">
                  <c:v>VL014</c:v>
                </c:pt>
                <c:pt idx="96">
                  <c:v>VL015</c:v>
                </c:pt>
                <c:pt idx="97">
                  <c:v>VL016</c:v>
                </c:pt>
                <c:pt idx="98">
                  <c:v>VL017</c:v>
                </c:pt>
                <c:pt idx="99">
                  <c:v>VL018</c:v>
                </c:pt>
                <c:pt idx="100">
                  <c:v>(vide)</c:v>
                </c:pt>
              </c:strCache>
            </c:strRef>
          </c:cat>
          <c:val>
            <c:numRef>
              <c:f>Feuil1!$B$4:$B$105</c:f>
              <c:numCache>
                <c:formatCode>_-* #\ ##0.00\ _€_-;\-* #\ ##0.00\ _€_-;_-* "-"??\ _€_-;_-@_-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14.487030411449016</c:v>
                </c:pt>
                <c:pt idx="4">
                  <c:v>1.5556421243994285</c:v>
                </c:pt>
                <c:pt idx="5">
                  <c:v>0</c:v>
                </c:pt>
                <c:pt idx="6">
                  <c:v>15.78586497890293</c:v>
                </c:pt>
                <c:pt idx="7">
                  <c:v>0</c:v>
                </c:pt>
                <c:pt idx="8">
                  <c:v>0</c:v>
                </c:pt>
                <c:pt idx="9">
                  <c:v>53.608759740089788</c:v>
                </c:pt>
                <c:pt idx="10">
                  <c:v>38.025669499237395</c:v>
                </c:pt>
                <c:pt idx="11">
                  <c:v>68.609561042897653</c:v>
                </c:pt>
                <c:pt idx="12">
                  <c:v>66.619617110214548</c:v>
                </c:pt>
                <c:pt idx="13">
                  <c:v>61.172447883872344</c:v>
                </c:pt>
                <c:pt idx="14">
                  <c:v>71.143035704983632</c:v>
                </c:pt>
                <c:pt idx="15">
                  <c:v>38.926137095209441</c:v>
                </c:pt>
                <c:pt idx="16">
                  <c:v>51.322446422114872</c:v>
                </c:pt>
                <c:pt idx="17">
                  <c:v>59.489097773480687</c:v>
                </c:pt>
                <c:pt idx="18">
                  <c:v>53.651645529555417</c:v>
                </c:pt>
                <c:pt idx="19">
                  <c:v>45.819505828721155</c:v>
                </c:pt>
                <c:pt idx="20">
                  <c:v>65.558004794791216</c:v>
                </c:pt>
                <c:pt idx="21">
                  <c:v>32.642483127556709</c:v>
                </c:pt>
                <c:pt idx="22">
                  <c:v>14.097888530490749</c:v>
                </c:pt>
                <c:pt idx="23">
                  <c:v>35.420280851065812</c:v>
                </c:pt>
                <c:pt idx="24">
                  <c:v>129.50845367892154</c:v>
                </c:pt>
                <c:pt idx="26">
                  <c:v>10.220000000000001</c:v>
                </c:pt>
                <c:pt idx="27">
                  <c:v>27.651960784313726</c:v>
                </c:pt>
                <c:pt idx="28">
                  <c:v>12.672777777777778</c:v>
                </c:pt>
                <c:pt idx="29">
                  <c:v>6.8849067103810144</c:v>
                </c:pt>
                <c:pt idx="30">
                  <c:v>21.850649350649352</c:v>
                </c:pt>
                <c:pt idx="31">
                  <c:v>0</c:v>
                </c:pt>
                <c:pt idx="32">
                  <c:v>54.696820822162238</c:v>
                </c:pt>
                <c:pt idx="33">
                  <c:v>3.4000000000000004</c:v>
                </c:pt>
                <c:pt idx="34">
                  <c:v>21.048095238095236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16.070262480699949</c:v>
                </c:pt>
                <c:pt idx="40">
                  <c:v>16.166683600894245</c:v>
                </c:pt>
                <c:pt idx="41">
                  <c:v>3.0420597830879115</c:v>
                </c:pt>
                <c:pt idx="42">
                  <c:v>283.68794326241317</c:v>
                </c:pt>
                <c:pt idx="44">
                  <c:v>20.318332001065812</c:v>
                </c:pt>
                <c:pt idx="46">
                  <c:v>0</c:v>
                </c:pt>
                <c:pt idx="47">
                  <c:v>0</c:v>
                </c:pt>
                <c:pt idx="50">
                  <c:v>0</c:v>
                </c:pt>
                <c:pt idx="51">
                  <c:v>8.75</c:v>
                </c:pt>
                <c:pt idx="53">
                  <c:v>0</c:v>
                </c:pt>
                <c:pt idx="54">
                  <c:v>10.510806451612904</c:v>
                </c:pt>
                <c:pt idx="55">
                  <c:v>19.631818181818183</c:v>
                </c:pt>
                <c:pt idx="56">
                  <c:v>18.083558589217596</c:v>
                </c:pt>
                <c:pt idx="57">
                  <c:v>34.260967741935481</c:v>
                </c:pt>
                <c:pt idx="58">
                  <c:v>20.130711688855179</c:v>
                </c:pt>
                <c:pt idx="59">
                  <c:v>12.770750996414499</c:v>
                </c:pt>
                <c:pt idx="60">
                  <c:v>23.914999999999999</c:v>
                </c:pt>
                <c:pt idx="61">
                  <c:v>20.850116289086056</c:v>
                </c:pt>
                <c:pt idx="62">
                  <c:v>9.7090215704052927</c:v>
                </c:pt>
                <c:pt idx="63">
                  <c:v>23.55230238276781</c:v>
                </c:pt>
                <c:pt idx="64">
                  <c:v>7.9827777777777778</c:v>
                </c:pt>
                <c:pt idx="65">
                  <c:v>9.4466595161603983</c:v>
                </c:pt>
                <c:pt idx="66">
                  <c:v>18.540229885057471</c:v>
                </c:pt>
                <c:pt idx="67">
                  <c:v>1.9631339712918661</c:v>
                </c:pt>
                <c:pt idx="68">
                  <c:v>0</c:v>
                </c:pt>
                <c:pt idx="69">
                  <c:v>20.896772345301759</c:v>
                </c:pt>
                <c:pt idx="70">
                  <c:v>15.575128517282513</c:v>
                </c:pt>
                <c:pt idx="71">
                  <c:v>20.608450721199109</c:v>
                </c:pt>
                <c:pt idx="72">
                  <c:v>100.264</c:v>
                </c:pt>
                <c:pt idx="73">
                  <c:v>75.420401747651624</c:v>
                </c:pt>
                <c:pt idx="74">
                  <c:v>259</c:v>
                </c:pt>
                <c:pt idx="75">
                  <c:v>30.875000000000004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106</c:v>
                </c:pt>
                <c:pt idx="80">
                  <c:v>6.4313248123351592</c:v>
                </c:pt>
                <c:pt idx="82">
                  <c:v>0</c:v>
                </c:pt>
                <c:pt idx="83">
                  <c:v>7.6050774906913379</c:v>
                </c:pt>
                <c:pt idx="84">
                  <c:v>4.3623990538317967</c:v>
                </c:pt>
                <c:pt idx="85">
                  <c:v>7.1864572173348407</c:v>
                </c:pt>
                <c:pt idx="86">
                  <c:v>4.2474916387959869</c:v>
                </c:pt>
                <c:pt idx="87">
                  <c:v>6.4317359191072709</c:v>
                </c:pt>
                <c:pt idx="88">
                  <c:v>7.1841852486208859</c:v>
                </c:pt>
                <c:pt idx="89">
                  <c:v>5.9367901727026515</c:v>
                </c:pt>
                <c:pt idx="90">
                  <c:v>6.5886149953816249</c:v>
                </c:pt>
                <c:pt idx="91">
                  <c:v>8.241528035721073</c:v>
                </c:pt>
                <c:pt idx="92">
                  <c:v>8.700619012587083</c:v>
                </c:pt>
                <c:pt idx="93">
                  <c:v>6.589751280113946</c:v>
                </c:pt>
                <c:pt idx="94">
                  <c:v>7.1430275596844712</c:v>
                </c:pt>
                <c:pt idx="95">
                  <c:v>3.8930305395472775</c:v>
                </c:pt>
                <c:pt idx="96">
                  <c:v>8.7158685585107722</c:v>
                </c:pt>
                <c:pt idx="97">
                  <c:v>3.84968047652045</c:v>
                </c:pt>
                <c:pt idx="98">
                  <c:v>5.3045287563119237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C3-49D9-86B0-8D2CEF202868}"/>
            </c:ext>
          </c:extLst>
        </c:ser>
        <c:ser>
          <c:idx val="1"/>
          <c:order val="1"/>
          <c:tx>
            <c:strRef>
              <c:f>Feuil1!$C$3</c:f>
              <c:strCache>
                <c:ptCount val="1"/>
                <c:pt idx="0">
                  <c:v>Moyenne de Cons Gasoil/H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Feuil1!$A$4:$A$105</c:f>
              <c:strCache>
                <c:ptCount val="101"/>
                <c:pt idx="0">
                  <c:v>AU001</c:v>
                </c:pt>
                <c:pt idx="1">
                  <c:v>AU002</c:v>
                </c:pt>
                <c:pt idx="2">
                  <c:v>AU003</c:v>
                </c:pt>
                <c:pt idx="3">
                  <c:v>C001</c:v>
                </c:pt>
                <c:pt idx="4">
                  <c:v>C002</c:v>
                </c:pt>
                <c:pt idx="5">
                  <c:v>C003</c:v>
                </c:pt>
                <c:pt idx="6">
                  <c:v>C004</c:v>
                </c:pt>
                <c:pt idx="7">
                  <c:v>C005</c:v>
                </c:pt>
                <c:pt idx="8">
                  <c:v>C006</c:v>
                </c:pt>
                <c:pt idx="9">
                  <c:v>CA001</c:v>
                </c:pt>
                <c:pt idx="10">
                  <c:v>CA002</c:v>
                </c:pt>
                <c:pt idx="11">
                  <c:v>CA003</c:v>
                </c:pt>
                <c:pt idx="12">
                  <c:v>CA004</c:v>
                </c:pt>
                <c:pt idx="13">
                  <c:v>CA005</c:v>
                </c:pt>
                <c:pt idx="14">
                  <c:v>CA006</c:v>
                </c:pt>
                <c:pt idx="15">
                  <c:v>CA007</c:v>
                </c:pt>
                <c:pt idx="16">
                  <c:v>CA008</c:v>
                </c:pt>
                <c:pt idx="17">
                  <c:v>CA009</c:v>
                </c:pt>
                <c:pt idx="18">
                  <c:v>CA010</c:v>
                </c:pt>
                <c:pt idx="19">
                  <c:v>CA011</c:v>
                </c:pt>
                <c:pt idx="20">
                  <c:v>CA012</c:v>
                </c:pt>
                <c:pt idx="21">
                  <c:v>CA013</c:v>
                </c:pt>
                <c:pt idx="22">
                  <c:v>CA014</c:v>
                </c:pt>
                <c:pt idx="23">
                  <c:v>CA015</c:v>
                </c:pt>
                <c:pt idx="24">
                  <c:v>CB001</c:v>
                </c:pt>
                <c:pt idx="25">
                  <c:v>CB002</c:v>
                </c:pt>
                <c:pt idx="26">
                  <c:v>CH001</c:v>
                </c:pt>
                <c:pt idx="27">
                  <c:v>CH002</c:v>
                </c:pt>
                <c:pt idx="28">
                  <c:v>CH003</c:v>
                </c:pt>
                <c:pt idx="29">
                  <c:v>CH004</c:v>
                </c:pt>
                <c:pt idx="30">
                  <c:v>CONC001</c:v>
                </c:pt>
                <c:pt idx="31">
                  <c:v>CONC002</c:v>
                </c:pt>
                <c:pt idx="32">
                  <c:v>CR001</c:v>
                </c:pt>
                <c:pt idx="33">
                  <c:v>CRI001</c:v>
                </c:pt>
                <c:pt idx="34">
                  <c:v>D8</c:v>
                </c:pt>
                <c:pt idx="35">
                  <c:v>GR001</c:v>
                </c:pt>
                <c:pt idx="36">
                  <c:v>N001</c:v>
                </c:pt>
                <c:pt idx="37">
                  <c:v>N002</c:v>
                </c:pt>
                <c:pt idx="38">
                  <c:v>N003</c:v>
                </c:pt>
                <c:pt idx="39">
                  <c:v>N004</c:v>
                </c:pt>
                <c:pt idx="40">
                  <c:v>N005</c:v>
                </c:pt>
                <c:pt idx="41">
                  <c:v>OUT0001</c:v>
                </c:pt>
                <c:pt idx="42">
                  <c:v>OUT0002</c:v>
                </c:pt>
                <c:pt idx="43">
                  <c:v>OUT0003</c:v>
                </c:pt>
                <c:pt idx="44">
                  <c:v>OUT0004</c:v>
                </c:pt>
                <c:pt idx="45">
                  <c:v>OUT0005</c:v>
                </c:pt>
                <c:pt idx="46">
                  <c:v>OUT0006</c:v>
                </c:pt>
                <c:pt idx="47">
                  <c:v>OUT0007</c:v>
                </c:pt>
                <c:pt idx="48">
                  <c:v>OUT0009</c:v>
                </c:pt>
                <c:pt idx="49">
                  <c:v>OUT0010</c:v>
                </c:pt>
                <c:pt idx="50">
                  <c:v>OUT0011</c:v>
                </c:pt>
                <c:pt idx="51">
                  <c:v>OUT0012</c:v>
                </c:pt>
                <c:pt idx="52">
                  <c:v>OUT0013</c:v>
                </c:pt>
                <c:pt idx="53">
                  <c:v>OUT0014</c:v>
                </c:pt>
                <c:pt idx="54">
                  <c:v>P001</c:v>
                </c:pt>
                <c:pt idx="55">
                  <c:v>P002</c:v>
                </c:pt>
                <c:pt idx="56">
                  <c:v>P003</c:v>
                </c:pt>
                <c:pt idx="57">
                  <c:v>P004</c:v>
                </c:pt>
                <c:pt idx="58">
                  <c:v>P005</c:v>
                </c:pt>
                <c:pt idx="59">
                  <c:v>P006</c:v>
                </c:pt>
                <c:pt idx="60">
                  <c:v>P007</c:v>
                </c:pt>
                <c:pt idx="61">
                  <c:v>P008</c:v>
                </c:pt>
                <c:pt idx="62">
                  <c:v>P009</c:v>
                </c:pt>
                <c:pt idx="63">
                  <c:v>P010</c:v>
                </c:pt>
                <c:pt idx="64">
                  <c:v>P011</c:v>
                </c:pt>
                <c:pt idx="65">
                  <c:v>P012</c:v>
                </c:pt>
                <c:pt idx="66">
                  <c:v>P013</c:v>
                </c:pt>
                <c:pt idx="67">
                  <c:v>P014</c:v>
                </c:pt>
                <c:pt idx="68">
                  <c:v>P015</c:v>
                </c:pt>
                <c:pt idx="69">
                  <c:v>P016</c:v>
                </c:pt>
                <c:pt idx="70">
                  <c:v>PICK001</c:v>
                </c:pt>
                <c:pt idx="71">
                  <c:v>PICK002</c:v>
                </c:pt>
                <c:pt idx="72">
                  <c:v>PICK003</c:v>
                </c:pt>
                <c:pt idx="73">
                  <c:v>PICK004</c:v>
                </c:pt>
                <c:pt idx="74">
                  <c:v>PICK005</c:v>
                </c:pt>
                <c:pt idx="75">
                  <c:v>ROC001</c:v>
                </c:pt>
                <c:pt idx="76">
                  <c:v>TR001</c:v>
                </c:pt>
                <c:pt idx="77">
                  <c:v>TR002</c:v>
                </c:pt>
                <c:pt idx="78">
                  <c:v>TR003</c:v>
                </c:pt>
                <c:pt idx="79">
                  <c:v>TRP001</c:v>
                </c:pt>
                <c:pt idx="80">
                  <c:v>TRP002</c:v>
                </c:pt>
                <c:pt idx="81">
                  <c:v>TRP003</c:v>
                </c:pt>
                <c:pt idx="82">
                  <c:v>VL001</c:v>
                </c:pt>
                <c:pt idx="83">
                  <c:v>VL002</c:v>
                </c:pt>
                <c:pt idx="84">
                  <c:v>VL003</c:v>
                </c:pt>
                <c:pt idx="85">
                  <c:v>VL004</c:v>
                </c:pt>
                <c:pt idx="86">
                  <c:v>VL005</c:v>
                </c:pt>
                <c:pt idx="87">
                  <c:v>VL006</c:v>
                </c:pt>
                <c:pt idx="88">
                  <c:v>VL007</c:v>
                </c:pt>
                <c:pt idx="89">
                  <c:v>VL008</c:v>
                </c:pt>
                <c:pt idx="90">
                  <c:v>VL009</c:v>
                </c:pt>
                <c:pt idx="91">
                  <c:v>VL010</c:v>
                </c:pt>
                <c:pt idx="92">
                  <c:v>VL011</c:v>
                </c:pt>
                <c:pt idx="93">
                  <c:v>VL012</c:v>
                </c:pt>
                <c:pt idx="94">
                  <c:v>VL013</c:v>
                </c:pt>
                <c:pt idx="95">
                  <c:v>VL014</c:v>
                </c:pt>
                <c:pt idx="96">
                  <c:v>VL015</c:v>
                </c:pt>
                <c:pt idx="97">
                  <c:v>VL016</c:v>
                </c:pt>
                <c:pt idx="98">
                  <c:v>VL017</c:v>
                </c:pt>
                <c:pt idx="99">
                  <c:v>VL018</c:v>
                </c:pt>
                <c:pt idx="100">
                  <c:v>(vide)</c:v>
                </c:pt>
              </c:strCache>
            </c:strRef>
          </c:cat>
          <c:val>
            <c:numRef>
              <c:f>Feuil1!$C$4:$C$105</c:f>
              <c:numCache>
                <c:formatCode>_-* #\ ##0.00\ _€_-;\-* #\ ##0.00\ _€_-;_-* "-"??\ _€_-;_-@_-</c:formatCode>
                <c:ptCount val="101"/>
                <c:pt idx="0">
                  <c:v>4.0230963045912649</c:v>
                </c:pt>
                <c:pt idx="1">
                  <c:v>0</c:v>
                </c:pt>
                <c:pt idx="2">
                  <c:v>0</c:v>
                </c:pt>
                <c:pt idx="3">
                  <c:v>7.8991456561631992</c:v>
                </c:pt>
                <c:pt idx="4">
                  <c:v>10.840037605138223</c:v>
                </c:pt>
                <c:pt idx="5">
                  <c:v>7.4961602718081384</c:v>
                </c:pt>
                <c:pt idx="6">
                  <c:v>8.6842345911429675</c:v>
                </c:pt>
                <c:pt idx="7">
                  <c:v>2.5</c:v>
                </c:pt>
                <c:pt idx="8">
                  <c:v>11.540104997341839</c:v>
                </c:pt>
                <c:pt idx="9">
                  <c:v>6.2428709208683566</c:v>
                </c:pt>
                <c:pt idx="10">
                  <c:v>3.872954019214514</c:v>
                </c:pt>
                <c:pt idx="11">
                  <c:v>7.8573422123188665</c:v>
                </c:pt>
                <c:pt idx="12">
                  <c:v>6.3792986342333426</c:v>
                </c:pt>
                <c:pt idx="13">
                  <c:v>6.873584116075043</c:v>
                </c:pt>
                <c:pt idx="14">
                  <c:v>19.300131204358745</c:v>
                </c:pt>
                <c:pt idx="15">
                  <c:v>3.5203782826392445</c:v>
                </c:pt>
                <c:pt idx="16">
                  <c:v>5.1903754590185374</c:v>
                </c:pt>
                <c:pt idx="17">
                  <c:v>24.049887619544641</c:v>
                </c:pt>
                <c:pt idx="18">
                  <c:v>15.242747271110522</c:v>
                </c:pt>
                <c:pt idx="19">
                  <c:v>4.9109687414416152</c:v>
                </c:pt>
                <c:pt idx="20">
                  <c:v>8.3590231242200179</c:v>
                </c:pt>
                <c:pt idx="21">
                  <c:v>1.8120258794263371</c:v>
                </c:pt>
                <c:pt idx="22">
                  <c:v>5.8855078171619528</c:v>
                </c:pt>
                <c:pt idx="23">
                  <c:v>16.362319327731093</c:v>
                </c:pt>
                <c:pt idx="24">
                  <c:v>4.9092736533917725</c:v>
                </c:pt>
                <c:pt idx="25">
                  <c:v>3.7581967213114753</c:v>
                </c:pt>
                <c:pt idx="26">
                  <c:v>11.257980921181668</c:v>
                </c:pt>
                <c:pt idx="27">
                  <c:v>10.091870311251792</c:v>
                </c:pt>
                <c:pt idx="28">
                  <c:v>13.526369249472269</c:v>
                </c:pt>
                <c:pt idx="29">
                  <c:v>9.437114658850442</c:v>
                </c:pt>
                <c:pt idx="30">
                  <c:v>37.55354056633449</c:v>
                </c:pt>
                <c:pt idx="31">
                  <c:v>1.3089005235602094E-2</c:v>
                </c:pt>
                <c:pt idx="32">
                  <c:v>19.702533542443195</c:v>
                </c:pt>
                <c:pt idx="33">
                  <c:v>5.0507310771095799</c:v>
                </c:pt>
                <c:pt idx="34">
                  <c:v>20.471762184664012</c:v>
                </c:pt>
                <c:pt idx="35">
                  <c:v>9.5244897959183668</c:v>
                </c:pt>
                <c:pt idx="36">
                  <c:v>11.670033916788288</c:v>
                </c:pt>
                <c:pt idx="37">
                  <c:v>10.962260162601627</c:v>
                </c:pt>
                <c:pt idx="38">
                  <c:v>9.8930013621012609</c:v>
                </c:pt>
                <c:pt idx="39">
                  <c:v>19.315148053504444</c:v>
                </c:pt>
                <c:pt idx="40">
                  <c:v>10.213749160100111</c:v>
                </c:pt>
                <c:pt idx="41">
                  <c:v>0.24210526315789474</c:v>
                </c:pt>
                <c:pt idx="42">
                  <c:v>1.4885791715060006</c:v>
                </c:pt>
                <c:pt idx="43">
                  <c:v>0</c:v>
                </c:pt>
                <c:pt idx="44">
                  <c:v>16.621409624086084</c:v>
                </c:pt>
                <c:pt idx="45">
                  <c:v>0</c:v>
                </c:pt>
                <c:pt idx="46">
                  <c:v>1.3789704447599185</c:v>
                </c:pt>
                <c:pt idx="47">
                  <c:v>1.2138026987186372</c:v>
                </c:pt>
                <c:pt idx="48">
                  <c:v>0</c:v>
                </c:pt>
                <c:pt idx="49">
                  <c:v>1.5128205128205128</c:v>
                </c:pt>
                <c:pt idx="50">
                  <c:v>1.1906130268199233</c:v>
                </c:pt>
                <c:pt idx="51">
                  <c:v>4.4010416666666661</c:v>
                </c:pt>
                <c:pt idx="52">
                  <c:v>20</c:v>
                </c:pt>
                <c:pt idx="53">
                  <c:v>2.9069767441860465E-2</c:v>
                </c:pt>
                <c:pt idx="54">
                  <c:v>15.13510078625219</c:v>
                </c:pt>
                <c:pt idx="55">
                  <c:v>11.067549037027575</c:v>
                </c:pt>
                <c:pt idx="56">
                  <c:v>17.555089323682502</c:v>
                </c:pt>
                <c:pt idx="57">
                  <c:v>20.809290441282123</c:v>
                </c:pt>
                <c:pt idx="58">
                  <c:v>24.301898438130774</c:v>
                </c:pt>
                <c:pt idx="59">
                  <c:v>23.837506590788365</c:v>
                </c:pt>
                <c:pt idx="60">
                  <c:v>22.252714402231422</c:v>
                </c:pt>
                <c:pt idx="61">
                  <c:v>32.982232880750715</c:v>
                </c:pt>
                <c:pt idx="62">
                  <c:v>6.1637104922538013</c:v>
                </c:pt>
                <c:pt idx="63">
                  <c:v>14.661689702993526</c:v>
                </c:pt>
                <c:pt idx="64">
                  <c:v>14.746057183557182</c:v>
                </c:pt>
                <c:pt idx="65">
                  <c:v>10.523523648230901</c:v>
                </c:pt>
                <c:pt idx="66">
                  <c:v>19.085746778097896</c:v>
                </c:pt>
                <c:pt idx="67">
                  <c:v>15.429769021962992</c:v>
                </c:pt>
                <c:pt idx="68">
                  <c:v>15.447559416898784</c:v>
                </c:pt>
                <c:pt idx="69">
                  <c:v>9.2851696762382563</c:v>
                </c:pt>
                <c:pt idx="70">
                  <c:v>3.8425958167271328</c:v>
                </c:pt>
                <c:pt idx="71">
                  <c:v>2.4941576434383661</c:v>
                </c:pt>
                <c:pt idx="72">
                  <c:v>1.4051546618496475</c:v>
                </c:pt>
                <c:pt idx="73">
                  <c:v>7.0267344229031448</c:v>
                </c:pt>
                <c:pt idx="74">
                  <c:v>7</c:v>
                </c:pt>
                <c:pt idx="75">
                  <c:v>20.110256410256408</c:v>
                </c:pt>
                <c:pt idx="76">
                  <c:v>3.5025985379389923</c:v>
                </c:pt>
                <c:pt idx="77">
                  <c:v>5.7309360468199602</c:v>
                </c:pt>
                <c:pt idx="78">
                  <c:v>3.534997827098858</c:v>
                </c:pt>
                <c:pt idx="79">
                  <c:v>1.2934534630882326</c:v>
                </c:pt>
                <c:pt idx="80">
                  <c:v>2.515447695004037</c:v>
                </c:pt>
                <c:pt idx="81">
                  <c:v>1.2853535353535355</c:v>
                </c:pt>
                <c:pt idx="82">
                  <c:v>2.7941176470588238</c:v>
                </c:pt>
                <c:pt idx="83">
                  <c:v>28.687426900584796</c:v>
                </c:pt>
                <c:pt idx="84">
                  <c:v>12.195396825396825</c:v>
                </c:pt>
                <c:pt idx="85">
                  <c:v>0.72605086047423495</c:v>
                </c:pt>
                <c:pt idx="86">
                  <c:v>0</c:v>
                </c:pt>
                <c:pt idx="87">
                  <c:v>1.3203130636616629</c:v>
                </c:pt>
                <c:pt idx="88">
                  <c:v>2.4347963783376203</c:v>
                </c:pt>
                <c:pt idx="89">
                  <c:v>2.0283898962710292</c:v>
                </c:pt>
                <c:pt idx="90">
                  <c:v>4.2041476733143393</c:v>
                </c:pt>
                <c:pt idx="91">
                  <c:v>1.3266355590647361</c:v>
                </c:pt>
                <c:pt idx="92">
                  <c:v>1.6965155144698434</c:v>
                </c:pt>
                <c:pt idx="93">
                  <c:v>0.96551725089784135</c:v>
                </c:pt>
                <c:pt idx="94">
                  <c:v>1.2905997730597705</c:v>
                </c:pt>
                <c:pt idx="95">
                  <c:v>3.5970477452977789</c:v>
                </c:pt>
                <c:pt idx="96">
                  <c:v>1.2604026679459339</c:v>
                </c:pt>
                <c:pt idx="97">
                  <c:v>0</c:v>
                </c:pt>
                <c:pt idx="98">
                  <c:v>7.2307692307692308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C3-49D9-86B0-8D2CEF202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319534304"/>
        <c:axId val="1319542208"/>
      </c:barChart>
      <c:catAx>
        <c:axId val="131953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9542208"/>
        <c:crosses val="autoZero"/>
        <c:auto val="1"/>
        <c:lblAlgn val="ctr"/>
        <c:lblOffset val="100"/>
        <c:noMultiLvlLbl val="0"/>
      </c:catAx>
      <c:valAx>
        <c:axId val="131954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-* #\ ##0.00\ _€_-;\-* #\ 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953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863255729397465"/>
          <c:y val="2.8355934674832339E-2"/>
          <c:w val="6.7904239242821907E-2"/>
          <c:h val="0.378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[Gestion Matériel oct-2021.xlsx]Feuil1!Tableau croisé dynamique2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  <a:headEnd type="diamond"/>
            <a:tailEnd type="arrow"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borderCallout1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  <a:headEnd type="oval"/>
            <a:tailEnd type="triangle"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borderCallout2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  <a:headEnd type="diamond"/>
            <a:tailEnd type="arrow"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0"/>
              <c:y val="-0.1290322580645162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borderCallout1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  <a:headEnd type="diamond"/>
            <a:tailEnd type="arrow"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  <a:headEnd type="diamond"/>
            <a:tailEnd type="arrow"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  <a:headEnd type="diamond"/>
            <a:tailEnd type="arrow"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  <a:headEnd type="diamond"/>
            <a:tailEnd type="arrow"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  <a:headEnd type="diamond"/>
            <a:tailEnd type="arrow"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  <a:headEnd type="diamond"/>
            <a:tailEnd type="arrow"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8.837131387988266E-2"/>
          <c:y val="9.7777777777777783E-2"/>
          <c:w val="0.89671391076115481"/>
          <c:h val="0.63479082971771383"/>
        </c:manualLayout>
      </c:layout>
      <c:lineChart>
        <c:grouping val="standard"/>
        <c:varyColors val="0"/>
        <c:ser>
          <c:idx val="0"/>
          <c:order val="0"/>
          <c:tx>
            <c:strRef>
              <c:f>Feuil1!$H$3</c:f>
              <c:strCache>
                <c:ptCount val="1"/>
                <c:pt idx="0">
                  <c:v>Moyenne de Cons Gasoil /100 km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  <a:headEnd type="diamond"/>
              <a:tailEnd type="arrow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  <a:headEnd type="diamond"/>
                <a:tailEnd type="arrow"/>
              </a:ln>
              <a:effectLst/>
            </c:spPr>
            <c:extLst>
              <c:ext xmlns:c16="http://schemas.microsoft.com/office/drawing/2014/chart" uri="{C3380CC4-5D6E-409C-BE32-E72D297353CC}">
                <c16:uniqueId val="{00000001-753E-4CE3-AE50-4CFB84324F01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  <a:headEnd type="diamond"/>
                <a:tailEnd type="arrow"/>
              </a:ln>
              <a:effectLst/>
            </c:spPr>
            <c:extLst>
              <c:ext xmlns:c16="http://schemas.microsoft.com/office/drawing/2014/chart" uri="{C3380CC4-5D6E-409C-BE32-E72D297353CC}">
                <c16:uniqueId val="{00000001-734D-4430-B809-6F33B06A916A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  <a:headEnd type="diamond"/>
                <a:tailEnd type="arrow"/>
              </a:ln>
              <a:effectLst/>
            </c:spPr>
            <c:extLst>
              <c:ext xmlns:c16="http://schemas.microsoft.com/office/drawing/2014/chart" uri="{C3380CC4-5D6E-409C-BE32-E72D297353CC}">
                <c16:uniqueId val="{00000003-84D4-47C6-947D-DEBB0CE4A4C8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  <a:headEnd type="diamond"/>
                <a:tailEnd type="arrow"/>
              </a:ln>
              <a:effectLst/>
            </c:spPr>
            <c:extLst>
              <c:ext xmlns:c16="http://schemas.microsoft.com/office/drawing/2014/chart" uri="{C3380CC4-5D6E-409C-BE32-E72D297353CC}">
                <c16:uniqueId val="{00000003-E5C2-4D81-8205-D29715C90372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  <a:headEnd type="diamond"/>
                <a:tailEnd type="arrow"/>
              </a:ln>
              <a:effectLst/>
            </c:spPr>
            <c:extLst>
              <c:ext xmlns:c16="http://schemas.microsoft.com/office/drawing/2014/chart" uri="{C3380CC4-5D6E-409C-BE32-E72D297353CC}">
                <c16:uniqueId val="{00000007-9555-4D5E-8BC7-8D0D41F84B75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  <a:headEnd type="diamond"/>
                <a:tailEnd type="arrow"/>
              </a:ln>
              <a:effectLst/>
            </c:spPr>
            <c:extLst>
              <c:ext xmlns:c16="http://schemas.microsoft.com/office/drawing/2014/chart" uri="{C3380CC4-5D6E-409C-BE32-E72D297353CC}">
                <c16:uniqueId val="{00000008-9555-4D5E-8BC7-8D0D41F84B75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  <a:headEnd type="diamond"/>
                <a:tailEnd type="arrow"/>
              </a:ln>
              <a:effectLst/>
            </c:spPr>
            <c:extLst>
              <c:ext xmlns:c16="http://schemas.microsoft.com/office/drawing/2014/chart" uri="{C3380CC4-5D6E-409C-BE32-E72D297353CC}">
                <c16:uniqueId val="{00000009-9555-4D5E-8BC7-8D0D41F84B75}"/>
              </c:ext>
            </c:extLst>
          </c:dPt>
          <c:dLbls>
            <c:dLbl>
              <c:idx val="3"/>
              <c:layout>
                <c:manualLayout>
                  <c:x val="0"/>
                  <c:y val="-0.129032258064516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4D4-47C6-947D-DEBB0CE4A4C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borderCallout1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Feuil1!$G$4:$G$14</c:f>
              <c:strCache>
                <c:ptCount val="10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</c:strCache>
            </c:strRef>
          </c:cat>
          <c:val>
            <c:numRef>
              <c:f>Feuil1!$H$4:$H$14</c:f>
              <c:numCache>
                <c:formatCode>_-* #\ ##0.00\ _€_-;\-* #\ ##0.00\ _€_-;_-* "-"??\ _€_-;_-@_-</c:formatCode>
                <c:ptCount val="10"/>
                <c:pt idx="0">
                  <c:v>110.31143361662033</c:v>
                </c:pt>
                <c:pt idx="1">
                  <c:v>65.929835772698624</c:v>
                </c:pt>
                <c:pt idx="2">
                  <c:v>27.865558157735965</c:v>
                </c:pt>
                <c:pt idx="3">
                  <c:v>30.22203135911133</c:v>
                </c:pt>
                <c:pt idx="4">
                  <c:v>30.662351891734819</c:v>
                </c:pt>
                <c:pt idx="5">
                  <c:v>11.80636133308248</c:v>
                </c:pt>
                <c:pt idx="6">
                  <c:v>11.971429118143343</c:v>
                </c:pt>
                <c:pt idx="7">
                  <c:v>32.793999999999997</c:v>
                </c:pt>
                <c:pt idx="8">
                  <c:v>37.535170988148202</c:v>
                </c:pt>
                <c:pt idx="9">
                  <c:v>70.059740257636747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4D4-47C6-947D-DEBB0CE4A4C8}"/>
            </c:ext>
          </c:extLst>
        </c:ser>
        <c:ser>
          <c:idx val="1"/>
          <c:order val="1"/>
          <c:tx>
            <c:strRef>
              <c:f>Feuil1!$I$3</c:f>
              <c:strCache>
                <c:ptCount val="1"/>
                <c:pt idx="0">
                  <c:v>Moyenne de Cons Gasoil/H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  <a:headEnd type="oval"/>
              <a:tailEnd type="triangle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borderCallout2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Feuil1!$G$4:$G$14</c:f>
              <c:strCache>
                <c:ptCount val="10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</c:strCache>
            </c:strRef>
          </c:cat>
          <c:val>
            <c:numRef>
              <c:f>Feuil1!$I$4:$I$14</c:f>
              <c:numCache>
                <c:formatCode>_-* #\ ##0.00\ _€_-;\-* #\ ##0.00\ _€_-;_-* "-"??\ _€_-;_-@_-</c:formatCode>
                <c:ptCount val="10"/>
                <c:pt idx="0">
                  <c:v>13.444664071987997</c:v>
                </c:pt>
                <c:pt idx="1">
                  <c:v>9.7042481513336281</c:v>
                </c:pt>
                <c:pt idx="2">
                  <c:v>7.4515667772025242</c:v>
                </c:pt>
                <c:pt idx="3">
                  <c:v>8.6931729597833218</c:v>
                </c:pt>
                <c:pt idx="4">
                  <c:v>7.0199651572160526</c:v>
                </c:pt>
                <c:pt idx="5">
                  <c:v>10.935587576871001</c:v>
                </c:pt>
                <c:pt idx="6">
                  <c:v>9.9723035488966207</c:v>
                </c:pt>
                <c:pt idx="7">
                  <c:v>11.671064195395839</c:v>
                </c:pt>
                <c:pt idx="8">
                  <c:v>8.18778686507099</c:v>
                </c:pt>
                <c:pt idx="9">
                  <c:v>8.0419295115706877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4D4-47C6-947D-DEBB0CE4A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8896304"/>
        <c:axId val="1028890064"/>
      </c:lineChart>
      <c:catAx>
        <c:axId val="102889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8890064"/>
        <c:crosses val="autoZero"/>
        <c:auto val="1"/>
        <c:lblAlgn val="ctr"/>
        <c:lblOffset val="100"/>
        <c:noMultiLvlLbl val="0"/>
      </c:catAx>
      <c:valAx>
        <c:axId val="1028890064"/>
        <c:scaling>
          <c:orientation val="minMax"/>
        </c:scaling>
        <c:delete val="0"/>
        <c:axPos val="l"/>
        <c:numFmt formatCode="_-* #\ ##0.00\ _€_-;\-* #\ ##0.00\ _€_-;_-* &quot;-&quot;??\ _€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889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1494081097005733"/>
          <c:w val="0.33371574846389673"/>
          <c:h val="0.18112485939257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[Gestion Matériel oct-2021.xlsx]Feuil1!Tableau croisé dynamique6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Feuil1!$AH$4:$AH$105</c:f>
              <c:strCache>
                <c:ptCount val="101"/>
                <c:pt idx="0">
                  <c:v>AU001</c:v>
                </c:pt>
                <c:pt idx="1">
                  <c:v>AU002</c:v>
                </c:pt>
                <c:pt idx="2">
                  <c:v>C001</c:v>
                </c:pt>
                <c:pt idx="3">
                  <c:v>C002</c:v>
                </c:pt>
                <c:pt idx="4">
                  <c:v>C003</c:v>
                </c:pt>
                <c:pt idx="5">
                  <c:v>C004</c:v>
                </c:pt>
                <c:pt idx="6">
                  <c:v>CA001</c:v>
                </c:pt>
                <c:pt idx="7">
                  <c:v>CA002</c:v>
                </c:pt>
                <c:pt idx="8">
                  <c:v>CA003</c:v>
                </c:pt>
                <c:pt idx="9">
                  <c:v>CA004</c:v>
                </c:pt>
                <c:pt idx="10">
                  <c:v>CA005</c:v>
                </c:pt>
                <c:pt idx="11">
                  <c:v>CA006</c:v>
                </c:pt>
                <c:pt idx="12">
                  <c:v>CA007</c:v>
                </c:pt>
                <c:pt idx="13">
                  <c:v>CA008</c:v>
                </c:pt>
                <c:pt idx="14">
                  <c:v>CA009</c:v>
                </c:pt>
                <c:pt idx="15">
                  <c:v>CA010</c:v>
                </c:pt>
                <c:pt idx="16">
                  <c:v>CA011</c:v>
                </c:pt>
                <c:pt idx="17">
                  <c:v>CA012</c:v>
                </c:pt>
                <c:pt idx="18">
                  <c:v>CB001</c:v>
                </c:pt>
                <c:pt idx="19">
                  <c:v>CB002</c:v>
                </c:pt>
                <c:pt idx="20">
                  <c:v>CH001</c:v>
                </c:pt>
                <c:pt idx="21">
                  <c:v>CH002</c:v>
                </c:pt>
                <c:pt idx="22">
                  <c:v>CH003</c:v>
                </c:pt>
                <c:pt idx="23">
                  <c:v>CH004</c:v>
                </c:pt>
                <c:pt idx="24">
                  <c:v>CONC001</c:v>
                </c:pt>
                <c:pt idx="25">
                  <c:v>CONC002</c:v>
                </c:pt>
                <c:pt idx="26">
                  <c:v>CR001</c:v>
                </c:pt>
                <c:pt idx="27">
                  <c:v>CRI001</c:v>
                </c:pt>
                <c:pt idx="28">
                  <c:v>D8</c:v>
                </c:pt>
                <c:pt idx="29">
                  <c:v>GR001</c:v>
                </c:pt>
                <c:pt idx="30">
                  <c:v>N001</c:v>
                </c:pt>
                <c:pt idx="31">
                  <c:v>N002</c:v>
                </c:pt>
                <c:pt idx="32">
                  <c:v>N003</c:v>
                </c:pt>
                <c:pt idx="33">
                  <c:v>N004</c:v>
                </c:pt>
                <c:pt idx="34">
                  <c:v>N005</c:v>
                </c:pt>
                <c:pt idx="35">
                  <c:v>OUT0001</c:v>
                </c:pt>
                <c:pt idx="36">
                  <c:v>OUT0002</c:v>
                </c:pt>
                <c:pt idx="37">
                  <c:v>OUT0003</c:v>
                </c:pt>
                <c:pt idx="38">
                  <c:v>OUT0004</c:v>
                </c:pt>
                <c:pt idx="39">
                  <c:v>OUT0005</c:v>
                </c:pt>
                <c:pt idx="40">
                  <c:v>OUT0006</c:v>
                </c:pt>
                <c:pt idx="41">
                  <c:v>OUT0007</c:v>
                </c:pt>
                <c:pt idx="42">
                  <c:v>OUT0009</c:v>
                </c:pt>
                <c:pt idx="43">
                  <c:v>OUT0010</c:v>
                </c:pt>
                <c:pt idx="44">
                  <c:v>OUT0011</c:v>
                </c:pt>
                <c:pt idx="45">
                  <c:v>OUT0012</c:v>
                </c:pt>
                <c:pt idx="46">
                  <c:v>OUT0013</c:v>
                </c:pt>
                <c:pt idx="47">
                  <c:v>OUT0014</c:v>
                </c:pt>
                <c:pt idx="48">
                  <c:v>P001</c:v>
                </c:pt>
                <c:pt idx="49">
                  <c:v>P002</c:v>
                </c:pt>
                <c:pt idx="50">
                  <c:v>P003</c:v>
                </c:pt>
                <c:pt idx="51">
                  <c:v>P004</c:v>
                </c:pt>
                <c:pt idx="52">
                  <c:v>P005</c:v>
                </c:pt>
                <c:pt idx="53">
                  <c:v>P006</c:v>
                </c:pt>
                <c:pt idx="54">
                  <c:v>P007</c:v>
                </c:pt>
                <c:pt idx="55">
                  <c:v>P008</c:v>
                </c:pt>
                <c:pt idx="56">
                  <c:v>P009</c:v>
                </c:pt>
                <c:pt idx="57">
                  <c:v>P010</c:v>
                </c:pt>
                <c:pt idx="58">
                  <c:v>P011</c:v>
                </c:pt>
                <c:pt idx="59">
                  <c:v>P012</c:v>
                </c:pt>
                <c:pt idx="60">
                  <c:v>P013</c:v>
                </c:pt>
                <c:pt idx="61">
                  <c:v>P014</c:v>
                </c:pt>
                <c:pt idx="62">
                  <c:v>P015</c:v>
                </c:pt>
                <c:pt idx="63">
                  <c:v>P016</c:v>
                </c:pt>
                <c:pt idx="64">
                  <c:v>PICK001</c:v>
                </c:pt>
                <c:pt idx="65">
                  <c:v>PICK002</c:v>
                </c:pt>
                <c:pt idx="66">
                  <c:v>PICK003</c:v>
                </c:pt>
                <c:pt idx="67">
                  <c:v>PICK004</c:v>
                </c:pt>
                <c:pt idx="68">
                  <c:v>PICK005</c:v>
                </c:pt>
                <c:pt idx="69">
                  <c:v>ROC001</c:v>
                </c:pt>
                <c:pt idx="70">
                  <c:v>TR001</c:v>
                </c:pt>
                <c:pt idx="71">
                  <c:v>TR002</c:v>
                </c:pt>
                <c:pt idx="72">
                  <c:v>TR003</c:v>
                </c:pt>
                <c:pt idx="73">
                  <c:v>TRP001</c:v>
                </c:pt>
                <c:pt idx="74">
                  <c:v>TRP002</c:v>
                </c:pt>
                <c:pt idx="75">
                  <c:v>VL001</c:v>
                </c:pt>
                <c:pt idx="76">
                  <c:v>VL002</c:v>
                </c:pt>
                <c:pt idx="77">
                  <c:v>VL003</c:v>
                </c:pt>
                <c:pt idx="78">
                  <c:v>VL004</c:v>
                </c:pt>
                <c:pt idx="79">
                  <c:v>VL006</c:v>
                </c:pt>
                <c:pt idx="80">
                  <c:v>VL007</c:v>
                </c:pt>
                <c:pt idx="81">
                  <c:v>VL008</c:v>
                </c:pt>
                <c:pt idx="82">
                  <c:v>VL009</c:v>
                </c:pt>
                <c:pt idx="83">
                  <c:v>VL010</c:v>
                </c:pt>
                <c:pt idx="84">
                  <c:v>VL011</c:v>
                </c:pt>
                <c:pt idx="85">
                  <c:v>VL012</c:v>
                </c:pt>
                <c:pt idx="86">
                  <c:v>VL013</c:v>
                </c:pt>
                <c:pt idx="87">
                  <c:v>VL014</c:v>
                </c:pt>
                <c:pt idx="88">
                  <c:v>VL015</c:v>
                </c:pt>
                <c:pt idx="89">
                  <c:v>VL016</c:v>
                </c:pt>
                <c:pt idx="90">
                  <c:v>(vide)</c:v>
                </c:pt>
                <c:pt idx="91">
                  <c:v>CA014</c:v>
                </c:pt>
                <c:pt idx="92">
                  <c:v>CA013</c:v>
                </c:pt>
                <c:pt idx="93">
                  <c:v>C005</c:v>
                </c:pt>
                <c:pt idx="94">
                  <c:v>CA015</c:v>
                </c:pt>
                <c:pt idx="95">
                  <c:v>VL005</c:v>
                </c:pt>
                <c:pt idx="96">
                  <c:v>AU003</c:v>
                </c:pt>
                <c:pt idx="97">
                  <c:v>C006</c:v>
                </c:pt>
                <c:pt idx="98">
                  <c:v>VL017</c:v>
                </c:pt>
                <c:pt idx="99">
                  <c:v>TRP003</c:v>
                </c:pt>
                <c:pt idx="100">
                  <c:v>VL018</c:v>
                </c:pt>
              </c:strCache>
            </c:strRef>
          </c:cat>
          <c:val>
            <c:numRef>
              <c:f>Feuil1!$AI$4:$AI$105</c:f>
              <c:numCache>
                <c:formatCode>General</c:formatCode>
                <c:ptCount val="101"/>
                <c:pt idx="0">
                  <c:v>74</c:v>
                </c:pt>
                <c:pt idx="1">
                  <c:v>0</c:v>
                </c:pt>
                <c:pt idx="2">
                  <c:v>474</c:v>
                </c:pt>
                <c:pt idx="3">
                  <c:v>478</c:v>
                </c:pt>
                <c:pt idx="4">
                  <c:v>335</c:v>
                </c:pt>
                <c:pt idx="5">
                  <c:v>1076.5</c:v>
                </c:pt>
                <c:pt idx="6">
                  <c:v>3021.5</c:v>
                </c:pt>
                <c:pt idx="7">
                  <c:v>2794</c:v>
                </c:pt>
                <c:pt idx="8">
                  <c:v>2781</c:v>
                </c:pt>
                <c:pt idx="9">
                  <c:v>2171</c:v>
                </c:pt>
                <c:pt idx="10">
                  <c:v>1689</c:v>
                </c:pt>
                <c:pt idx="11">
                  <c:v>1030</c:v>
                </c:pt>
                <c:pt idx="12">
                  <c:v>1435.5</c:v>
                </c:pt>
                <c:pt idx="13">
                  <c:v>1593.5</c:v>
                </c:pt>
                <c:pt idx="14">
                  <c:v>2655.5</c:v>
                </c:pt>
                <c:pt idx="15">
                  <c:v>1748</c:v>
                </c:pt>
                <c:pt idx="16">
                  <c:v>2656</c:v>
                </c:pt>
                <c:pt idx="17">
                  <c:v>463</c:v>
                </c:pt>
                <c:pt idx="18">
                  <c:v>486.5</c:v>
                </c:pt>
                <c:pt idx="19">
                  <c:v>122</c:v>
                </c:pt>
                <c:pt idx="20">
                  <c:v>1999.7</c:v>
                </c:pt>
                <c:pt idx="21">
                  <c:v>1567</c:v>
                </c:pt>
                <c:pt idx="22">
                  <c:v>1497</c:v>
                </c:pt>
                <c:pt idx="23">
                  <c:v>1446.5</c:v>
                </c:pt>
                <c:pt idx="24">
                  <c:v>832.6</c:v>
                </c:pt>
                <c:pt idx="25">
                  <c:v>412.5</c:v>
                </c:pt>
                <c:pt idx="26">
                  <c:v>459</c:v>
                </c:pt>
                <c:pt idx="27">
                  <c:v>898.3</c:v>
                </c:pt>
                <c:pt idx="28">
                  <c:v>1325.5</c:v>
                </c:pt>
                <c:pt idx="29">
                  <c:v>264</c:v>
                </c:pt>
                <c:pt idx="30">
                  <c:v>1078</c:v>
                </c:pt>
                <c:pt idx="31">
                  <c:v>126</c:v>
                </c:pt>
                <c:pt idx="32">
                  <c:v>2503.5</c:v>
                </c:pt>
                <c:pt idx="33">
                  <c:v>1540</c:v>
                </c:pt>
                <c:pt idx="34">
                  <c:v>779</c:v>
                </c:pt>
                <c:pt idx="35">
                  <c:v>95.6</c:v>
                </c:pt>
                <c:pt idx="36">
                  <c:v>72.5</c:v>
                </c:pt>
                <c:pt idx="37">
                  <c:v>0</c:v>
                </c:pt>
                <c:pt idx="38">
                  <c:v>824</c:v>
                </c:pt>
                <c:pt idx="39">
                  <c:v>0</c:v>
                </c:pt>
                <c:pt idx="40">
                  <c:v>94</c:v>
                </c:pt>
                <c:pt idx="41">
                  <c:v>290.5</c:v>
                </c:pt>
                <c:pt idx="42">
                  <c:v>0</c:v>
                </c:pt>
                <c:pt idx="43">
                  <c:v>78</c:v>
                </c:pt>
                <c:pt idx="44">
                  <c:v>152</c:v>
                </c:pt>
                <c:pt idx="45">
                  <c:v>46</c:v>
                </c:pt>
                <c:pt idx="46">
                  <c:v>1</c:v>
                </c:pt>
                <c:pt idx="47">
                  <c:v>101</c:v>
                </c:pt>
                <c:pt idx="48">
                  <c:v>1562</c:v>
                </c:pt>
                <c:pt idx="49">
                  <c:v>1483.45</c:v>
                </c:pt>
                <c:pt idx="50">
                  <c:v>1088</c:v>
                </c:pt>
                <c:pt idx="51">
                  <c:v>1578</c:v>
                </c:pt>
                <c:pt idx="52">
                  <c:v>1905.5</c:v>
                </c:pt>
                <c:pt idx="53">
                  <c:v>2256.5</c:v>
                </c:pt>
                <c:pt idx="54">
                  <c:v>1934.5</c:v>
                </c:pt>
                <c:pt idx="55">
                  <c:v>1913</c:v>
                </c:pt>
                <c:pt idx="56">
                  <c:v>1803</c:v>
                </c:pt>
                <c:pt idx="57">
                  <c:v>774</c:v>
                </c:pt>
                <c:pt idx="58">
                  <c:v>602</c:v>
                </c:pt>
                <c:pt idx="59">
                  <c:v>1031</c:v>
                </c:pt>
                <c:pt idx="60">
                  <c:v>1156</c:v>
                </c:pt>
                <c:pt idx="61">
                  <c:v>934.5</c:v>
                </c:pt>
                <c:pt idx="62">
                  <c:v>1383</c:v>
                </c:pt>
                <c:pt idx="63">
                  <c:v>487.5</c:v>
                </c:pt>
                <c:pt idx="64">
                  <c:v>2095</c:v>
                </c:pt>
                <c:pt idx="65">
                  <c:v>1158</c:v>
                </c:pt>
                <c:pt idx="66">
                  <c:v>2303</c:v>
                </c:pt>
                <c:pt idx="67">
                  <c:v>1531.9</c:v>
                </c:pt>
                <c:pt idx="68">
                  <c:v>37</c:v>
                </c:pt>
                <c:pt idx="69">
                  <c:v>25</c:v>
                </c:pt>
                <c:pt idx="70">
                  <c:v>1177</c:v>
                </c:pt>
                <c:pt idx="71">
                  <c:v>1397</c:v>
                </c:pt>
                <c:pt idx="72">
                  <c:v>948</c:v>
                </c:pt>
                <c:pt idx="73">
                  <c:v>1691</c:v>
                </c:pt>
                <c:pt idx="74">
                  <c:v>1552</c:v>
                </c:pt>
                <c:pt idx="75">
                  <c:v>43</c:v>
                </c:pt>
                <c:pt idx="76">
                  <c:v>93</c:v>
                </c:pt>
                <c:pt idx="77">
                  <c:v>27</c:v>
                </c:pt>
                <c:pt idx="78">
                  <c:v>1273</c:v>
                </c:pt>
                <c:pt idx="79">
                  <c:v>1595</c:v>
                </c:pt>
                <c:pt idx="80">
                  <c:v>338</c:v>
                </c:pt>
                <c:pt idx="81">
                  <c:v>1351</c:v>
                </c:pt>
                <c:pt idx="82">
                  <c:v>105</c:v>
                </c:pt>
                <c:pt idx="83">
                  <c:v>1153</c:v>
                </c:pt>
                <c:pt idx="84">
                  <c:v>1189</c:v>
                </c:pt>
                <c:pt idx="85">
                  <c:v>1743</c:v>
                </c:pt>
                <c:pt idx="86">
                  <c:v>1217</c:v>
                </c:pt>
                <c:pt idx="87">
                  <c:v>940</c:v>
                </c:pt>
                <c:pt idx="88">
                  <c:v>1841</c:v>
                </c:pt>
                <c:pt idx="89">
                  <c:v>0</c:v>
                </c:pt>
                <c:pt idx="90">
                  <c:v>0</c:v>
                </c:pt>
                <c:pt idx="91">
                  <c:v>421</c:v>
                </c:pt>
                <c:pt idx="92">
                  <c:v>656</c:v>
                </c:pt>
                <c:pt idx="93">
                  <c:v>1</c:v>
                </c:pt>
                <c:pt idx="94">
                  <c:v>636</c:v>
                </c:pt>
                <c:pt idx="95">
                  <c:v>0</c:v>
                </c:pt>
                <c:pt idx="96">
                  <c:v>0</c:v>
                </c:pt>
                <c:pt idx="97">
                  <c:v>324</c:v>
                </c:pt>
                <c:pt idx="98">
                  <c:v>13</c:v>
                </c:pt>
                <c:pt idx="99">
                  <c:v>243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0-4A21-A867-E68C4B86A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47781792"/>
        <c:axId val="847782208"/>
      </c:barChart>
      <c:catAx>
        <c:axId val="84778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7782208"/>
        <c:crosses val="autoZero"/>
        <c:auto val="1"/>
        <c:lblAlgn val="ctr"/>
        <c:lblOffset val="100"/>
        <c:noMultiLvlLbl val="0"/>
      </c:catAx>
      <c:valAx>
        <c:axId val="8477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778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[Gestion Matériel oct-2021.xlsx]Feuil1!Tableau croisé dynamique7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sq">
            <a:solidFill>
              <a:schemeClr val="accent1"/>
            </a:solidFill>
            <a:bevel/>
            <a:headEnd type="oval"/>
            <a:tailEnd type="stealth"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sq">
            <a:solidFill>
              <a:schemeClr val="accent1"/>
            </a:solidFill>
            <a:bevel/>
            <a:headEnd type="oval"/>
            <a:tailEnd type="stealth"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>
            <c:manualLayout>
              <c:x val="-5.0925337632079971E-17"/>
              <c:y val="-0.1904761904761905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sq">
            <a:solidFill>
              <a:schemeClr val="accent1"/>
            </a:solidFill>
            <a:bevel/>
            <a:headEnd type="oval"/>
            <a:tailEnd type="stealth"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>
            <c:manualLayout>
              <c:x val="4.1666666666666664E-2"/>
              <c:y val="7.79220779220778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sq">
            <a:solidFill>
              <a:schemeClr val="accent1"/>
            </a:solidFill>
            <a:bevel/>
            <a:headEnd type="oval"/>
            <a:tailEnd type="stealth"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>
            <c:manualLayout>
              <c:x val="2.5000000000000001E-2"/>
              <c:y val="0.1385281385281385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2225" cap="sq">
            <a:solidFill>
              <a:schemeClr val="accent1"/>
            </a:solidFill>
            <a:bevel/>
            <a:headEnd type="oval"/>
            <a:tailEnd type="stealth"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>
            <c:manualLayout>
              <c:x val="-2.5000000000000001E-2"/>
              <c:y val="-0.129870129870129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2225" cap="sq">
            <a:solidFill>
              <a:schemeClr val="accent1"/>
            </a:solidFill>
            <a:bevel/>
            <a:headEnd type="oval"/>
            <a:tailEnd type="stealth"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</c:pivotFmt>
      <c:pivotFmt>
        <c:idx val="8"/>
        <c:spPr>
          <a:ln w="22225" cap="sq">
            <a:solidFill>
              <a:schemeClr val="accent1"/>
            </a:solidFill>
            <a:bevel/>
            <a:headEnd type="oval"/>
            <a:tailEnd type="stealth"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</c:pivotFmt>
      <c:pivotFmt>
        <c:idx val="9"/>
        <c:spPr>
          <a:ln w="22225" cap="sq">
            <a:solidFill>
              <a:schemeClr val="accent1"/>
            </a:solidFill>
            <a:bevel/>
            <a:headEnd type="oval"/>
            <a:tailEnd type="stealth"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</c:pivotFmt>
      <c:pivotFmt>
        <c:idx val="10"/>
        <c:spPr>
          <a:ln w="22225" cap="sq">
            <a:solidFill>
              <a:schemeClr val="accent1"/>
            </a:solidFill>
            <a:bevel/>
            <a:headEnd type="oval"/>
            <a:tailEnd type="stealth"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</c:pivotFmt>
      <c:pivotFmt>
        <c:idx val="11"/>
        <c:spPr>
          <a:ln w="22225" cap="sq">
            <a:solidFill>
              <a:schemeClr val="accent1"/>
            </a:solidFill>
            <a:bevel/>
            <a:headEnd type="oval"/>
            <a:tailEnd type="stealth"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9252602799650043"/>
          <c:y val="9.5238095238095233E-2"/>
          <c:w val="0.77969619422572178"/>
          <c:h val="0.70391110202133822"/>
        </c:manualLayout>
      </c:layout>
      <c:lineChart>
        <c:grouping val="standard"/>
        <c:varyColors val="0"/>
        <c:ser>
          <c:idx val="0"/>
          <c:order val="0"/>
          <c:tx>
            <c:strRef>
              <c:f>Feuil1!$AO$3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sq">
              <a:solidFill>
                <a:schemeClr val="accent1"/>
              </a:solidFill>
              <a:bevel/>
              <a:headEnd type="oval"/>
              <a:tailEnd type="stealth"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chemeClr val="lt1"/>
                </a:solidFill>
                <a:ln w="1587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sq">
                <a:solidFill>
                  <a:schemeClr val="accent1"/>
                </a:solidFill>
                <a:bevel/>
                <a:headEnd type="oval"/>
                <a:tailEnd type="stealth"/>
              </a:ln>
              <a:effectLst/>
            </c:spPr>
            <c:extLst>
              <c:ext xmlns:c16="http://schemas.microsoft.com/office/drawing/2014/chart" uri="{C3380CC4-5D6E-409C-BE32-E72D297353CC}">
                <c16:uniqueId val="{00000001-00DF-48AC-9B58-E5179C56E729}"/>
              </c:ext>
            </c:extLst>
          </c:dPt>
          <c:dPt>
            <c:idx val="1"/>
            <c:marker>
              <c:symbol val="circle"/>
              <c:size val="6"/>
              <c:spPr>
                <a:solidFill>
                  <a:schemeClr val="lt1"/>
                </a:solidFill>
                <a:ln w="1587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sq">
                <a:solidFill>
                  <a:schemeClr val="accent1"/>
                </a:solidFill>
                <a:bevel/>
                <a:headEnd type="oval"/>
                <a:tailEnd type="stealth"/>
              </a:ln>
              <a:effectLst/>
            </c:spPr>
            <c:extLst>
              <c:ext xmlns:c16="http://schemas.microsoft.com/office/drawing/2014/chart" uri="{C3380CC4-5D6E-409C-BE32-E72D297353CC}">
                <c16:uniqueId val="{00000002-7BBA-4F4F-8587-93CBB028ACC9}"/>
              </c:ext>
            </c:extLst>
          </c:dPt>
          <c:dPt>
            <c:idx val="2"/>
            <c:marker>
              <c:symbol val="circle"/>
              <c:size val="6"/>
              <c:spPr>
                <a:solidFill>
                  <a:schemeClr val="lt1"/>
                </a:solidFill>
                <a:ln w="1587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sq">
                <a:solidFill>
                  <a:schemeClr val="accent1"/>
                </a:solidFill>
                <a:bevel/>
                <a:headEnd type="oval"/>
                <a:tailEnd type="stealth"/>
              </a:ln>
              <a:effectLst/>
            </c:spPr>
            <c:extLst>
              <c:ext xmlns:c16="http://schemas.microsoft.com/office/drawing/2014/chart" uri="{C3380CC4-5D6E-409C-BE32-E72D297353CC}">
                <c16:uniqueId val="{00000003-7BBA-4F4F-8587-93CBB028ACC9}"/>
              </c:ext>
            </c:extLst>
          </c:dPt>
          <c:dPt>
            <c:idx val="3"/>
            <c:marker>
              <c:symbol val="circle"/>
              <c:size val="6"/>
              <c:spPr>
                <a:solidFill>
                  <a:schemeClr val="lt1"/>
                </a:solidFill>
                <a:ln w="1587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sq">
                <a:solidFill>
                  <a:schemeClr val="accent1"/>
                </a:solidFill>
                <a:bevel/>
                <a:headEnd type="oval"/>
                <a:tailEnd type="stealth"/>
              </a:ln>
              <a:effectLst/>
            </c:spPr>
            <c:extLst>
              <c:ext xmlns:c16="http://schemas.microsoft.com/office/drawing/2014/chart" uri="{C3380CC4-5D6E-409C-BE32-E72D297353CC}">
                <c16:uniqueId val="{00000004-7BBA-4F4F-8587-93CBB028ACC9}"/>
              </c:ext>
            </c:extLst>
          </c:dPt>
          <c:dPt>
            <c:idx val="4"/>
            <c:marker>
              <c:symbol val="circle"/>
              <c:size val="6"/>
              <c:spPr>
                <a:solidFill>
                  <a:schemeClr val="lt1"/>
                </a:solidFill>
                <a:ln w="1587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sq">
                <a:solidFill>
                  <a:schemeClr val="accent1"/>
                </a:solidFill>
                <a:bevel/>
                <a:headEnd type="oval"/>
                <a:tailEnd type="stealth"/>
              </a:ln>
              <a:effectLst/>
            </c:spPr>
            <c:extLst>
              <c:ext xmlns:c16="http://schemas.microsoft.com/office/drawing/2014/chart" uri="{C3380CC4-5D6E-409C-BE32-E72D297353CC}">
                <c16:uniqueId val="{00000005-7BBA-4F4F-8587-93CBB028ACC9}"/>
              </c:ext>
            </c:extLst>
          </c:dPt>
          <c:dPt>
            <c:idx val="5"/>
            <c:marker>
              <c:symbol val="circle"/>
              <c:size val="6"/>
              <c:spPr>
                <a:solidFill>
                  <a:schemeClr val="lt1"/>
                </a:solidFill>
                <a:ln w="1587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sq">
                <a:solidFill>
                  <a:schemeClr val="accent1"/>
                </a:solidFill>
                <a:bevel/>
                <a:headEnd type="oval"/>
                <a:tailEnd type="stealth"/>
              </a:ln>
              <a:effectLst/>
            </c:spPr>
            <c:extLst>
              <c:ext xmlns:c16="http://schemas.microsoft.com/office/drawing/2014/chart" uri="{C3380CC4-5D6E-409C-BE32-E72D297353CC}">
                <c16:uniqueId val="{0000000A-E5A3-473E-BD57-D4655F55A68C}"/>
              </c:ext>
            </c:extLst>
          </c:dPt>
          <c:dPt>
            <c:idx val="6"/>
            <c:marker>
              <c:symbol val="circle"/>
              <c:size val="6"/>
              <c:spPr>
                <a:solidFill>
                  <a:schemeClr val="lt1"/>
                </a:solidFill>
                <a:ln w="1587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sq">
                <a:solidFill>
                  <a:schemeClr val="accent1"/>
                </a:solidFill>
                <a:bevel/>
                <a:headEnd type="oval"/>
                <a:tailEnd type="stealth"/>
              </a:ln>
              <a:effectLst/>
            </c:spPr>
            <c:extLst>
              <c:ext xmlns:c16="http://schemas.microsoft.com/office/drawing/2014/chart" uri="{C3380CC4-5D6E-409C-BE32-E72D297353CC}">
                <c16:uniqueId val="{0000000C-E6AD-47C9-8916-038FA1683FA3}"/>
              </c:ext>
            </c:extLst>
          </c:dPt>
          <c:dPt>
            <c:idx val="7"/>
            <c:marker>
              <c:symbol val="circle"/>
              <c:size val="6"/>
              <c:spPr>
                <a:solidFill>
                  <a:schemeClr val="lt1"/>
                </a:solidFill>
                <a:ln w="1587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sq">
                <a:solidFill>
                  <a:schemeClr val="accent1"/>
                </a:solidFill>
                <a:bevel/>
                <a:headEnd type="oval"/>
                <a:tailEnd type="stealt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E6AD-47C9-8916-038FA1683FA3}"/>
              </c:ext>
            </c:extLst>
          </c:dPt>
          <c:dPt>
            <c:idx val="8"/>
            <c:marker>
              <c:symbol val="circle"/>
              <c:size val="6"/>
              <c:spPr>
                <a:solidFill>
                  <a:schemeClr val="lt1"/>
                </a:solidFill>
                <a:ln w="1587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sq">
                <a:solidFill>
                  <a:schemeClr val="accent1"/>
                </a:solidFill>
                <a:bevel/>
                <a:headEnd type="oval"/>
                <a:tailEnd type="stealth"/>
              </a:ln>
              <a:effectLst/>
            </c:spPr>
            <c:extLst>
              <c:ext xmlns:c16="http://schemas.microsoft.com/office/drawing/2014/chart" uri="{C3380CC4-5D6E-409C-BE32-E72D297353CC}">
                <c16:uniqueId val="{0000000E-E6AD-47C9-8916-038FA1683FA3}"/>
              </c:ext>
            </c:extLst>
          </c:dPt>
          <c:dLbls>
            <c:dLbl>
              <c:idx val="1"/>
              <c:layout>
                <c:manualLayout>
                  <c:x val="-5.0925337632079971E-17"/>
                  <c:y val="-0.190476190476190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BBA-4F4F-8587-93CBB028ACC9}"/>
                </c:ext>
              </c:extLst>
            </c:dLbl>
            <c:dLbl>
              <c:idx val="2"/>
              <c:layout>
                <c:manualLayout>
                  <c:x val="4.1666666666666664E-2"/>
                  <c:y val="7.79220779220778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BA-4F4F-8587-93CBB028ACC9}"/>
                </c:ext>
              </c:extLst>
            </c:dLbl>
            <c:dLbl>
              <c:idx val="3"/>
              <c:layout>
                <c:manualLayout>
                  <c:x val="2.5000000000000001E-2"/>
                  <c:y val="0.138528138528138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BBA-4F4F-8587-93CBB028ACC9}"/>
                </c:ext>
              </c:extLst>
            </c:dLbl>
            <c:dLbl>
              <c:idx val="4"/>
              <c:layout>
                <c:manualLayout>
                  <c:x val="-2.5000000000000001E-2"/>
                  <c:y val="-0.129870129870129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BBA-4F4F-8587-93CBB028AC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Feuil1!$AN$4:$AN$14</c:f>
              <c:strCache>
                <c:ptCount val="10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</c:strCache>
            </c:strRef>
          </c:cat>
          <c:val>
            <c:numRef>
              <c:f>Feuil1!$AO$4:$AO$14</c:f>
              <c:numCache>
                <c:formatCode>_-* #\ ##0.00\ _€_-;\-* #\ ##0.00\ _€_-;_-* "-"??\ _€_-;_-@_-</c:formatCode>
                <c:ptCount val="10"/>
                <c:pt idx="0">
                  <c:v>39727.345555555345</c:v>
                </c:pt>
                <c:pt idx="1">
                  <c:v>642673.66666666628</c:v>
                </c:pt>
                <c:pt idx="2">
                  <c:v>626178.31999999995</c:v>
                </c:pt>
                <c:pt idx="3">
                  <c:v>1573126.1500000004</c:v>
                </c:pt>
                <c:pt idx="4">
                  <c:v>1915152.21</c:v>
                </c:pt>
                <c:pt idx="5">
                  <c:v>1698739.7699999998</c:v>
                </c:pt>
                <c:pt idx="6">
                  <c:v>1075217.9200000002</c:v>
                </c:pt>
                <c:pt idx="7">
                  <c:v>1981939.57</c:v>
                </c:pt>
                <c:pt idx="8">
                  <c:v>1720619.5199999996</c:v>
                </c:pt>
                <c:pt idx="9">
                  <c:v>1342815.04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BBA-4F4F-8587-93CBB028A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482720"/>
        <c:axId val="1319497696"/>
      </c:lineChart>
      <c:catAx>
        <c:axId val="131948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9497696"/>
        <c:crosses val="autoZero"/>
        <c:auto val="1"/>
        <c:lblAlgn val="ctr"/>
        <c:lblOffset val="100"/>
        <c:noMultiLvlLbl val="0"/>
      </c:catAx>
      <c:valAx>
        <c:axId val="131949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_-* #\ ##0.00\ _€_-;\-* #\ 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94827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172922</xdr:rowOff>
    </xdr:from>
    <xdr:to>
      <xdr:col>2</xdr:col>
      <xdr:colOff>755925</xdr:colOff>
      <xdr:row>8</xdr:row>
      <xdr:rowOff>13397</xdr:rowOff>
    </xdr:to>
    <xdr:sp macro="" textlink="">
      <xdr:nvSpPr>
        <xdr:cNvPr id="4" name="Rectangle à coins arrondis 3">
          <a:extLst>
            <a:ext uri="{FF2B5EF4-FFF2-40B4-BE49-F238E27FC236}">
              <a16:creationId xmlns:a16="http://schemas.microsoft.com/office/drawing/2014/main" id="{6FD00C73-40A4-47C9-BB7A-B33510589781}"/>
            </a:ext>
          </a:extLst>
        </xdr:cNvPr>
        <xdr:cNvSpPr/>
      </xdr:nvSpPr>
      <xdr:spPr>
        <a:xfrm>
          <a:off x="104775" y="934922"/>
          <a:ext cx="1508400" cy="621525"/>
        </a:xfrm>
        <a:prstGeom prst="roundRect">
          <a:avLst/>
        </a:prstGeom>
        <a:noFill/>
        <a:ln cmpd="dbl">
          <a:prstDash val="sysDash"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58073</xdr:colOff>
      <xdr:row>3</xdr:row>
      <xdr:rowOff>161924</xdr:rowOff>
    </xdr:from>
    <xdr:to>
      <xdr:col>3</xdr:col>
      <xdr:colOff>22823</xdr:colOff>
      <xdr:row>6</xdr:row>
      <xdr:rowOff>8919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11D5DB1-1AD9-4536-8AD1-6168F5F4143B}"/>
            </a:ext>
          </a:extLst>
        </xdr:cNvPr>
        <xdr:cNvSpPr/>
      </xdr:nvSpPr>
      <xdr:spPr>
        <a:xfrm>
          <a:off x="58073" y="647699"/>
          <a:ext cx="1584000" cy="332770"/>
        </a:xfrm>
        <a:prstGeom prst="rect">
          <a:avLst/>
        </a:prstGeom>
        <a:ln cmpd="dbl">
          <a:solidFill>
            <a:schemeClr val="accent3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3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fr-FR" sz="1600">
              <a:solidFill>
                <a:schemeClr val="lt1"/>
              </a:solidFill>
              <a:latin typeface="+mn-lt"/>
              <a:ea typeface="+mn-ea"/>
              <a:cs typeface="+mn-cs"/>
            </a:rPr>
            <a:t>Gasoil</a:t>
          </a:r>
        </a:p>
      </xdr:txBody>
    </xdr:sp>
    <xdr:clientData/>
  </xdr:twoCellAnchor>
  <xdr:twoCellAnchor>
    <xdr:from>
      <xdr:col>7</xdr:col>
      <xdr:colOff>7845</xdr:colOff>
      <xdr:row>4</xdr:row>
      <xdr:rowOff>163396</xdr:rowOff>
    </xdr:from>
    <xdr:to>
      <xdr:col>8</xdr:col>
      <xdr:colOff>754245</xdr:colOff>
      <xdr:row>8</xdr:row>
      <xdr:rowOff>5146</xdr:rowOff>
    </xdr:to>
    <xdr:sp macro="" textlink="">
      <xdr:nvSpPr>
        <xdr:cNvPr id="6" name="Rectangle à coins arrondis 5">
          <a:extLst>
            <a:ext uri="{FF2B5EF4-FFF2-40B4-BE49-F238E27FC236}">
              <a16:creationId xmlns:a16="http://schemas.microsoft.com/office/drawing/2014/main" id="{F9D6F961-1556-4CB0-94A6-0FDE0DE56480}"/>
            </a:ext>
          </a:extLst>
        </xdr:cNvPr>
        <xdr:cNvSpPr/>
      </xdr:nvSpPr>
      <xdr:spPr>
        <a:xfrm>
          <a:off x="3913095" y="925396"/>
          <a:ext cx="1508400" cy="622800"/>
        </a:xfrm>
        <a:prstGeom prst="roundRect">
          <a:avLst/>
        </a:prstGeom>
        <a:noFill/>
        <a:ln cmpd="dbl">
          <a:prstDash val="sysDash"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6</xdr:col>
      <xdr:colOff>191053</xdr:colOff>
      <xdr:row>3</xdr:row>
      <xdr:rowOff>161924</xdr:rowOff>
    </xdr:from>
    <xdr:to>
      <xdr:col>9</xdr:col>
      <xdr:colOff>12928</xdr:colOff>
      <xdr:row>6</xdr:row>
      <xdr:rowOff>8919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4FBE6394-1F94-4B73-B931-775FCFB83BE4}"/>
            </a:ext>
          </a:extLst>
        </xdr:cNvPr>
        <xdr:cNvSpPr/>
      </xdr:nvSpPr>
      <xdr:spPr>
        <a:xfrm>
          <a:off x="3543853" y="647699"/>
          <a:ext cx="1555425" cy="332770"/>
        </a:xfrm>
        <a:prstGeom prst="rect">
          <a:avLst/>
        </a:prstGeom>
        <a:ln cmpd="dbl">
          <a:solidFill>
            <a:schemeClr val="accent3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3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fr-FR" sz="1600">
              <a:solidFill>
                <a:schemeClr val="lt1"/>
              </a:solidFill>
              <a:latin typeface="+mn-lt"/>
              <a:ea typeface="+mn-ea"/>
              <a:cs typeface="+mn-cs"/>
            </a:rPr>
            <a:t>Huile</a:t>
          </a:r>
          <a:r>
            <a:rPr lang="fr-FR" sz="1600" baseline="0">
              <a:solidFill>
                <a:schemeClr val="lt1"/>
              </a:solidFill>
              <a:latin typeface="+mn-lt"/>
              <a:ea typeface="+mn-ea"/>
              <a:cs typeface="+mn-cs"/>
            </a:rPr>
            <a:t> 10</a:t>
          </a:r>
        </a:p>
      </xdr:txBody>
    </xdr:sp>
    <xdr:clientData/>
  </xdr:twoCellAnchor>
  <xdr:twoCellAnchor>
    <xdr:from>
      <xdr:col>10</xdr:col>
      <xdr:colOff>7005</xdr:colOff>
      <xdr:row>4</xdr:row>
      <xdr:rowOff>163396</xdr:rowOff>
    </xdr:from>
    <xdr:to>
      <xdr:col>11</xdr:col>
      <xdr:colOff>753405</xdr:colOff>
      <xdr:row>8</xdr:row>
      <xdr:rowOff>5146</xdr:rowOff>
    </xdr:to>
    <xdr:sp macro="" textlink="">
      <xdr:nvSpPr>
        <xdr:cNvPr id="8" name="Rectangle à coins arrondis 7">
          <a:extLst>
            <a:ext uri="{FF2B5EF4-FFF2-40B4-BE49-F238E27FC236}">
              <a16:creationId xmlns:a16="http://schemas.microsoft.com/office/drawing/2014/main" id="{F8DE4782-0F22-49BC-A20C-3C5C67B797DE}"/>
            </a:ext>
          </a:extLst>
        </xdr:cNvPr>
        <xdr:cNvSpPr/>
      </xdr:nvSpPr>
      <xdr:spPr>
        <a:xfrm>
          <a:off x="5817255" y="925396"/>
          <a:ext cx="1508400" cy="622800"/>
        </a:xfrm>
        <a:prstGeom prst="roundRect">
          <a:avLst/>
        </a:prstGeom>
        <a:noFill/>
        <a:ln cmpd="dbl">
          <a:prstDash val="sysDash"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10</xdr:col>
      <xdr:colOff>368</xdr:colOff>
      <xdr:row>3</xdr:row>
      <xdr:rowOff>161924</xdr:rowOff>
    </xdr:from>
    <xdr:to>
      <xdr:col>12</xdr:col>
      <xdr:colOff>31793</xdr:colOff>
      <xdr:row>6</xdr:row>
      <xdr:rowOff>8919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13F33276-30FD-41FE-ABA7-25FA1DA058D0}"/>
            </a:ext>
          </a:extLst>
        </xdr:cNvPr>
        <xdr:cNvSpPr/>
      </xdr:nvSpPr>
      <xdr:spPr>
        <a:xfrm>
          <a:off x="5296268" y="647699"/>
          <a:ext cx="1555425" cy="332770"/>
        </a:xfrm>
        <a:prstGeom prst="rect">
          <a:avLst/>
        </a:prstGeom>
        <a:ln cmpd="dbl">
          <a:solidFill>
            <a:schemeClr val="accent3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3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600">
              <a:solidFill>
                <a:schemeClr val="lt1"/>
              </a:solidFill>
              <a:latin typeface="+mn-lt"/>
              <a:ea typeface="+mn-ea"/>
              <a:cs typeface="+mn-cs"/>
            </a:rPr>
            <a:t>Graisse</a:t>
          </a:r>
        </a:p>
      </xdr:txBody>
    </xdr:sp>
    <xdr:clientData/>
  </xdr:twoCellAnchor>
  <xdr:twoCellAnchor>
    <xdr:from>
      <xdr:col>4</xdr:col>
      <xdr:colOff>8685</xdr:colOff>
      <xdr:row>4</xdr:row>
      <xdr:rowOff>163397</xdr:rowOff>
    </xdr:from>
    <xdr:to>
      <xdr:col>5</xdr:col>
      <xdr:colOff>755085</xdr:colOff>
      <xdr:row>8</xdr:row>
      <xdr:rowOff>5147</xdr:rowOff>
    </xdr:to>
    <xdr:sp macro="" textlink="">
      <xdr:nvSpPr>
        <xdr:cNvPr id="10" name="Rectangle à coins arrondis 9">
          <a:extLst>
            <a:ext uri="{FF2B5EF4-FFF2-40B4-BE49-F238E27FC236}">
              <a16:creationId xmlns:a16="http://schemas.microsoft.com/office/drawing/2014/main" id="{ECD0D917-2194-44FF-9949-E6BBA986A2BE}"/>
            </a:ext>
          </a:extLst>
        </xdr:cNvPr>
        <xdr:cNvSpPr/>
      </xdr:nvSpPr>
      <xdr:spPr>
        <a:xfrm>
          <a:off x="2008935" y="925397"/>
          <a:ext cx="1508400" cy="622800"/>
        </a:xfrm>
        <a:prstGeom prst="roundRect">
          <a:avLst/>
        </a:prstGeom>
        <a:noFill/>
        <a:ln cmpd="dbl">
          <a:prstDash val="sysDash"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738</xdr:colOff>
      <xdr:row>4</xdr:row>
      <xdr:rowOff>19049</xdr:rowOff>
    </xdr:from>
    <xdr:to>
      <xdr:col>6</xdr:col>
      <xdr:colOff>32163</xdr:colOff>
      <xdr:row>6</xdr:row>
      <xdr:rowOff>27969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AE0398D7-A311-40B9-91A6-AEF341819484}"/>
            </a:ext>
          </a:extLst>
        </xdr:cNvPr>
        <xdr:cNvSpPr/>
      </xdr:nvSpPr>
      <xdr:spPr>
        <a:xfrm>
          <a:off x="1829538" y="666749"/>
          <a:ext cx="1555425" cy="332770"/>
        </a:xfrm>
        <a:prstGeom prst="rect">
          <a:avLst/>
        </a:prstGeom>
        <a:ln cmpd="dbl">
          <a:solidFill>
            <a:schemeClr val="accent3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3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fr-FR" sz="1600">
              <a:solidFill>
                <a:schemeClr val="lt1"/>
              </a:solidFill>
              <a:latin typeface="+mn-lt"/>
              <a:ea typeface="+mn-ea"/>
              <a:cs typeface="+mn-cs"/>
            </a:rPr>
            <a:t>Huile</a:t>
          </a:r>
          <a:r>
            <a:rPr lang="fr-FR" sz="1600" baseline="0">
              <a:solidFill>
                <a:schemeClr val="lt1"/>
              </a:solidFill>
              <a:latin typeface="+mn-lt"/>
              <a:ea typeface="+mn-ea"/>
              <a:cs typeface="+mn-cs"/>
            </a:rPr>
            <a:t> 15/40</a:t>
          </a:r>
        </a:p>
      </xdr:txBody>
    </xdr:sp>
    <xdr:clientData/>
  </xdr:twoCellAnchor>
  <xdr:twoCellAnchor>
    <xdr:from>
      <xdr:col>4</xdr:col>
      <xdr:colOff>466724</xdr:colOff>
      <xdr:row>0</xdr:row>
      <xdr:rowOff>57150</xdr:rowOff>
    </xdr:from>
    <xdr:to>
      <xdr:col>18</xdr:col>
      <xdr:colOff>57149</xdr:colOff>
      <xdr:row>3</xdr:row>
      <xdr:rowOff>85725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305E1048-B9A0-434F-977E-0FA20DB38753}"/>
            </a:ext>
          </a:extLst>
        </xdr:cNvPr>
        <xdr:cNvSpPr/>
      </xdr:nvSpPr>
      <xdr:spPr>
        <a:xfrm>
          <a:off x="2295524" y="57150"/>
          <a:ext cx="8048625" cy="514350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3200">
              <a:solidFill>
                <a:schemeClr val="lt1"/>
              </a:solidFill>
              <a:latin typeface="+mn-lt"/>
              <a:ea typeface="+mn-ea"/>
              <a:cs typeface="+mn-cs"/>
            </a:rPr>
            <a:t>LES DEPENSES MATERIELS SOGTO</a:t>
          </a:r>
        </a:p>
        <a:p>
          <a:pPr algn="ctr"/>
          <a:endParaRPr lang="fr-FR" sz="800"/>
        </a:p>
      </xdr:txBody>
    </xdr:sp>
    <xdr:clientData/>
  </xdr:twoCellAnchor>
  <xdr:twoCellAnchor editAs="oneCell">
    <xdr:from>
      <xdr:col>1</xdr:col>
      <xdr:colOff>47624</xdr:colOff>
      <xdr:row>0</xdr:row>
      <xdr:rowOff>77558</xdr:rowOff>
    </xdr:from>
    <xdr:to>
      <xdr:col>4</xdr:col>
      <xdr:colOff>310242</xdr:colOff>
      <xdr:row>3</xdr:row>
      <xdr:rowOff>76200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112174D9-3DC2-4676-820B-429B41C2ADF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4" y="77558"/>
          <a:ext cx="1996168" cy="484417"/>
        </a:xfrm>
        <a:prstGeom prst="rect">
          <a:avLst/>
        </a:prstGeom>
      </xdr:spPr>
    </xdr:pic>
    <xdr:clientData/>
  </xdr:twoCellAnchor>
  <xdr:twoCellAnchor>
    <xdr:from>
      <xdr:col>27</xdr:col>
      <xdr:colOff>71987</xdr:colOff>
      <xdr:row>1</xdr:row>
      <xdr:rowOff>122937</xdr:rowOff>
    </xdr:from>
    <xdr:to>
      <xdr:col>29</xdr:col>
      <xdr:colOff>691111</xdr:colOff>
      <xdr:row>8</xdr:row>
      <xdr:rowOff>13397</xdr:rowOff>
    </xdr:to>
    <xdr:sp macro="" textlink="">
      <xdr:nvSpPr>
        <xdr:cNvPr id="14" name="Rectangle à coins arrondis 13">
          <a:extLst>
            <a:ext uri="{FF2B5EF4-FFF2-40B4-BE49-F238E27FC236}">
              <a16:creationId xmlns:a16="http://schemas.microsoft.com/office/drawing/2014/main" id="{A52CAAD9-E795-491A-AFAF-056329316340}"/>
            </a:ext>
          </a:extLst>
        </xdr:cNvPr>
        <xdr:cNvSpPr/>
      </xdr:nvSpPr>
      <xdr:spPr>
        <a:xfrm>
          <a:off x="15559637" y="284862"/>
          <a:ext cx="2143124" cy="1023935"/>
        </a:xfrm>
        <a:prstGeom prst="roundRect">
          <a:avLst/>
        </a:prstGeom>
        <a:noFill/>
        <a:ln cmpd="dbl">
          <a:prstDash val="sysDash"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27</xdr:col>
      <xdr:colOff>62802</xdr:colOff>
      <xdr:row>0</xdr:row>
      <xdr:rowOff>92868</xdr:rowOff>
    </xdr:from>
    <xdr:to>
      <xdr:col>29</xdr:col>
      <xdr:colOff>706420</xdr:colOff>
      <xdr:row>3</xdr:row>
      <xdr:rowOff>11905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AB9A9F57-43FB-41B6-B441-94F35303EEDE}"/>
            </a:ext>
          </a:extLst>
        </xdr:cNvPr>
        <xdr:cNvSpPr/>
      </xdr:nvSpPr>
      <xdr:spPr>
        <a:xfrm>
          <a:off x="15550452" y="92868"/>
          <a:ext cx="2167618" cy="404812"/>
        </a:xfrm>
        <a:prstGeom prst="rect">
          <a:avLst/>
        </a:prstGeom>
        <a:ln/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2000"/>
            <a:t>Marge</a:t>
          </a:r>
        </a:p>
      </xdr:txBody>
    </xdr:sp>
    <xdr:clientData/>
  </xdr:twoCellAnchor>
  <xdr:twoCellAnchor>
    <xdr:from>
      <xdr:col>23</xdr:col>
      <xdr:colOff>72390</xdr:colOff>
      <xdr:row>1</xdr:row>
      <xdr:rowOff>111033</xdr:rowOff>
    </xdr:from>
    <xdr:to>
      <xdr:col>25</xdr:col>
      <xdr:colOff>705802</xdr:colOff>
      <xdr:row>8</xdr:row>
      <xdr:rowOff>13397</xdr:rowOff>
    </xdr:to>
    <xdr:sp macro="" textlink="">
      <xdr:nvSpPr>
        <xdr:cNvPr id="16" name="Rectangle à coins arrondis 15">
          <a:extLst>
            <a:ext uri="{FF2B5EF4-FFF2-40B4-BE49-F238E27FC236}">
              <a16:creationId xmlns:a16="http://schemas.microsoft.com/office/drawing/2014/main" id="{77C28B24-B582-4C04-9CDB-BB7CAAE1E336}"/>
            </a:ext>
          </a:extLst>
        </xdr:cNvPr>
        <xdr:cNvSpPr/>
      </xdr:nvSpPr>
      <xdr:spPr>
        <a:xfrm>
          <a:off x="13064490" y="272958"/>
          <a:ext cx="2157412" cy="1035839"/>
        </a:xfrm>
        <a:prstGeom prst="roundRect">
          <a:avLst/>
        </a:prstGeom>
        <a:noFill/>
        <a:ln cmpd="dbl">
          <a:prstDash val="sysDash"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19</xdr:col>
      <xdr:colOff>107497</xdr:colOff>
      <xdr:row>1</xdr:row>
      <xdr:rowOff>51505</xdr:rowOff>
    </xdr:from>
    <xdr:to>
      <xdr:col>21</xdr:col>
      <xdr:colOff>664708</xdr:colOff>
      <xdr:row>8</xdr:row>
      <xdr:rowOff>13397</xdr:rowOff>
    </xdr:to>
    <xdr:sp macro="" textlink="">
      <xdr:nvSpPr>
        <xdr:cNvPr id="17" name="Rectangle à coins arrondis 16">
          <a:extLst>
            <a:ext uri="{FF2B5EF4-FFF2-40B4-BE49-F238E27FC236}">
              <a16:creationId xmlns:a16="http://schemas.microsoft.com/office/drawing/2014/main" id="{12C4384B-9C86-42C9-8348-7FE1137FCF83}"/>
            </a:ext>
          </a:extLst>
        </xdr:cNvPr>
        <xdr:cNvSpPr/>
      </xdr:nvSpPr>
      <xdr:spPr>
        <a:xfrm>
          <a:off x="10604047" y="213430"/>
          <a:ext cx="2081211" cy="1095367"/>
        </a:xfrm>
        <a:prstGeom prst="roundRect">
          <a:avLst/>
        </a:prstGeom>
        <a:noFill/>
        <a:ln cmpd="dbl">
          <a:prstDash val="sysDash"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19</xdr:col>
      <xdr:colOff>67229</xdr:colOff>
      <xdr:row>0</xdr:row>
      <xdr:rowOff>57150</xdr:rowOff>
    </xdr:from>
    <xdr:to>
      <xdr:col>21</xdr:col>
      <xdr:colOff>697921</xdr:colOff>
      <xdr:row>3</xdr:row>
      <xdr:rowOff>11905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F6A3BFBF-8D02-4253-A02E-9B54C548B4A7}"/>
            </a:ext>
          </a:extLst>
        </xdr:cNvPr>
        <xdr:cNvSpPr/>
      </xdr:nvSpPr>
      <xdr:spPr>
        <a:xfrm>
          <a:off x="10563779" y="57150"/>
          <a:ext cx="2154692" cy="44053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2000"/>
            <a:t>Charges</a:t>
          </a:r>
        </a:p>
      </xdr:txBody>
    </xdr:sp>
    <xdr:clientData/>
  </xdr:twoCellAnchor>
  <xdr:twoCellAnchor>
    <xdr:from>
      <xdr:col>23</xdr:col>
      <xdr:colOff>77429</xdr:colOff>
      <xdr:row>0</xdr:row>
      <xdr:rowOff>80962</xdr:rowOff>
    </xdr:from>
    <xdr:to>
      <xdr:col>25</xdr:col>
      <xdr:colOff>708121</xdr:colOff>
      <xdr:row>3</xdr:row>
      <xdr:rowOff>11905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C8C5E064-E004-4A8F-9FD2-9B9D21DAAC22}"/>
            </a:ext>
          </a:extLst>
        </xdr:cNvPr>
        <xdr:cNvSpPr/>
      </xdr:nvSpPr>
      <xdr:spPr>
        <a:xfrm>
          <a:off x="13069529" y="80962"/>
          <a:ext cx="2154692" cy="416718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2000"/>
            <a:t>Produits</a:t>
          </a:r>
        </a:p>
      </xdr:txBody>
    </xdr:sp>
    <xdr:clientData/>
  </xdr:twoCellAnchor>
  <xdr:twoCellAnchor>
    <xdr:from>
      <xdr:col>6</xdr:col>
      <xdr:colOff>38100</xdr:colOff>
      <xdr:row>17</xdr:row>
      <xdr:rowOff>66674</xdr:rowOff>
    </xdr:from>
    <xdr:to>
      <xdr:col>24</xdr:col>
      <xdr:colOff>638175</xdr:colOff>
      <xdr:row>36</xdr:row>
      <xdr:rowOff>76200</xdr:rowOff>
    </xdr:to>
    <xdr:graphicFrame macro="">
      <xdr:nvGraphicFramePr>
        <xdr:cNvPr id="38" name="Graphique 37">
          <a:extLst>
            <a:ext uri="{FF2B5EF4-FFF2-40B4-BE49-F238E27FC236}">
              <a16:creationId xmlns:a16="http://schemas.microsoft.com/office/drawing/2014/main" id="{FBC30E3B-891D-4698-86FF-BDA6D28A97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550334</xdr:colOff>
      <xdr:row>8</xdr:row>
      <xdr:rowOff>77258</xdr:rowOff>
    </xdr:from>
    <xdr:to>
      <xdr:col>19</xdr:col>
      <xdr:colOff>84667</xdr:colOff>
      <xdr:row>15</xdr:row>
      <xdr:rowOff>210608</xdr:rowOff>
    </xdr:to>
    <xdr:graphicFrame macro="">
      <xdr:nvGraphicFramePr>
        <xdr:cNvPr id="39" name="Graphique 38">
          <a:extLst>
            <a:ext uri="{FF2B5EF4-FFF2-40B4-BE49-F238E27FC236}">
              <a16:creationId xmlns:a16="http://schemas.microsoft.com/office/drawing/2014/main" id="{519923C5-0487-4306-B0B2-4F97397B8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152400</xdr:colOff>
      <xdr:row>3</xdr:row>
      <xdr:rowOff>142876</xdr:rowOff>
    </xdr:from>
    <xdr:to>
      <xdr:col>18</xdr:col>
      <xdr:colOff>200025</xdr:colOff>
      <xdr:row>7</xdr:row>
      <xdr:rowOff>142876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6" name="Chantier 1">
              <a:extLst>
                <a:ext uri="{FF2B5EF4-FFF2-40B4-BE49-F238E27FC236}">
                  <a16:creationId xmlns:a16="http://schemas.microsoft.com/office/drawing/2014/main" id="{83435BD2-9861-4242-9B47-C1E04A7AB7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antie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72300" y="628651"/>
              <a:ext cx="3514725" cy="647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9526</xdr:colOff>
      <xdr:row>8</xdr:row>
      <xdr:rowOff>66676</xdr:rowOff>
    </xdr:from>
    <xdr:to>
      <xdr:col>4</xdr:col>
      <xdr:colOff>66675</xdr:colOff>
      <xdr:row>15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7" name="Type 1">
              <a:extLst>
                <a:ext uri="{FF2B5EF4-FFF2-40B4-BE49-F238E27FC236}">
                  <a16:creationId xmlns:a16="http://schemas.microsoft.com/office/drawing/2014/main" id="{1C06DE62-521C-4965-A745-60E98583DB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6" y="1362076"/>
              <a:ext cx="1790699" cy="1466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95250</xdr:colOff>
      <xdr:row>8</xdr:row>
      <xdr:rowOff>104776</xdr:rowOff>
    </xdr:from>
    <xdr:to>
      <xdr:col>7</xdr:col>
      <xdr:colOff>508000</xdr:colOff>
      <xdr:row>15</xdr:row>
      <xdr:rowOff>190500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8" name="Code 1">
              <a:extLst>
                <a:ext uri="{FF2B5EF4-FFF2-40B4-BE49-F238E27FC236}">
                  <a16:creationId xmlns:a16="http://schemas.microsoft.com/office/drawing/2014/main" id="{C924E1C2-030C-42FC-8E12-D0A1266897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d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26167" y="1374776"/>
              <a:ext cx="2148416" cy="18213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28</xdr:col>
      <xdr:colOff>211667</xdr:colOff>
      <xdr:row>8</xdr:row>
      <xdr:rowOff>47625</xdr:rowOff>
    </xdr:from>
    <xdr:to>
      <xdr:col>32</xdr:col>
      <xdr:colOff>306917</xdr:colOff>
      <xdr:row>15</xdr:row>
      <xdr:rowOff>209550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9" name="Date 1">
              <a:extLst>
                <a:ext uri="{FF2B5EF4-FFF2-40B4-BE49-F238E27FC236}">
                  <a16:creationId xmlns:a16="http://schemas.microsoft.com/office/drawing/2014/main" id="{FFF2800F-AA0F-4984-882C-84CBAFE8E8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20850" y="1343025"/>
              <a:ext cx="3333750" cy="1457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  <xdr:twoCellAnchor>
    <xdr:from>
      <xdr:col>6</xdr:col>
      <xdr:colOff>19050</xdr:colOff>
      <xdr:row>39</xdr:row>
      <xdr:rowOff>47625</xdr:rowOff>
    </xdr:from>
    <xdr:to>
      <xdr:col>24</xdr:col>
      <xdr:colOff>647699</xdr:colOff>
      <xdr:row>58</xdr:row>
      <xdr:rowOff>76200</xdr:rowOff>
    </xdr:to>
    <xdr:graphicFrame macro="">
      <xdr:nvGraphicFramePr>
        <xdr:cNvPr id="50" name="Graphique 49">
          <a:extLst>
            <a:ext uri="{FF2B5EF4-FFF2-40B4-BE49-F238E27FC236}">
              <a16:creationId xmlns:a16="http://schemas.microsoft.com/office/drawing/2014/main" id="{53512174-5FEF-4E66-99AB-E5645F57B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152400</xdr:colOff>
      <xdr:row>8</xdr:row>
      <xdr:rowOff>44450</xdr:rowOff>
    </xdr:from>
    <xdr:to>
      <xdr:col>28</xdr:col>
      <xdr:colOff>116417</xdr:colOff>
      <xdr:row>15</xdr:row>
      <xdr:rowOff>168275</xdr:rowOff>
    </xdr:to>
    <xdr:graphicFrame macro="">
      <xdr:nvGraphicFramePr>
        <xdr:cNvPr id="51" name="Graphique 50">
          <a:extLst>
            <a:ext uri="{FF2B5EF4-FFF2-40B4-BE49-F238E27FC236}">
              <a16:creationId xmlns:a16="http://schemas.microsoft.com/office/drawing/2014/main" id="{666820E7-1CDB-44FD-ADD6-2CA2805BD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348552</xdr:colOff>
      <xdr:row>8</xdr:row>
      <xdr:rowOff>35719</xdr:rowOff>
    </xdr:from>
    <xdr:to>
      <xdr:col>22</xdr:col>
      <xdr:colOff>133350</xdr:colOff>
      <xdr:row>9</xdr:row>
      <xdr:rowOff>19051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72D62626-4626-432E-A6D2-E7A1AF798C92}"/>
            </a:ext>
          </a:extLst>
        </xdr:cNvPr>
        <xdr:cNvSpPr/>
      </xdr:nvSpPr>
      <xdr:spPr>
        <a:xfrm>
          <a:off x="11607102" y="1331119"/>
          <a:ext cx="1308798" cy="173832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600">
              <a:solidFill>
                <a:schemeClr val="tx1"/>
              </a:solidFill>
            </a:rPr>
            <a:t>Recette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ssa CHOUKRANI" refreshedDate="44505.759204166665" createdVersion="6" refreshedVersion="6" minRefreshableVersion="3" recordCount="843" xr:uid="{108A5B23-0FD0-4C8A-AA16-91DDDEE7FFF4}">
  <cacheSource type="worksheet">
    <worksheetSource name="Tableau1"/>
  </cacheSource>
  <cacheFields count="16">
    <cacheField name="Date" numFmtId="14">
      <sharedItems containsSemiMixedTypes="0" containsNonDate="0" containsDate="1" containsString="0" minDate="2021-01-31T00:00:00" maxDate="2021-11-01T00:00:00" count="10">
        <d v="2021-01-31T00:00:00"/>
        <d v="2021-02-28T00:00:00"/>
        <d v="2021-03-31T00:00:00"/>
        <d v="2021-04-30T00:00:00"/>
        <d v="2021-05-31T00:00:00"/>
        <d v="2021-06-30T00:00:00"/>
        <d v="2021-07-31T00:00:00"/>
        <d v="2021-08-31T00:00:00"/>
        <d v="2021-09-30T00:00:00"/>
        <d v="2021-10-31T00:00:00"/>
      </sharedItems>
      <fieldGroup par="15" base="0">
        <rangePr groupBy="days" startDate="2021-01-31T00:00:00" endDate="2021-11-01T00:00:00"/>
        <groupItems count="368">
          <s v="&lt;31/01/2021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01/11/2021"/>
        </groupItems>
      </fieldGroup>
    </cacheField>
    <cacheField name="Chantier" numFmtId="0">
      <sharedItems containsBlank="1" count="19">
        <s v="CHR004"/>
        <s v="CHR007"/>
        <s v="Conc_CHR004"/>
        <s v="CHR005"/>
        <s v="CHR008"/>
        <s v="CHR010"/>
        <s v="CHR009"/>
        <s v="Conc_CHR008"/>
        <m/>
        <s v="CONC_CHR009"/>
        <s v="CONC_CHR010"/>
        <s v="CHR012"/>
        <s v="ADMI"/>
        <s v="CONC CHR009"/>
        <s v="CONC CHR010"/>
        <s v="GM"/>
        <s v="ADM01"/>
        <s v="MACHINE_FLEXIBLE_1"/>
        <s v="CHR002" u="1"/>
      </sharedItems>
    </cacheField>
    <cacheField name="Type" numFmtId="0">
      <sharedItems containsBlank="1" count="16">
        <s v="Autre"/>
        <s v="Compacteur"/>
        <s v="Camion"/>
        <s v="Chargeur"/>
        <s v="Concasseur"/>
        <s v="Crible"/>
        <s v="Bull"/>
        <s v="Niveleuse"/>
        <s v="Pelle"/>
        <s v="Pickup"/>
        <s v="Tractopelle"/>
        <s v="Transport"/>
        <s v="Voiture"/>
        <m/>
        <s v="" u="1"/>
        <s v="Pickup  " u="1"/>
      </sharedItems>
    </cacheField>
    <cacheField name="Code" numFmtId="0">
      <sharedItems containsBlank="1" count="109">
        <s v="AU001"/>
        <s v="C001"/>
        <s v="C002"/>
        <s v="C003"/>
        <s v="C004"/>
        <s v="CA001"/>
        <s v="CA002"/>
        <s v="CA003"/>
        <s v="CA004"/>
        <s v="CA005"/>
        <s v="CA006"/>
        <s v="CA007"/>
        <s v="CA008"/>
        <s v="CA009"/>
        <s v="CA010"/>
        <s v="CA011"/>
        <s v="CB001"/>
        <s v="CH001"/>
        <s v="CH002"/>
        <s v="CONC001"/>
        <s v="CR001"/>
        <s v="CRI001"/>
        <s v="D8"/>
        <s v="N003"/>
        <s v="N004"/>
        <s v="P001"/>
        <s v="P002"/>
        <s v="P004"/>
        <s v="P005"/>
        <s v="P006"/>
        <s v="P007"/>
        <s v="P008"/>
        <s v="P009"/>
        <s v="PICK001"/>
        <s v="PICK002"/>
        <s v="PICK003"/>
        <s v="PICK004"/>
        <s v="PICK005"/>
        <s v="TR001"/>
        <s v="TR002"/>
        <s v="TRP001"/>
        <s v="CH003"/>
        <s v="N001"/>
        <s v="TR003"/>
        <s v="TRP002"/>
        <s v="N005"/>
        <s v="OUT0001"/>
        <s v="OUT0003"/>
        <s v="OUT0004"/>
        <s v="OUT0006"/>
        <s v="OUT0007"/>
        <s v="OUT0009"/>
        <s v="OUT0010"/>
        <s v="VL001"/>
        <s v="VL002"/>
        <s v="VL004"/>
        <s v="VL006"/>
        <s v="VL007"/>
        <s v="VL008"/>
        <s v="VL009"/>
        <s v="VL010"/>
        <s v="VL011"/>
        <s v="VL012"/>
        <s v="VL013"/>
        <s v="VL014"/>
        <s v="VL015"/>
        <s v="CH004"/>
        <s v="CONC002"/>
        <s v="OUT0002"/>
        <s v="OUT0005"/>
        <s v="OUT0011"/>
        <s v="OUT0012"/>
        <s v="OUT0014"/>
        <s v="P003"/>
        <s v="P010"/>
        <s v="P012"/>
        <s v="P013"/>
        <s v="P014"/>
        <s v="P015"/>
        <s v="P016"/>
        <s v="VL003"/>
        <s v="CA012"/>
        <s v="GR001"/>
        <s v="OUT0013"/>
        <s v="P011"/>
        <s v="ROC001"/>
        <s v="VL016"/>
        <s v="C005"/>
        <s v="CA013"/>
        <s v="CA014"/>
        <s v="CA015"/>
        <s v="N002"/>
        <s v="VL005"/>
        <s v="AU002"/>
        <s v="AU003"/>
        <s v="C006"/>
        <s v="CB002"/>
        <s v="VL017"/>
        <s v="TRP003"/>
        <s v="VL018"/>
        <m/>
        <s v="COPATLAS" u="1"/>
        <s v="OUT00" u="1"/>
        <s v="COLAS" u="1"/>
        <s v="OUT 014" u="1"/>
        <s v="CONCFIX2" u="1"/>
        <s v="VL0014" u="1"/>
        <s v="VL0010" u="1"/>
        <s v="K" u="1"/>
      </sharedItems>
    </cacheField>
    <cacheField name="Quantité (H)" numFmtId="0">
      <sharedItems containsString="0" containsBlank="1" containsNumber="1" minValue="0" maxValue="1434"/>
    </cacheField>
    <cacheField name="Gasoil (L)" numFmtId="0">
      <sharedItems containsString="0" containsBlank="1" containsNumber="1" minValue="0" maxValue="7982"/>
    </cacheField>
    <cacheField name="Huile 15/40(L)" numFmtId="0">
      <sharedItems containsBlank="1" containsMixedTypes="1" containsNumber="1" containsInteger="1" minValue="0" maxValue="169"/>
    </cacheField>
    <cacheField name="Huile 90 (L)" numFmtId="0">
      <sharedItems containsBlank="1" containsMixedTypes="1" containsNumber="1" containsInteger="1" minValue="0" maxValue="60"/>
    </cacheField>
    <cacheField name="Huile 10 (L)" numFmtId="0">
      <sharedItems containsBlank="1" containsMixedTypes="1" containsNumber="1" containsInteger="1" minValue="0" maxValue="178"/>
    </cacheField>
    <cacheField name="Graisse (kg)" numFmtId="0">
      <sharedItems containsBlank="1" containsMixedTypes="1" containsNumber="1" minValue="0" maxValue="175"/>
    </cacheField>
    <cacheField name="Cons Gasoil/H" numFmtId="43">
      <sharedItems containsSemiMixedTypes="0" containsString="0" containsNumber="1" minValue="0" maxValue="111.66666666666667"/>
    </cacheField>
    <cacheField name="Cons Gasoil /100 km" numFmtId="43">
      <sharedItems containsString="0" containsBlank="1" containsNumber="1" minValue="0" maxValue="298"/>
    </cacheField>
    <cacheField name=" les Charges" numFmtId="43">
      <sharedItems containsString="0" containsBlank="1" containsNumber="1" minValue="0" maxValue="416203.65"/>
    </cacheField>
    <cacheField name="Productivité" numFmtId="43">
      <sharedItems containsString="0" containsBlank="1" containsNumber="1" minValue="0" maxValue="393205.03"/>
    </cacheField>
    <cacheField name="Marge" numFmtId="43">
      <sharedItems containsSemiMixedTypes="0" containsString="0" containsNumber="1" minValue="-328633.65000000002" maxValue="388870.36000000004"/>
    </cacheField>
    <cacheField name="Mois" numFmtId="0" databaseField="0">
      <fieldGroup base="0">
        <rangePr groupBy="months" startDate="2021-01-31T00:00:00" endDate="2021-11-01T00:00:00"/>
        <groupItems count="14">
          <s v="&lt;31/01/2021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1/11/2021"/>
        </groupItems>
      </fieldGroup>
    </cacheField>
  </cacheFields>
  <extLst>
    <ext xmlns:x14="http://schemas.microsoft.com/office/spreadsheetml/2009/9/main" uri="{725AE2AE-9491-48be-B2B4-4EB974FC3084}">
      <x14:pivotCacheDefinition pivotCacheId="129838369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3">
  <r>
    <x v="0"/>
    <x v="0"/>
    <x v="0"/>
    <x v="0"/>
    <n v="47"/>
    <n v="199"/>
    <n v="5"/>
    <n v="0"/>
    <n v="10"/>
    <n v="0"/>
    <n v="4.2340425531914896"/>
    <m/>
    <n v="8185.5555555555557"/>
    <n v="7572.2222222222226"/>
    <n v="-613.33333333333303"/>
  </r>
  <r>
    <x v="0"/>
    <x v="0"/>
    <x v="1"/>
    <x v="1"/>
    <n v="78"/>
    <n v="698"/>
    <n v="5"/>
    <n v="0"/>
    <n v="10"/>
    <n v="0"/>
    <n v="8.9487179487179489"/>
    <m/>
    <n v="14423.333333333332"/>
    <n v="17333.333333333332"/>
    <n v="2910"/>
  </r>
  <r>
    <x v="0"/>
    <x v="0"/>
    <x v="1"/>
    <x v="2"/>
    <n v="4"/>
    <n v="213"/>
    <n v="0"/>
    <n v="0"/>
    <n v="0"/>
    <n v="0"/>
    <n v="53.25"/>
    <m/>
    <n v="6077.5555555555557"/>
    <n v="888.88888888888891"/>
    <n v="-5188.666666666667"/>
  </r>
  <r>
    <x v="0"/>
    <x v="0"/>
    <x v="1"/>
    <x v="3"/>
    <n v="66"/>
    <n v="702"/>
    <n v="0"/>
    <n v="0"/>
    <n v="10"/>
    <n v="0"/>
    <n v="10.636363636363637"/>
    <m/>
    <n v="4790"/>
    <n v="0"/>
    <n v="-4790"/>
  </r>
  <r>
    <x v="0"/>
    <x v="1"/>
    <x v="1"/>
    <x v="4"/>
    <n v="355"/>
    <n v="355"/>
    <n v="0"/>
    <n v="0"/>
    <n v="25"/>
    <n v="0"/>
    <n v="1"/>
    <m/>
    <n v="25693.333333333332"/>
    <n v="27333.333333333336"/>
    <n v="1640.0000000000036"/>
  </r>
  <r>
    <x v="0"/>
    <x v="1"/>
    <x v="2"/>
    <x v="5"/>
    <n v="1280"/>
    <n v="1280"/>
    <n v="0"/>
    <n v="0"/>
    <n v="0"/>
    <n v="3"/>
    <n v="1"/>
    <n v="88.520055325034576"/>
    <n v="34714.888888888891"/>
    <n v="41311.111111111117"/>
    <n v="6596.2222222222263"/>
  </r>
  <r>
    <x v="0"/>
    <x v="0"/>
    <x v="2"/>
    <x v="6"/>
    <n v="76"/>
    <n v="284"/>
    <n v="0"/>
    <n v="0"/>
    <n v="0"/>
    <n v="0"/>
    <n v="3.736842105263158"/>
    <n v="33"/>
    <m/>
    <m/>
    <n v="0"/>
  </r>
  <r>
    <x v="0"/>
    <x v="1"/>
    <x v="2"/>
    <x v="6"/>
    <n v="650"/>
    <n v="650"/>
    <n v="0"/>
    <n v="0"/>
    <n v="0"/>
    <n v="0"/>
    <n v="1"/>
    <n v="33"/>
    <m/>
    <m/>
    <n v="0"/>
  </r>
  <r>
    <x v="0"/>
    <x v="2"/>
    <x v="2"/>
    <x v="6"/>
    <n v="96"/>
    <n v="942"/>
    <n v="0"/>
    <n v="0"/>
    <n v="0"/>
    <n v="0"/>
    <n v="9.8125"/>
    <n v="33"/>
    <n v="48835.777777777781"/>
    <n v="61822.222222222226"/>
    <n v="12986.444444444445"/>
  </r>
  <r>
    <x v="0"/>
    <x v="0"/>
    <x v="2"/>
    <x v="7"/>
    <n v="156"/>
    <n v="1351"/>
    <n v="0"/>
    <n v="0"/>
    <n v="0"/>
    <n v="0"/>
    <n v="8.6602564102564106"/>
    <n v="58.981876332622605"/>
    <m/>
    <m/>
    <n v="0"/>
  </r>
  <r>
    <x v="0"/>
    <x v="1"/>
    <x v="2"/>
    <x v="7"/>
    <n v="804"/>
    <n v="804"/>
    <n v="0"/>
    <n v="0"/>
    <n v="0"/>
    <n v="0"/>
    <n v="1"/>
    <n v="58.981876332622605"/>
    <m/>
    <m/>
    <n v="0"/>
  </r>
  <r>
    <x v="0"/>
    <x v="2"/>
    <x v="2"/>
    <x v="7"/>
    <n v="30"/>
    <n v="210"/>
    <n v="0"/>
    <n v="0"/>
    <n v="0"/>
    <n v="0"/>
    <n v="7"/>
    <n v="58.981876332622605"/>
    <n v="58622.222222222219"/>
    <n v="65577.777777777781"/>
    <n v="6955.555555555562"/>
  </r>
  <r>
    <x v="0"/>
    <x v="2"/>
    <x v="2"/>
    <x v="8"/>
    <n v="56"/>
    <n v="280"/>
    <n v="0"/>
    <n v="0"/>
    <m/>
    <n v="0"/>
    <n v="5"/>
    <n v="67.126965861143077"/>
    <n v="62859.777777777781"/>
    <n v="59222.222222222226"/>
    <n v="-3637.5555555555547"/>
  </r>
  <r>
    <x v="0"/>
    <x v="0"/>
    <x v="2"/>
    <x v="8"/>
    <n v="149"/>
    <n v="1470"/>
    <n v="0"/>
    <n v="0"/>
    <n v="0"/>
    <n v="0"/>
    <n v="9.8657718120805367"/>
    <n v="67.126965861143077"/>
    <m/>
    <m/>
    <n v="0"/>
  </r>
  <r>
    <x v="0"/>
    <x v="0"/>
    <x v="2"/>
    <x v="9"/>
    <n v="119"/>
    <n v="379"/>
    <n v="0"/>
    <n v="0"/>
    <n v="0"/>
    <n v="0"/>
    <n v="3.1848739495798317"/>
    <n v="106.06137724550899"/>
    <n v="29160.455555555556"/>
    <n v="25977.777777777774"/>
    <n v="-3182.6777777777825"/>
  </r>
  <r>
    <x v="0"/>
    <x v="3"/>
    <x v="2"/>
    <x v="9"/>
    <n v="32"/>
    <n v="329.49"/>
    <n v="0"/>
    <n v="0"/>
    <n v="0"/>
    <n v="0"/>
    <n v="10.2965625"/>
    <n v="106.06137724550899"/>
    <m/>
    <m/>
    <n v="0"/>
  </r>
  <r>
    <x v="0"/>
    <x v="0"/>
    <x v="2"/>
    <x v="10"/>
    <n v="4"/>
    <n v="406"/>
    <n v="0"/>
    <n v="0"/>
    <n v="0"/>
    <n v="0"/>
    <n v="101.5"/>
    <n v="173.63344051446899"/>
    <n v="24439.222222222223"/>
    <n v="8711.1111111111113"/>
    <n v="-15728.111111111111"/>
  </r>
  <r>
    <x v="0"/>
    <x v="1"/>
    <x v="2"/>
    <x v="10"/>
    <n v="134"/>
    <n v="134"/>
    <n v="0"/>
    <n v="0"/>
    <n v="0"/>
    <n v="0"/>
    <n v="1"/>
    <n v="173.63344051446899"/>
    <m/>
    <m/>
    <n v="0"/>
  </r>
  <r>
    <x v="0"/>
    <x v="0"/>
    <x v="2"/>
    <x v="11"/>
    <n v="172"/>
    <n v="437"/>
    <n v="0"/>
    <n v="0"/>
    <n v="0"/>
    <n v="0"/>
    <n v="2.5406976744186047"/>
    <n v="34.482758620689658"/>
    <n v="27626.111111111113"/>
    <n v="26755.555555555555"/>
    <n v="-870.55555555555839"/>
  </r>
  <r>
    <x v="0"/>
    <x v="2"/>
    <x v="2"/>
    <x v="12"/>
    <n v="119"/>
    <n v="1176"/>
    <n v="0"/>
    <n v="0"/>
    <n v="0"/>
    <n v="0"/>
    <n v="9.882352941176471"/>
    <n v="31.597774244833069"/>
    <n v="86716.666666666672"/>
    <n v="66600"/>
    <n v="-20116.666666666672"/>
  </r>
  <r>
    <x v="0"/>
    <x v="0"/>
    <x v="2"/>
    <x v="12"/>
    <n v="103"/>
    <n v="414"/>
    <n v="0"/>
    <n v="0"/>
    <n v="25"/>
    <n v="0"/>
    <n v="4.0194174757281553"/>
    <n v="31.597774244833069"/>
    <m/>
    <m/>
    <n v="0"/>
  </r>
  <r>
    <x v="0"/>
    <x v="2"/>
    <x v="2"/>
    <x v="13"/>
    <n v="9"/>
    <n v="1005"/>
    <n v="0"/>
    <n v="0"/>
    <n v="0"/>
    <n v="0"/>
    <n v="111.66666666666667"/>
    <n v="1.2033154077655532"/>
    <n v="35976.111111111109"/>
    <n v="10888.888888888891"/>
    <n v="-25087.222222222219"/>
  </r>
  <r>
    <x v="0"/>
    <x v="1"/>
    <x v="2"/>
    <x v="13"/>
    <n v="1434"/>
    <n v="1434"/>
    <n v="0"/>
    <n v="0"/>
    <n v="0"/>
    <n v="0"/>
    <n v="1"/>
    <n v="1.2033154077655532"/>
    <m/>
    <m/>
    <n v="0"/>
  </r>
  <r>
    <x v="0"/>
    <x v="3"/>
    <x v="2"/>
    <x v="14"/>
    <n v="0"/>
    <n v="561.70000000000005"/>
    <n v="0"/>
    <n v="0"/>
    <n v="0"/>
    <n v="0"/>
    <n v="0"/>
    <n v="71.797353497164494"/>
    <n v="34996.622222222228"/>
    <n v="11277.777777777779"/>
    <n v="-23718.844444444447"/>
  </r>
  <r>
    <x v="0"/>
    <x v="1"/>
    <x v="2"/>
    <x v="14"/>
    <n v="1100"/>
    <n v="1100"/>
    <n v="0"/>
    <n v="0"/>
    <n v="0"/>
    <n v="0"/>
    <n v="1"/>
    <n v="71.797353497164494"/>
    <m/>
    <m/>
    <n v="0"/>
  </r>
  <r>
    <x v="0"/>
    <x v="2"/>
    <x v="2"/>
    <x v="15"/>
    <n v="63"/>
    <n v="258"/>
    <n v="0"/>
    <n v="0"/>
    <n v="0"/>
    <n v="0"/>
    <n v="4.0952380952380949"/>
    <n v="37"/>
    <n v="61851.111111111109"/>
    <n v="59700"/>
    <n v="-2151.1111111111095"/>
  </r>
  <r>
    <x v="0"/>
    <x v="0"/>
    <x v="2"/>
    <x v="15"/>
    <n v="95"/>
    <n v="1266"/>
    <n v="0"/>
    <n v="0"/>
    <n v="0"/>
    <n v="0"/>
    <n v="13.326315789473684"/>
    <n v="37"/>
    <m/>
    <m/>
    <n v="0"/>
  </r>
  <r>
    <x v="0"/>
    <x v="1"/>
    <x v="2"/>
    <x v="15"/>
    <n v="700"/>
    <n v="700"/>
    <n v="0"/>
    <n v="0"/>
    <n v="0"/>
    <n v="0"/>
    <n v="1"/>
    <n v="37"/>
    <m/>
    <m/>
    <n v="0"/>
  </r>
  <r>
    <x v="0"/>
    <x v="2"/>
    <x v="2"/>
    <x v="16"/>
    <n v="7"/>
    <n v="0"/>
    <n v="0"/>
    <n v="0"/>
    <n v="0"/>
    <n v="0"/>
    <n v="0"/>
    <n v="201"/>
    <n v="10102.777777777777"/>
    <n v="2100"/>
    <n v="-8002.7777777777774"/>
  </r>
  <r>
    <x v="0"/>
    <x v="0"/>
    <x v="2"/>
    <x v="16"/>
    <n v="0"/>
    <n v="201"/>
    <n v="0"/>
    <n v="0"/>
    <n v="0"/>
    <n v="0"/>
    <n v="0"/>
    <n v="201"/>
    <m/>
    <m/>
    <n v="0"/>
  </r>
  <r>
    <x v="0"/>
    <x v="0"/>
    <x v="3"/>
    <x v="17"/>
    <n v="35"/>
    <n v="342"/>
    <n v="30"/>
    <n v="0"/>
    <n v="15"/>
    <n v="0"/>
    <n v="9.7714285714285722"/>
    <m/>
    <m/>
    <m/>
    <n v="0"/>
  </r>
  <r>
    <x v="0"/>
    <x v="2"/>
    <x v="3"/>
    <x v="17"/>
    <n v="10"/>
    <n v="121"/>
    <n v="0"/>
    <n v="0"/>
    <n v="0"/>
    <n v="0"/>
    <n v="12.1"/>
    <m/>
    <n v="31316.666666666668"/>
    <n v="38044.444444444445"/>
    <n v="6727.7777777777774"/>
  </r>
  <r>
    <x v="0"/>
    <x v="1"/>
    <x v="3"/>
    <x v="17"/>
    <n v="556"/>
    <n v="556"/>
    <n v="0"/>
    <n v="0"/>
    <n v="0"/>
    <n v="0"/>
    <n v="1"/>
    <m/>
    <n v="31316.666666666668"/>
    <n v="38044.444444444445"/>
    <n v="6727.7777777777774"/>
  </r>
  <r>
    <x v="0"/>
    <x v="2"/>
    <x v="3"/>
    <x v="18"/>
    <n v="192"/>
    <n v="1547"/>
    <n v="30"/>
    <n v="0"/>
    <n v="10"/>
    <n v="22.14"/>
    <n v="8.0572916666666661"/>
    <m/>
    <n v="40804.9"/>
    <n v="68266.666666666657"/>
    <n v="27461.766666666656"/>
  </r>
  <r>
    <x v="0"/>
    <x v="2"/>
    <x v="4"/>
    <x v="19"/>
    <n v="130"/>
    <n v="3720"/>
    <n v="0"/>
    <n v="0"/>
    <n v="75"/>
    <n v="28.41"/>
    <n v="28.615384615384617"/>
    <m/>
    <n v="163395.68333333335"/>
    <n v="166111.11111111112"/>
    <n v="2715.4277777777752"/>
  </r>
  <r>
    <x v="0"/>
    <x v="0"/>
    <x v="2"/>
    <x v="20"/>
    <n v="4"/>
    <n v="296"/>
    <n v="0"/>
    <n v="0"/>
    <n v="5"/>
    <n v="0"/>
    <n v="74"/>
    <n v="296"/>
    <n v="8311.4444444444453"/>
    <n v="1600"/>
    <n v="-6711.4444444444453"/>
  </r>
  <r>
    <x v="0"/>
    <x v="2"/>
    <x v="5"/>
    <x v="21"/>
    <n v="156.5"/>
    <n v="855"/>
    <n v="15"/>
    <n v="0"/>
    <n v="0"/>
    <n v="28.39"/>
    <n v="5.4632587859424921"/>
    <m/>
    <n v="57715.87222222222"/>
    <n v="113027.77777777777"/>
    <n v="55311.905555555546"/>
  </r>
  <r>
    <x v="0"/>
    <x v="0"/>
    <x v="6"/>
    <x v="22"/>
    <n v="84"/>
    <n v="2099"/>
    <n v="50"/>
    <n v="0"/>
    <n v="0"/>
    <n v="0"/>
    <n v="24.988095238095237"/>
    <m/>
    <n v="64727.466666666674"/>
    <n v="107333.33333333334"/>
    <n v="42605.866666666669"/>
  </r>
  <r>
    <x v="0"/>
    <x v="1"/>
    <x v="7"/>
    <x v="23"/>
    <n v="875"/>
    <n v="875"/>
    <n v="10"/>
    <n v="0"/>
    <n v="0"/>
    <n v="0"/>
    <n v="1"/>
    <m/>
    <m/>
    <m/>
    <n v="0"/>
  </r>
  <r>
    <x v="0"/>
    <x v="0"/>
    <x v="7"/>
    <x v="23"/>
    <n v="105"/>
    <n v="1394"/>
    <n v="35"/>
    <n v="0"/>
    <n v="10"/>
    <n v="8"/>
    <n v="13.276190476190477"/>
    <m/>
    <n v="73967.260000000009"/>
    <n v="86383.333333333328"/>
    <n v="12416.073333333319"/>
  </r>
  <r>
    <x v="0"/>
    <x v="0"/>
    <x v="7"/>
    <x v="24"/>
    <n v="190"/>
    <n v="3445"/>
    <n v="20"/>
    <n v="0"/>
    <n v="10"/>
    <n v="7"/>
    <n v="18.131578947368421"/>
    <m/>
    <n v="83829.666666666657"/>
    <n v="77055.555555555547"/>
    <n v="-6774.1111111111095"/>
  </r>
  <r>
    <x v="0"/>
    <x v="0"/>
    <x v="8"/>
    <x v="25"/>
    <n v="64"/>
    <n v="1037"/>
    <n v="5"/>
    <n v="0"/>
    <n v="10"/>
    <n v="0"/>
    <n v="16.203125"/>
    <m/>
    <m/>
    <m/>
    <n v="0"/>
  </r>
  <r>
    <x v="0"/>
    <x v="2"/>
    <x v="8"/>
    <x v="25"/>
    <n v="127.5"/>
    <n v="1224"/>
    <n v="10"/>
    <n v="0"/>
    <n v="10"/>
    <n v="9.64"/>
    <n v="9.6"/>
    <m/>
    <n v="52390.733333333337"/>
    <n v="77663.888888888963"/>
    <n v="25273.155555555626"/>
  </r>
  <r>
    <x v="0"/>
    <x v="2"/>
    <x v="8"/>
    <x v="26"/>
    <n v="125.5"/>
    <n v="1536"/>
    <n v="14"/>
    <n v="0"/>
    <n v="8"/>
    <n v="9.64"/>
    <n v="12.239043824701195"/>
    <m/>
    <n v="37113.733333333337"/>
    <n v="50897.222222222219"/>
    <n v="13783.488888888882"/>
  </r>
  <r>
    <x v="0"/>
    <x v="2"/>
    <x v="8"/>
    <x v="27"/>
    <n v="202.5"/>
    <n v="3019"/>
    <n v="30"/>
    <n v="0"/>
    <n v="0"/>
    <n v="33.39"/>
    <n v="14.908641975308642"/>
    <m/>
    <n v="97818.23000000001"/>
    <n v="87749.999999999927"/>
    <n v="-10068.230000000083"/>
  </r>
  <r>
    <x v="0"/>
    <x v="0"/>
    <x v="8"/>
    <x v="28"/>
    <n v="232"/>
    <n v="5467"/>
    <n v="30"/>
    <n v="0"/>
    <n v="50"/>
    <n v="30"/>
    <n v="23.564655172413794"/>
    <m/>
    <n v="102157.91333333334"/>
    <n v="100533.33333333326"/>
    <n v="-1624.5800000000891"/>
  </r>
  <r>
    <x v="0"/>
    <x v="0"/>
    <x v="8"/>
    <x v="29"/>
    <n v="180"/>
    <n v="4345"/>
    <n v="45"/>
    <n v="0"/>
    <n v="130"/>
    <n v="15"/>
    <n v="24.138888888888889"/>
    <m/>
    <n v="84883"/>
    <n v="77999.999999999942"/>
    <n v="-6883.0000000000582"/>
  </r>
  <r>
    <x v="0"/>
    <x v="0"/>
    <x v="8"/>
    <x v="30"/>
    <n v="235"/>
    <n v="5427"/>
    <n v="30"/>
    <n v="0"/>
    <n v="0"/>
    <n v="45"/>
    <n v="23.093617021276597"/>
    <m/>
    <n v="96810.413333333345"/>
    <n v="101833.33333333333"/>
    <n v="5022.9199999999837"/>
  </r>
  <r>
    <x v="0"/>
    <x v="0"/>
    <x v="8"/>
    <x v="31"/>
    <n v="227"/>
    <n v="7563"/>
    <n v="80"/>
    <n v="0"/>
    <n v="0"/>
    <n v="15"/>
    <n v="33.317180616740089"/>
    <m/>
    <n v="118040.92666666667"/>
    <n v="100888.88888888889"/>
    <n v="-17152.037777777776"/>
  </r>
  <r>
    <x v="0"/>
    <x v="1"/>
    <x v="8"/>
    <x v="32"/>
    <n v="620"/>
    <n v="620"/>
    <n v="0"/>
    <n v="0"/>
    <n v="20"/>
    <n v="3"/>
    <n v="1"/>
    <m/>
    <n v="26901.666666666668"/>
    <n v="20144.444444444445"/>
    <n v="-6757.2222222222226"/>
  </r>
  <r>
    <x v="0"/>
    <x v="2"/>
    <x v="9"/>
    <x v="33"/>
    <n v="0"/>
    <n v="55"/>
    <n v="0"/>
    <n v="0"/>
    <n v="0"/>
    <n v="0"/>
    <n v="0"/>
    <n v="19.214501510574017"/>
    <n v="19085"/>
    <n v="10800"/>
    <n v="-8285"/>
  </r>
  <r>
    <x v="0"/>
    <x v="0"/>
    <x v="9"/>
    <x v="33"/>
    <n v="162"/>
    <n v="263"/>
    <n v="0"/>
    <n v="0"/>
    <n v="0"/>
    <n v="0"/>
    <n v="1.6234567901234569"/>
    <n v="19.214501510574017"/>
    <m/>
    <m/>
    <n v="0"/>
  </r>
  <r>
    <x v="0"/>
    <x v="1"/>
    <x v="9"/>
    <x v="34"/>
    <n v="186"/>
    <n v="186"/>
    <n v="0"/>
    <n v="0"/>
    <n v="0"/>
    <n v="0"/>
    <n v="1"/>
    <n v="38.9937106918239"/>
    <n v="7124"/>
    <n v="13200.000000000002"/>
    <n v="6076.0000000000018"/>
  </r>
  <r>
    <x v="0"/>
    <x v="0"/>
    <x v="9"/>
    <x v="35"/>
    <n v="243"/>
    <n v="250"/>
    <n v="0"/>
    <n v="0"/>
    <n v="0"/>
    <n v="0"/>
    <n v="1.0288065843621399"/>
    <n v="250"/>
    <n v="11900"/>
    <n v="16200.000000000002"/>
    <n v="4300.0000000000018"/>
  </r>
  <r>
    <x v="0"/>
    <x v="2"/>
    <x v="9"/>
    <x v="36"/>
    <n v="0.4"/>
    <n v="33"/>
    <n v="0"/>
    <n v="0"/>
    <n v="0"/>
    <n v="0"/>
    <n v="82.5"/>
    <n v="298"/>
    <n v="8743.8888888888887"/>
    <n v="26.666666666666671"/>
    <n v="-8717.2222222222226"/>
  </r>
  <r>
    <x v="0"/>
    <x v="0"/>
    <x v="9"/>
    <x v="36"/>
    <n v="0"/>
    <n v="170"/>
    <n v="0"/>
    <n v="0"/>
    <n v="0"/>
    <n v="0"/>
    <n v="0"/>
    <n v="298"/>
    <m/>
    <m/>
    <n v="0"/>
  </r>
  <r>
    <x v="0"/>
    <x v="1"/>
    <x v="9"/>
    <x v="36"/>
    <n v="95"/>
    <n v="95"/>
    <n v="0"/>
    <n v="0"/>
    <n v="0"/>
    <n v="0"/>
    <n v="1"/>
    <n v="298"/>
    <m/>
    <m/>
    <n v="0"/>
  </r>
  <r>
    <x v="0"/>
    <x v="2"/>
    <x v="9"/>
    <x v="37"/>
    <n v="37"/>
    <n v="259"/>
    <n v="0"/>
    <n v="0"/>
    <n v="0"/>
    <n v="0"/>
    <n v="7"/>
    <n v="259"/>
    <n v="8343.2222222222226"/>
    <n v="2466.666666666667"/>
    <n v="-5876.5555555555557"/>
  </r>
  <r>
    <x v="0"/>
    <x v="3"/>
    <x v="10"/>
    <x v="38"/>
    <n v="7"/>
    <n v="25"/>
    <n v="0"/>
    <n v="0"/>
    <n v="0"/>
    <n v="0"/>
    <n v="3.5714285714285716"/>
    <m/>
    <m/>
    <m/>
    <n v="0"/>
  </r>
  <r>
    <x v="0"/>
    <x v="4"/>
    <x v="10"/>
    <x v="38"/>
    <n v="32"/>
    <n v="109.9"/>
    <n v="5"/>
    <n v="0"/>
    <n v="0"/>
    <n v="5"/>
    <n v="3.4343750000000002"/>
    <m/>
    <n v="7144"/>
    <n v="7150"/>
    <n v="6"/>
  </r>
  <r>
    <x v="0"/>
    <x v="1"/>
    <x v="10"/>
    <x v="39"/>
    <n v="623"/>
    <n v="623"/>
    <n v="25"/>
    <n v="0"/>
    <n v="20"/>
    <n v="3"/>
    <n v="1"/>
    <m/>
    <n v="23831"/>
    <n v="17416.666666666668"/>
    <n v="-6414.3333333333321"/>
  </r>
  <r>
    <x v="0"/>
    <x v="2"/>
    <x v="11"/>
    <x v="40"/>
    <n v="2"/>
    <n v="0"/>
    <n v="0"/>
    <n v="0"/>
    <n v="0"/>
    <n v="0"/>
    <n v="0"/>
    <n v="190"/>
    <n v="20360"/>
    <n v="18922.222222222226"/>
    <n v="-1437.7777777777737"/>
  </r>
  <r>
    <x v="0"/>
    <x v="0"/>
    <x v="11"/>
    <x v="40"/>
    <n v="260"/>
    <n v="190"/>
    <n v="10"/>
    <n v="0"/>
    <n v="0"/>
    <n v="0"/>
    <n v="0.73076923076923073"/>
    <n v="190"/>
    <m/>
    <m/>
    <n v="0"/>
  </r>
  <r>
    <x v="1"/>
    <x v="0"/>
    <x v="0"/>
    <x v="0"/>
    <n v="8"/>
    <n v="95"/>
    <n v="0"/>
    <n v="0"/>
    <n v="0"/>
    <n v="0"/>
    <n v="11.875"/>
    <m/>
    <n v="950"/>
    <n v="1288.8888888888889"/>
    <n v="338.88888888888891"/>
  </r>
  <r>
    <x v="1"/>
    <x v="0"/>
    <x v="1"/>
    <x v="1"/>
    <n v="36"/>
    <n v="275"/>
    <n v="15"/>
    <n v="0"/>
    <n v="0"/>
    <n v="0"/>
    <n v="7.6388888888888893"/>
    <m/>
    <n v="3323"/>
    <n v="8000"/>
    <n v="4677"/>
  </r>
  <r>
    <x v="1"/>
    <x v="4"/>
    <x v="1"/>
    <x v="2"/>
    <n v="35"/>
    <n v="255"/>
    <n v="4"/>
    <n v="0"/>
    <n v="0"/>
    <n v="0"/>
    <n v="7.2857142857142856"/>
    <m/>
    <n v="3266"/>
    <n v="7777.7777777777783"/>
    <n v="4511.7777777777783"/>
  </r>
  <r>
    <x v="1"/>
    <x v="1"/>
    <x v="1"/>
    <x v="4"/>
    <n v="34.5"/>
    <n v="50"/>
    <n v="0"/>
    <n v="0"/>
    <n v="50"/>
    <n v="2"/>
    <n v="1.4492753623188406"/>
    <m/>
    <n v="2270"/>
    <n v="7666.666666666667"/>
    <n v="5396.666666666667"/>
  </r>
  <r>
    <x v="1"/>
    <x v="2"/>
    <x v="2"/>
    <x v="5"/>
    <n v="26"/>
    <n v="206"/>
    <n v="0"/>
    <n v="0"/>
    <n v="0"/>
    <n v="0"/>
    <n v="7.9230769230769234"/>
    <n v="32"/>
    <m/>
    <m/>
    <n v="0"/>
  </r>
  <r>
    <x v="1"/>
    <x v="1"/>
    <x v="2"/>
    <x v="5"/>
    <n v="12"/>
    <n v="130"/>
    <n v="0"/>
    <n v="0"/>
    <n v="0"/>
    <n v="0"/>
    <n v="10.833333333333334"/>
    <n v="32"/>
    <m/>
    <m/>
    <n v="0"/>
  </r>
  <r>
    <x v="1"/>
    <x v="4"/>
    <x v="2"/>
    <x v="5"/>
    <n v="54"/>
    <n v="273"/>
    <n v="0"/>
    <n v="0"/>
    <n v="0"/>
    <n v="0"/>
    <n v="5.0555555555555554"/>
    <n v="32"/>
    <n v="6160"/>
    <n v="26577.777777777781"/>
    <n v="20417.777777777781"/>
  </r>
  <r>
    <x v="1"/>
    <x v="4"/>
    <x v="2"/>
    <x v="6"/>
    <n v="196"/>
    <n v="1053"/>
    <n v="0"/>
    <n v="0"/>
    <n v="0"/>
    <n v="3"/>
    <n v="5.3724489795918364"/>
    <n v="33"/>
    <n v="10740"/>
    <n v="56622.222222222226"/>
    <n v="45882.222222222226"/>
  </r>
  <r>
    <x v="1"/>
    <x v="4"/>
    <x v="2"/>
    <x v="7"/>
    <n v="199"/>
    <n v="1188"/>
    <n v="0"/>
    <n v="0"/>
    <n v="0"/>
    <n v="3"/>
    <n v="5.9698492462311554"/>
    <n v="58.981876332622605"/>
    <m/>
    <m/>
    <n v="0"/>
  </r>
  <r>
    <x v="1"/>
    <x v="0"/>
    <x v="2"/>
    <x v="8"/>
    <n v="53"/>
    <n v="362"/>
    <n v="0"/>
    <n v="0"/>
    <n v="0"/>
    <n v="0"/>
    <n v="6.8301886792452828"/>
    <n v="67.126965861143077"/>
    <m/>
    <m/>
    <n v="0"/>
  </r>
  <r>
    <x v="1"/>
    <x v="2"/>
    <x v="2"/>
    <x v="8"/>
    <n v="59"/>
    <n v="141"/>
    <n v="0"/>
    <n v="0"/>
    <n v="0"/>
    <n v="0"/>
    <n v="2.3898305084745761"/>
    <n v="67.126965861143077"/>
    <n v="5030"/>
    <n v="32355.555555555558"/>
    <n v="27325.555555555558"/>
  </r>
  <r>
    <x v="1"/>
    <x v="1"/>
    <x v="2"/>
    <x v="9"/>
    <n v="84"/>
    <n v="206"/>
    <n v="0"/>
    <n v="0"/>
    <n v="0"/>
    <n v="0"/>
    <n v="2.4523809523809526"/>
    <n v="206"/>
    <n v="2330"/>
    <n v="13066.666666666666"/>
    <n v="10736.666666666666"/>
  </r>
  <r>
    <x v="1"/>
    <x v="2"/>
    <x v="2"/>
    <x v="10"/>
    <n v="4"/>
    <n v="252"/>
    <n v="0"/>
    <n v="0"/>
    <n v="0"/>
    <n v="0"/>
    <n v="63"/>
    <n v="43.986526501708802"/>
    <n v="14680"/>
    <n v="6377.7777777777774"/>
    <n v="-8302.2222222222226"/>
  </r>
  <r>
    <x v="1"/>
    <x v="0"/>
    <x v="2"/>
    <x v="10"/>
    <n v="37"/>
    <n v="283"/>
    <n v="0"/>
    <n v="0"/>
    <n v="0"/>
    <n v="0"/>
    <n v="7.6486486486486482"/>
    <n v="43.986526501708802"/>
    <n v="14680"/>
    <n v="6377.7777777777774"/>
    <n v="-8302.2222222222226"/>
  </r>
  <r>
    <x v="1"/>
    <x v="4"/>
    <x v="2"/>
    <x v="11"/>
    <n v="25.5"/>
    <n v="111"/>
    <n v="0"/>
    <n v="0"/>
    <n v="0"/>
    <n v="0"/>
    <n v="4.3529411764705879"/>
    <n v="34.482758620689658"/>
    <m/>
    <m/>
    <n v="0"/>
  </r>
  <r>
    <x v="1"/>
    <x v="0"/>
    <x v="2"/>
    <x v="11"/>
    <n v="115"/>
    <n v="259"/>
    <n v="0"/>
    <n v="0"/>
    <n v="0"/>
    <n v="0"/>
    <n v="2.2521739130434781"/>
    <n v="34.482758620689658"/>
    <n v="3700"/>
    <n v="21855.555555555555"/>
    <n v="18155.555555555555"/>
  </r>
  <r>
    <x v="1"/>
    <x v="0"/>
    <x v="2"/>
    <x v="12"/>
    <n v="47"/>
    <n v="451"/>
    <n v="0"/>
    <n v="0"/>
    <n v="0"/>
    <n v="0"/>
    <n v="9.5957446808510642"/>
    <n v="33"/>
    <m/>
    <m/>
    <n v="0"/>
  </r>
  <r>
    <x v="1"/>
    <x v="2"/>
    <x v="2"/>
    <x v="12"/>
    <n v="63"/>
    <n v="115"/>
    <n v="0"/>
    <n v="0"/>
    <n v="0"/>
    <n v="0"/>
    <n v="1.8253968253968254"/>
    <n v="33"/>
    <n v="5810"/>
    <n v="33000"/>
    <n v="27190"/>
  </r>
  <r>
    <x v="1"/>
    <x v="0"/>
    <x v="2"/>
    <x v="13"/>
    <n v="0"/>
    <n v="1181"/>
    <n v="0"/>
    <n v="0"/>
    <n v="0"/>
    <n v="0"/>
    <n v="0"/>
    <n v="46.504133389379298"/>
    <n v="35140"/>
    <n v="14777.777777777779"/>
    <n v="-20362.222222222219"/>
  </r>
  <r>
    <x v="1"/>
    <x v="1"/>
    <x v="2"/>
    <x v="13"/>
    <n v="38"/>
    <n v="2138"/>
    <n v="0"/>
    <n v="0"/>
    <n v="0"/>
    <n v="2"/>
    <n v="56.263157894736842"/>
    <n v="46.504133389379298"/>
    <m/>
    <m/>
    <n v="0"/>
  </r>
  <r>
    <x v="1"/>
    <x v="2"/>
    <x v="2"/>
    <x v="14"/>
    <n v="0"/>
    <n v="401"/>
    <n v="0"/>
    <n v="0"/>
    <n v="0"/>
    <n v="0"/>
    <n v="0"/>
    <n v="58.168362627196998"/>
    <n v="33740"/>
    <n v="0"/>
    <n v="-33740"/>
  </r>
  <r>
    <x v="1"/>
    <x v="0"/>
    <x v="2"/>
    <x v="14"/>
    <n v="0"/>
    <n v="1064"/>
    <n v="0"/>
    <n v="0"/>
    <n v="0"/>
    <n v="0"/>
    <n v="0"/>
    <n v="58.168362627196998"/>
    <m/>
    <m/>
    <n v="0"/>
  </r>
  <r>
    <x v="1"/>
    <x v="1"/>
    <x v="2"/>
    <x v="14"/>
    <n v="0"/>
    <n v="602"/>
    <n v="0"/>
    <n v="0"/>
    <n v="0"/>
    <n v="0"/>
    <n v="0"/>
    <n v="58.168362627196998"/>
    <m/>
    <m/>
    <n v="0"/>
  </r>
  <r>
    <x v="1"/>
    <x v="4"/>
    <x v="2"/>
    <x v="14"/>
    <n v="0"/>
    <n v="1077"/>
    <n v="0"/>
    <n v="0"/>
    <n v="0"/>
    <n v="0"/>
    <n v="0"/>
    <n v="58.168362627196998"/>
    <m/>
    <m/>
    <n v="0"/>
  </r>
  <r>
    <x v="1"/>
    <x v="0"/>
    <x v="2"/>
    <x v="15"/>
    <n v="49"/>
    <n v="448"/>
    <n v="0"/>
    <n v="0"/>
    <n v="0"/>
    <n v="0"/>
    <n v="9.1428571428571423"/>
    <n v="37"/>
    <m/>
    <m/>
    <n v="0"/>
  </r>
  <r>
    <x v="1"/>
    <x v="2"/>
    <x v="2"/>
    <x v="15"/>
    <n v="65"/>
    <n v="184"/>
    <n v="0"/>
    <n v="0"/>
    <n v="0"/>
    <n v="0"/>
    <n v="2.8307692307692309"/>
    <n v="37"/>
    <n v="6320"/>
    <n v="34200"/>
    <n v="27880"/>
  </r>
  <r>
    <x v="1"/>
    <x v="1"/>
    <x v="2"/>
    <x v="16"/>
    <n v="22"/>
    <n v="125"/>
    <n v="0"/>
    <n v="0"/>
    <n v="0"/>
    <n v="0"/>
    <n v="5.6818181818181817"/>
    <n v="286"/>
    <m/>
    <m/>
    <n v="0"/>
  </r>
  <r>
    <x v="1"/>
    <x v="0"/>
    <x v="2"/>
    <x v="16"/>
    <n v="19"/>
    <n v="161"/>
    <n v="0"/>
    <n v="0"/>
    <n v="0"/>
    <n v="4"/>
    <n v="8.473684210526315"/>
    <n v="286"/>
    <n v="3850"/>
    <n v="12300"/>
    <n v="8450"/>
  </r>
  <r>
    <x v="1"/>
    <x v="1"/>
    <x v="3"/>
    <x v="17"/>
    <n v="7"/>
    <n v="50"/>
    <n v="0"/>
    <n v="0"/>
    <n v="0"/>
    <n v="0"/>
    <n v="7.1428571428571432"/>
    <m/>
    <m/>
    <m/>
    <n v="0"/>
  </r>
  <r>
    <x v="1"/>
    <x v="2"/>
    <x v="3"/>
    <x v="17"/>
    <n v="156"/>
    <n v="456"/>
    <n v="0"/>
    <n v="0"/>
    <n v="0"/>
    <n v="0"/>
    <n v="2.9230769230769229"/>
    <m/>
    <n v="9023"/>
    <n v="57955.555555555555"/>
    <n v="48932.555555555555"/>
  </r>
  <r>
    <x v="1"/>
    <x v="2"/>
    <x v="3"/>
    <x v="18"/>
    <n v="119"/>
    <n v="699"/>
    <n v="10"/>
    <n v="0"/>
    <n v="25"/>
    <n v="3"/>
    <n v="5.8739495798319323"/>
    <m/>
    <n v="10580"/>
    <n v="42311.111111111109"/>
    <n v="31731.111111111109"/>
  </r>
  <r>
    <x v="1"/>
    <x v="2"/>
    <x v="3"/>
    <x v="41"/>
    <n v="0.5"/>
    <n v="20"/>
    <n v="0"/>
    <n v="0"/>
    <n v="0"/>
    <n v="0"/>
    <n v="40"/>
    <m/>
    <m/>
    <m/>
    <n v="0"/>
  </r>
  <r>
    <x v="1"/>
    <x v="2"/>
    <x v="4"/>
    <x v="19"/>
    <n v="17"/>
    <n v="423"/>
    <n v="0"/>
    <n v="0"/>
    <n v="25"/>
    <n v="8"/>
    <n v="24.882352941176471"/>
    <m/>
    <n v="5785"/>
    <n v="21722.222222222223"/>
    <n v="15937.222222222223"/>
  </r>
  <r>
    <x v="1"/>
    <x v="0"/>
    <x v="2"/>
    <x v="20"/>
    <n v="0"/>
    <n v="10"/>
    <n v="0"/>
    <n v="0"/>
    <n v="0"/>
    <n v="0"/>
    <n v="0"/>
    <m/>
    <n v="290"/>
    <n v="0"/>
    <n v="-290"/>
  </r>
  <r>
    <x v="1"/>
    <x v="2"/>
    <x v="5"/>
    <x v="21"/>
    <n v="19"/>
    <n v="160"/>
    <n v="0"/>
    <n v="0"/>
    <n v="0"/>
    <n v="8"/>
    <n v="8.4210526315789469"/>
    <m/>
    <n v="1880"/>
    <n v="13722.222222222221"/>
    <n v="11842.222222222221"/>
  </r>
  <r>
    <x v="1"/>
    <x v="0"/>
    <x v="6"/>
    <x v="22"/>
    <n v="93"/>
    <n v="3045"/>
    <n v="157"/>
    <n v="25"/>
    <n v="25"/>
    <n v="26"/>
    <n v="32.741935483870968"/>
    <m/>
    <n v="40205"/>
    <n v="118833.33333333334"/>
    <n v="78628.333333333343"/>
  </r>
  <r>
    <x v="1"/>
    <x v="0"/>
    <x v="7"/>
    <x v="42"/>
    <n v="0"/>
    <n v="24"/>
    <n v="65"/>
    <n v="0"/>
    <n v="0"/>
    <n v="0"/>
    <n v="0"/>
    <m/>
    <n v="2450"/>
    <n v="0"/>
    <n v="-2450"/>
  </r>
  <r>
    <x v="1"/>
    <x v="4"/>
    <x v="7"/>
    <x v="23"/>
    <n v="125.5"/>
    <n v="1243"/>
    <n v="31"/>
    <n v="0"/>
    <n v="0"/>
    <n v="3"/>
    <n v="9.904382470119522"/>
    <m/>
    <m/>
    <m/>
    <n v="0"/>
  </r>
  <r>
    <x v="1"/>
    <x v="1"/>
    <x v="7"/>
    <x v="23"/>
    <n v="14"/>
    <n v="147"/>
    <n v="0"/>
    <n v="0"/>
    <n v="0"/>
    <n v="3"/>
    <n v="10.5"/>
    <m/>
    <n v="16742"/>
    <n v="56575"/>
    <n v="39833"/>
  </r>
  <r>
    <x v="1"/>
    <x v="0"/>
    <x v="7"/>
    <x v="24"/>
    <n v="81"/>
    <n v="1679"/>
    <n v="0"/>
    <n v="0"/>
    <n v="5"/>
    <n v="0"/>
    <n v="20.728395061728396"/>
    <m/>
    <n v="19479"/>
    <n v="32850"/>
    <n v="13371"/>
  </r>
  <r>
    <x v="1"/>
    <x v="5"/>
    <x v="8"/>
    <x v="25"/>
    <n v="0"/>
    <n v="0"/>
    <n v="0"/>
    <n v="0"/>
    <n v="0"/>
    <n v="9"/>
    <n v="0"/>
    <m/>
    <m/>
    <m/>
    <n v="0"/>
  </r>
  <r>
    <x v="1"/>
    <x v="2"/>
    <x v="8"/>
    <x v="25"/>
    <n v="9"/>
    <n v="169"/>
    <n v="0"/>
    <n v="0"/>
    <n v="30"/>
    <n v="5"/>
    <n v="18.777777777777779"/>
    <m/>
    <n v="2885"/>
    <n v="7300.0000000000082"/>
    <n v="4415.0000000000082"/>
  </r>
  <r>
    <x v="1"/>
    <x v="4"/>
    <x v="8"/>
    <x v="26"/>
    <n v="114"/>
    <n v="1607"/>
    <n v="5"/>
    <n v="0"/>
    <n v="40"/>
    <n v="3"/>
    <n v="14.096491228070175"/>
    <m/>
    <m/>
    <m/>
    <n v="0"/>
  </r>
  <r>
    <x v="1"/>
    <x v="0"/>
    <x v="8"/>
    <x v="26"/>
    <n v="0"/>
    <n v="0"/>
    <n v="10"/>
    <n v="0"/>
    <n v="0"/>
    <n v="0"/>
    <n v="0"/>
    <m/>
    <n v="18205"/>
    <n v="46233.333333333328"/>
    <n v="28028.333333333328"/>
  </r>
  <r>
    <x v="1"/>
    <x v="2"/>
    <x v="8"/>
    <x v="27"/>
    <n v="148"/>
    <n v="1941"/>
    <n v="5"/>
    <n v="0"/>
    <n v="15"/>
    <n v="8"/>
    <n v="13.114864864864865"/>
    <m/>
    <n v="22433"/>
    <n v="64133.333333333278"/>
    <n v="41700.333333333278"/>
  </r>
  <r>
    <x v="1"/>
    <x v="0"/>
    <x v="8"/>
    <x v="28"/>
    <n v="170"/>
    <n v="3779"/>
    <n v="10"/>
    <n v="0"/>
    <n v="60"/>
    <n v="22"/>
    <n v="22.229411764705883"/>
    <m/>
    <n v="46800"/>
    <n v="73666.666666666599"/>
    <n v="26866.666666666599"/>
  </r>
  <r>
    <x v="1"/>
    <x v="0"/>
    <x v="8"/>
    <x v="29"/>
    <n v="224"/>
    <n v="5680"/>
    <n v="45"/>
    <n v="0"/>
    <n v="0"/>
    <n v="5"/>
    <n v="25.357142857142858"/>
    <m/>
    <n v="58505"/>
    <n v="97066.666666666584"/>
    <n v="38561.666666666584"/>
  </r>
  <r>
    <x v="1"/>
    <x v="0"/>
    <x v="8"/>
    <x v="30"/>
    <n v="182"/>
    <n v="4459"/>
    <n v="15"/>
    <n v="0"/>
    <n v="0"/>
    <n v="20"/>
    <n v="24.5"/>
    <m/>
    <n v="46780"/>
    <n v="78866.666666666657"/>
    <n v="32086.666666666657"/>
  </r>
  <r>
    <x v="1"/>
    <x v="0"/>
    <x v="8"/>
    <x v="31"/>
    <n v="220"/>
    <n v="7277"/>
    <n v="5"/>
    <n v="0"/>
    <n v="20"/>
    <n v="23"/>
    <n v="33.077272727272728"/>
    <m/>
    <n v="74425"/>
    <n v="97777.777777777781"/>
    <n v="23352.777777777781"/>
  </r>
  <r>
    <x v="1"/>
    <x v="4"/>
    <x v="8"/>
    <x v="32"/>
    <n v="175"/>
    <n v="1506"/>
    <n v="20"/>
    <n v="0"/>
    <n v="33"/>
    <n v="3"/>
    <n v="8.605714285714285"/>
    <m/>
    <n v="17699"/>
    <n v="35972.222222222219"/>
    <n v="18273.222222222219"/>
  </r>
  <r>
    <x v="1"/>
    <x v="0"/>
    <x v="9"/>
    <x v="33"/>
    <n v="109"/>
    <n v="110"/>
    <n v="0"/>
    <n v="0"/>
    <n v="0"/>
    <n v="0"/>
    <n v="1.0091743119266054"/>
    <n v="11.006825938566553"/>
    <m/>
    <m/>
    <n v="0"/>
  </r>
  <r>
    <x v="1"/>
    <x v="1"/>
    <x v="9"/>
    <x v="33"/>
    <n v="0"/>
    <n v="83"/>
    <n v="0"/>
    <n v="0"/>
    <n v="0"/>
    <n v="0"/>
    <n v="0"/>
    <n v="11.006825938566553"/>
    <m/>
    <m/>
    <n v="0"/>
  </r>
  <r>
    <x v="1"/>
    <x v="2"/>
    <x v="9"/>
    <x v="33"/>
    <n v="2"/>
    <n v="65"/>
    <n v="0"/>
    <n v="0"/>
    <n v="0"/>
    <n v="0"/>
    <n v="32.5"/>
    <n v="11.006825938566553"/>
    <n v="3035"/>
    <n v="7400"/>
    <n v="4365"/>
  </r>
  <r>
    <x v="1"/>
    <x v="1"/>
    <x v="9"/>
    <x v="34"/>
    <n v="90"/>
    <n v="179"/>
    <n v="0"/>
    <n v="0"/>
    <n v="0"/>
    <n v="0"/>
    <n v="1.9888888888888889"/>
    <n v="35.728542914171655"/>
    <n v="2410"/>
    <n v="6000"/>
    <n v="3590"/>
  </r>
  <r>
    <x v="1"/>
    <x v="0"/>
    <x v="9"/>
    <x v="35"/>
    <n v="234"/>
    <n v="230"/>
    <n v="0"/>
    <n v="0"/>
    <n v="0"/>
    <n v="0"/>
    <n v="0.98290598290598286"/>
    <n v="230"/>
    <n v="2300"/>
    <n v="15600.000000000002"/>
    <n v="13300.000000000002"/>
  </r>
  <r>
    <x v="1"/>
    <x v="1"/>
    <x v="9"/>
    <x v="36"/>
    <n v="0"/>
    <n v="52"/>
    <n v="0"/>
    <n v="0"/>
    <n v="0"/>
    <n v="0"/>
    <n v="0"/>
    <n v="3.5483870967741935"/>
    <m/>
    <m/>
    <n v="0"/>
  </r>
  <r>
    <x v="1"/>
    <x v="5"/>
    <x v="9"/>
    <x v="36"/>
    <n v="0"/>
    <n v="0"/>
    <n v="0"/>
    <n v="0"/>
    <n v="0"/>
    <n v="175"/>
    <n v="0"/>
    <n v="3.5483870967741935"/>
    <m/>
    <m/>
    <n v="0"/>
  </r>
  <r>
    <x v="1"/>
    <x v="0"/>
    <x v="9"/>
    <x v="36"/>
    <n v="0"/>
    <n v="47"/>
    <n v="0"/>
    <n v="0"/>
    <n v="0"/>
    <n v="0"/>
    <n v="0"/>
    <n v="3.5483870967741935"/>
    <n v="2493"/>
    <n v="11666.666666666668"/>
    <n v="9173.6666666666679"/>
  </r>
  <r>
    <x v="1"/>
    <x v="4"/>
    <x v="10"/>
    <x v="38"/>
    <n v="93"/>
    <n v="241"/>
    <n v="16"/>
    <n v="0"/>
    <n v="6"/>
    <n v="0"/>
    <n v="2.5913978494623655"/>
    <m/>
    <n v="3158"/>
    <n v="17050"/>
    <n v="13892"/>
  </r>
  <r>
    <x v="1"/>
    <x v="1"/>
    <x v="10"/>
    <x v="39"/>
    <n v="83"/>
    <n v="264"/>
    <n v="0"/>
    <n v="6"/>
    <n v="0"/>
    <n v="3"/>
    <n v="3.1807228915662651"/>
    <m/>
    <n v="13327"/>
    <n v="15216.666666666668"/>
    <n v="1889.6666666666679"/>
  </r>
  <r>
    <x v="1"/>
    <x v="4"/>
    <x v="10"/>
    <x v="43"/>
    <n v="69"/>
    <n v="368"/>
    <n v="0"/>
    <n v="0"/>
    <n v="0"/>
    <n v="0"/>
    <n v="5.333333333333333"/>
    <m/>
    <m/>
    <m/>
    <n v="0"/>
  </r>
  <r>
    <x v="1"/>
    <x v="0"/>
    <x v="11"/>
    <x v="40"/>
    <n v="58"/>
    <n v="0"/>
    <n v="0"/>
    <n v="0"/>
    <n v="0"/>
    <n v="0"/>
    <n v="0"/>
    <n v="128"/>
    <m/>
    <m/>
    <n v="0"/>
  </r>
  <r>
    <x v="1"/>
    <x v="2"/>
    <x v="11"/>
    <x v="40"/>
    <n v="49"/>
    <n v="128"/>
    <n v="0"/>
    <n v="0"/>
    <n v="0"/>
    <n v="0"/>
    <n v="2.6122448979591835"/>
    <n v="128"/>
    <n v="1280"/>
    <n v="7727.7777777777792"/>
    <n v="6447.7777777777792"/>
  </r>
  <r>
    <x v="1"/>
    <x v="0"/>
    <x v="11"/>
    <x v="44"/>
    <n v="171"/>
    <n v="317"/>
    <n v="0"/>
    <n v="0"/>
    <n v="0"/>
    <n v="0"/>
    <n v="1.8538011695906433"/>
    <n v="19.293974437005478"/>
    <n v="3410"/>
    <n v="12350.000000000002"/>
    <n v="8940.0000000000018"/>
  </r>
  <r>
    <x v="2"/>
    <x v="0"/>
    <x v="1"/>
    <x v="1"/>
    <n v="91"/>
    <n v="632"/>
    <n v="0"/>
    <n v="0"/>
    <n v="0"/>
    <n v="0"/>
    <n v="6.9450549450549453"/>
    <m/>
    <n v="5745.58"/>
    <n v="17200"/>
    <n v="11454.42"/>
  </r>
  <r>
    <x v="2"/>
    <x v="4"/>
    <x v="1"/>
    <x v="2"/>
    <n v="61"/>
    <n v="599"/>
    <n v="17"/>
    <n v="0"/>
    <n v="0"/>
    <n v="0"/>
    <n v="9.8196721311475414"/>
    <n v="4.6669263731982857"/>
    <n v="3317.71"/>
    <n v="12200"/>
    <n v="8882.2900000000009"/>
  </r>
  <r>
    <x v="2"/>
    <x v="1"/>
    <x v="1"/>
    <x v="4"/>
    <n v="20"/>
    <n v="75"/>
    <n v="0"/>
    <n v="0"/>
    <n v="0"/>
    <n v="2"/>
    <n v="3.75"/>
    <m/>
    <m/>
    <m/>
    <n v="0"/>
  </r>
  <r>
    <x v="2"/>
    <x v="6"/>
    <x v="1"/>
    <x v="4"/>
    <n v="43"/>
    <n v="475"/>
    <n v="6"/>
    <n v="0"/>
    <n v="0"/>
    <n v="0"/>
    <n v="11.046511627906977"/>
    <m/>
    <n v="5755.42"/>
    <n v="12600"/>
    <n v="6844.58"/>
  </r>
  <r>
    <x v="2"/>
    <x v="4"/>
    <x v="2"/>
    <x v="5"/>
    <n v="198"/>
    <n v="827"/>
    <n v="0"/>
    <n v="0"/>
    <n v="0"/>
    <n v="2.5"/>
    <n v="4.1767676767676765"/>
    <n v="79.366602687140116"/>
    <n v="28926.02"/>
    <n v="55440"/>
    <n v="26513.98"/>
  </r>
  <r>
    <x v="2"/>
    <x v="4"/>
    <x v="2"/>
    <x v="6"/>
    <n v="60"/>
    <n v="230"/>
    <n v="0"/>
    <n v="0"/>
    <n v="0"/>
    <n v="0"/>
    <n v="3.8333333333333335"/>
    <n v="32.035398230088497"/>
    <m/>
    <m/>
    <n v="0"/>
  </r>
  <r>
    <x v="2"/>
    <x v="0"/>
    <x v="2"/>
    <x v="6"/>
    <n v="159"/>
    <n v="491"/>
    <n v="0"/>
    <n v="0"/>
    <n v="0"/>
    <n v="0"/>
    <n v="3.0880503144654088"/>
    <n v="32.035398230088497"/>
    <n v="32810.46"/>
    <n v="61320"/>
    <n v="28509.54"/>
  </r>
  <r>
    <x v="2"/>
    <x v="2"/>
    <x v="2"/>
    <x v="6"/>
    <n v="0"/>
    <n v="365"/>
    <n v="0"/>
    <n v="0"/>
    <n v="0"/>
    <n v="0"/>
    <n v="0"/>
    <n v="32.035398230088497"/>
    <n v="32810.46"/>
    <n v="61320"/>
    <n v="28509.54"/>
  </r>
  <r>
    <x v="2"/>
    <x v="4"/>
    <x v="2"/>
    <x v="7"/>
    <n v="188"/>
    <n v="964"/>
    <n v="0"/>
    <n v="0"/>
    <n v="0"/>
    <n v="2.5"/>
    <n v="5.1276595744680851"/>
    <n v="58.981876332622605"/>
    <n v="7256.74"/>
    <n v="52640"/>
    <n v="45383.26"/>
  </r>
  <r>
    <x v="2"/>
    <x v="2"/>
    <x v="2"/>
    <x v="8"/>
    <n v="180"/>
    <n v="1542.76"/>
    <n v="0"/>
    <n v="0"/>
    <n v="0"/>
    <n v="0"/>
    <n v="8.5708888888888897"/>
    <n v="67.126965861143077"/>
    <m/>
    <m/>
    <n v="0"/>
  </r>
  <r>
    <x v="2"/>
    <x v="0"/>
    <x v="2"/>
    <x v="8"/>
    <n v="94"/>
    <n v="0"/>
    <n v="0"/>
    <n v="0"/>
    <n v="0"/>
    <n v="0"/>
    <n v="0"/>
    <n v="67.126965861143077"/>
    <n v="12474.14"/>
    <n v="74872"/>
    <n v="62397.86"/>
  </r>
  <r>
    <x v="2"/>
    <x v="1"/>
    <x v="2"/>
    <x v="9"/>
    <n v="46"/>
    <n v="0"/>
    <n v="0"/>
    <n v="0"/>
    <n v="0"/>
    <n v="0"/>
    <n v="0"/>
    <n v="84.615384615384613"/>
    <m/>
    <m/>
    <n v="0"/>
  </r>
  <r>
    <x v="2"/>
    <x v="0"/>
    <x v="2"/>
    <x v="9"/>
    <n v="107"/>
    <n v="363"/>
    <n v="0"/>
    <n v="0"/>
    <n v="0"/>
    <n v="1"/>
    <n v="3.3925233644859811"/>
    <n v="84.615384615384613"/>
    <n v="14076.27"/>
    <n v="22800"/>
    <n v="8723.73"/>
  </r>
  <r>
    <x v="2"/>
    <x v="0"/>
    <x v="2"/>
    <x v="10"/>
    <n v="167"/>
    <n v="723"/>
    <n v="0"/>
    <n v="0"/>
    <n v="0"/>
    <n v="0"/>
    <n v="4.3293413173652695"/>
    <n v="49.116847826086953"/>
    <n v="18106.259999999998"/>
    <n v="22350"/>
    <n v="4243.7400000000016"/>
  </r>
  <r>
    <x v="2"/>
    <x v="4"/>
    <x v="2"/>
    <x v="11"/>
    <n v="108"/>
    <n v="152"/>
    <n v="0"/>
    <n v="0"/>
    <n v="0"/>
    <n v="0"/>
    <n v="1.4074074074074074"/>
    <n v="34.482758620689658"/>
    <n v="953.04"/>
    <n v="0"/>
    <n v="-953.04"/>
  </r>
  <r>
    <x v="2"/>
    <x v="0"/>
    <x v="2"/>
    <x v="12"/>
    <n v="17"/>
    <n v="0"/>
    <n v="0"/>
    <n v="0"/>
    <n v="0"/>
    <n v="0"/>
    <n v="0"/>
    <n v="33"/>
    <n v="18127.169999999998"/>
    <n v="560"/>
    <n v="-17567.169999999998"/>
  </r>
  <r>
    <x v="2"/>
    <x v="2"/>
    <x v="2"/>
    <x v="12"/>
    <n v="159.5"/>
    <n v="816"/>
    <n v="0"/>
    <n v="20"/>
    <n v="110"/>
    <n v="0"/>
    <n v="5.1159874608150471"/>
    <n v="33"/>
    <m/>
    <m/>
    <n v="0"/>
  </r>
  <r>
    <x v="2"/>
    <x v="1"/>
    <x v="2"/>
    <x v="13"/>
    <n v="0"/>
    <n v="2054.3000000000002"/>
    <n v="0"/>
    <n v="0"/>
    <n v="0"/>
    <n v="0"/>
    <n v="0"/>
    <m/>
    <m/>
    <m/>
    <n v="0"/>
  </r>
  <r>
    <x v="2"/>
    <x v="0"/>
    <x v="2"/>
    <x v="13"/>
    <n v="95"/>
    <n v="416"/>
    <n v="0"/>
    <n v="0"/>
    <n v="0"/>
    <n v="0"/>
    <n v="4.3789473684210529"/>
    <m/>
    <n v="24919.68"/>
    <n v="50100"/>
    <n v="25180.32"/>
  </r>
  <r>
    <x v="2"/>
    <x v="0"/>
    <x v="2"/>
    <x v="14"/>
    <n v="0"/>
    <n v="1411"/>
    <n v="0"/>
    <n v="0"/>
    <n v="0"/>
    <n v="0"/>
    <n v="0"/>
    <n v="55.039193729003358"/>
    <n v="135142.23000000001"/>
    <n v="34650"/>
    <n v="-100492.23000000001"/>
  </r>
  <r>
    <x v="2"/>
    <x v="4"/>
    <x v="2"/>
    <x v="14"/>
    <n v="0"/>
    <n v="985"/>
    <n v="0"/>
    <n v="0"/>
    <n v="0"/>
    <n v="0"/>
    <n v="0"/>
    <n v="55.039193729003358"/>
    <m/>
    <m/>
    <n v="0"/>
  </r>
  <r>
    <x v="2"/>
    <x v="6"/>
    <x v="2"/>
    <x v="14"/>
    <n v="45"/>
    <n v="0"/>
    <n v="0"/>
    <n v="0"/>
    <n v="0"/>
    <n v="0"/>
    <n v="0"/>
    <n v="55.039193729003358"/>
    <m/>
    <m/>
    <n v="0"/>
  </r>
  <r>
    <x v="2"/>
    <x v="5"/>
    <x v="2"/>
    <x v="14"/>
    <n v="18"/>
    <n v="533"/>
    <n v="0"/>
    <n v="0"/>
    <n v="0"/>
    <n v="0"/>
    <n v="29.611111111111111"/>
    <n v="55.039193729003358"/>
    <m/>
    <m/>
    <n v="0"/>
  </r>
  <r>
    <x v="2"/>
    <x v="2"/>
    <x v="2"/>
    <x v="14"/>
    <n v="0"/>
    <n v="1003"/>
    <n v="0"/>
    <n v="0"/>
    <n v="25"/>
    <n v="0"/>
    <n v="0"/>
    <n v="55.039193729003358"/>
    <m/>
    <m/>
    <n v="0"/>
  </r>
  <r>
    <x v="2"/>
    <x v="2"/>
    <x v="2"/>
    <x v="15"/>
    <n v="177.5"/>
    <n v="595.6"/>
    <n v="0"/>
    <n v="0"/>
    <n v="0"/>
    <n v="0"/>
    <n v="3.3554929577464789"/>
    <n v="37"/>
    <m/>
    <m/>
    <n v="0"/>
  </r>
  <r>
    <x v="2"/>
    <x v="0"/>
    <x v="2"/>
    <x v="15"/>
    <n v="104"/>
    <n v="493"/>
    <n v="0"/>
    <n v="0"/>
    <n v="0"/>
    <n v="0"/>
    <n v="4.740384615384615"/>
    <n v="37"/>
    <n v="9580.5"/>
    <n v="70896"/>
    <n v="61315.5"/>
  </r>
  <r>
    <x v="2"/>
    <x v="4"/>
    <x v="2"/>
    <x v="16"/>
    <n v="43.5"/>
    <n v="285"/>
    <n v="5"/>
    <n v="0"/>
    <n v="0"/>
    <n v="2.5"/>
    <n v="6.5517241379310347"/>
    <m/>
    <m/>
    <m/>
    <n v="0"/>
  </r>
  <r>
    <x v="2"/>
    <x v="1"/>
    <x v="2"/>
    <x v="16"/>
    <n v="76"/>
    <n v="493"/>
    <n v="0"/>
    <n v="0"/>
    <n v="0"/>
    <n v="5"/>
    <n v="6.4868421052631575"/>
    <m/>
    <n v="8343.41"/>
    <n v="26125"/>
    <n v="17781.59"/>
  </r>
  <r>
    <x v="2"/>
    <x v="2"/>
    <x v="3"/>
    <x v="17"/>
    <n v="68"/>
    <n v="455"/>
    <n v="25"/>
    <n v="0"/>
    <n v="5"/>
    <n v="10"/>
    <n v="6.6911764705882355"/>
    <m/>
    <m/>
    <m/>
    <n v="0"/>
  </r>
  <r>
    <x v="2"/>
    <x v="0"/>
    <x v="3"/>
    <x v="17"/>
    <n v="30"/>
    <n v="486"/>
    <n v="10"/>
    <n v="0"/>
    <n v="0"/>
    <n v="0"/>
    <n v="16.2"/>
    <m/>
    <n v="8668.11"/>
    <n v="42534"/>
    <n v="33865.89"/>
  </r>
  <r>
    <x v="2"/>
    <x v="2"/>
    <x v="3"/>
    <x v="18"/>
    <n v="295"/>
    <n v="1970.39"/>
    <n v="50"/>
    <n v="0"/>
    <n v="25"/>
    <n v="20"/>
    <n v="6.6792881355932208"/>
    <m/>
    <n v="18479.189999999999"/>
    <n v="102220"/>
    <n v="83740.81"/>
  </r>
  <r>
    <x v="2"/>
    <x v="5"/>
    <x v="3"/>
    <x v="41"/>
    <n v="92"/>
    <n v="1507"/>
    <n v="75"/>
    <n v="0"/>
    <n v="86"/>
    <n v="0"/>
    <n v="16.380434782608695"/>
    <m/>
    <n v="18942.45"/>
    <n v="34960"/>
    <n v="16017.55"/>
  </r>
  <r>
    <x v="2"/>
    <x v="0"/>
    <x v="2"/>
    <x v="20"/>
    <n v="4"/>
    <n v="191"/>
    <n v="0"/>
    <n v="0"/>
    <n v="3"/>
    <n v="0"/>
    <n v="47.75"/>
    <m/>
    <n v="0"/>
    <n v="1400"/>
    <n v="1400"/>
  </r>
  <r>
    <x v="2"/>
    <x v="2"/>
    <x v="5"/>
    <x v="21"/>
    <n v="0"/>
    <n v="0"/>
    <n v="0"/>
    <n v="0"/>
    <n v="0"/>
    <n v="0"/>
    <n v="0"/>
    <m/>
    <n v="0"/>
    <n v="0"/>
    <n v="0"/>
  </r>
  <r>
    <x v="2"/>
    <x v="0"/>
    <x v="6"/>
    <x v="22"/>
    <n v="0"/>
    <n v="0"/>
    <n v="0"/>
    <n v="0"/>
    <n v="0"/>
    <n v="0"/>
    <n v="0"/>
    <m/>
    <n v="59609.29"/>
    <n v="0"/>
    <n v="-59609.29"/>
  </r>
  <r>
    <x v="2"/>
    <x v="6"/>
    <x v="7"/>
    <x v="42"/>
    <n v="84"/>
    <n v="1072.58"/>
    <n v="7"/>
    <n v="0"/>
    <n v="0"/>
    <n v="0"/>
    <n v="12.768809523809523"/>
    <m/>
    <m/>
    <m/>
    <n v="0"/>
  </r>
  <r>
    <x v="2"/>
    <x v="0"/>
    <x v="7"/>
    <x v="42"/>
    <n v="13"/>
    <n v="357"/>
    <n v="2"/>
    <n v="0"/>
    <n v="4"/>
    <n v="0"/>
    <n v="27.46153846153846"/>
    <m/>
    <n v="12040.45"/>
    <n v="48500"/>
    <n v="36459.550000000003"/>
  </r>
  <r>
    <x v="2"/>
    <x v="4"/>
    <x v="7"/>
    <x v="23"/>
    <n v="195"/>
    <n v="1789"/>
    <n v="10"/>
    <n v="0"/>
    <n v="10"/>
    <n v="2.5"/>
    <n v="9.1743589743589737"/>
    <m/>
    <n v="30005.62"/>
    <n v="78000"/>
    <n v="47994.380000000005"/>
  </r>
  <r>
    <x v="2"/>
    <x v="0"/>
    <x v="7"/>
    <x v="24"/>
    <n v="191"/>
    <n v="3018"/>
    <n v="20"/>
    <n v="0"/>
    <n v="0"/>
    <n v="4"/>
    <n v="15.801047120418849"/>
    <m/>
    <n v="42762.71"/>
    <n v="91500"/>
    <n v="48737.29"/>
  </r>
  <r>
    <x v="2"/>
    <x v="0"/>
    <x v="7"/>
    <x v="45"/>
    <n v="0"/>
    <n v="51"/>
    <n v="0"/>
    <n v="0"/>
    <n v="7"/>
    <n v="0"/>
    <n v="0"/>
    <m/>
    <n v="14144.61"/>
    <n v="0"/>
    <n v="-14144.61"/>
  </r>
  <r>
    <x v="2"/>
    <x v="2"/>
    <x v="0"/>
    <x v="46"/>
    <n v="95"/>
    <n v="69"/>
    <n v="1"/>
    <n v="0"/>
    <n v="1"/>
    <n v="0"/>
    <n v="0.72631578947368425"/>
    <n v="6.0841195661758229"/>
    <n v="33.119999999999997"/>
    <n v="0"/>
    <n v="-33.119999999999997"/>
  </r>
  <r>
    <x v="2"/>
    <x v="0"/>
    <x v="0"/>
    <x v="47"/>
    <n v="0"/>
    <n v="23"/>
    <n v="0"/>
    <n v="0"/>
    <n v="0"/>
    <n v="0"/>
    <n v="0"/>
    <m/>
    <n v="543.5"/>
    <n v="0"/>
    <n v="-543.5"/>
  </r>
  <r>
    <x v="2"/>
    <x v="2"/>
    <x v="0"/>
    <x v="48"/>
    <n v="326"/>
    <n v="7625.4699999999993"/>
    <n v="71"/>
    <n v="0"/>
    <n v="0"/>
    <n v="0"/>
    <n v="23.391012269938649"/>
    <n v="40.636664002131624"/>
    <n v="65016.92"/>
    <n v="0"/>
    <n v="-65016.92"/>
  </r>
  <r>
    <x v="2"/>
    <x v="6"/>
    <x v="0"/>
    <x v="49"/>
    <n v="6"/>
    <n v="18"/>
    <n v="0"/>
    <n v="0"/>
    <n v="0"/>
    <n v="0"/>
    <n v="3"/>
    <m/>
    <n v="2853.16"/>
    <n v="0"/>
    <n v="-2853.16"/>
  </r>
  <r>
    <x v="2"/>
    <x v="0"/>
    <x v="0"/>
    <x v="49"/>
    <n v="0"/>
    <n v="196"/>
    <n v="4"/>
    <n v="0"/>
    <n v="0"/>
    <n v="0"/>
    <n v="0"/>
    <m/>
    <m/>
    <m/>
    <n v="0"/>
  </r>
  <r>
    <x v="2"/>
    <x v="5"/>
    <x v="0"/>
    <x v="50"/>
    <n v="42"/>
    <n v="81.5"/>
    <n v="0"/>
    <n v="0"/>
    <n v="0"/>
    <n v="0"/>
    <n v="1.9404761904761905"/>
    <m/>
    <n v="734.81"/>
    <n v="0"/>
    <n v="-734.81"/>
  </r>
  <r>
    <x v="2"/>
    <x v="0"/>
    <x v="0"/>
    <x v="51"/>
    <n v="0"/>
    <n v="42"/>
    <n v="7"/>
    <n v="0"/>
    <n v="0"/>
    <n v="0"/>
    <n v="0"/>
    <m/>
    <n v="313.31"/>
    <n v="0"/>
    <n v="-313.31"/>
  </r>
  <r>
    <x v="2"/>
    <x v="2"/>
    <x v="0"/>
    <x v="52"/>
    <n v="78"/>
    <n v="118"/>
    <n v="6"/>
    <n v="0"/>
    <n v="0"/>
    <n v="0"/>
    <n v="1.5128205128205128"/>
    <m/>
    <m/>
    <m/>
    <n v="0"/>
  </r>
  <r>
    <x v="2"/>
    <x v="5"/>
    <x v="8"/>
    <x v="25"/>
    <n v="91"/>
    <n v="1650"/>
    <n v="0"/>
    <n v="0"/>
    <n v="15"/>
    <n v="10"/>
    <n v="18.131868131868131"/>
    <m/>
    <n v="40095.550000000003"/>
    <n v="39270"/>
    <n v="-825.55000000000291"/>
  </r>
  <r>
    <x v="2"/>
    <x v="4"/>
    <x v="8"/>
    <x v="26"/>
    <n v="91"/>
    <n v="1095"/>
    <n v="57"/>
    <n v="0"/>
    <n v="0"/>
    <n v="0"/>
    <n v="12.032967032967033"/>
    <m/>
    <n v="32077.87"/>
    <n v="38220"/>
    <n v="6142.130000000001"/>
  </r>
  <r>
    <x v="2"/>
    <x v="2"/>
    <x v="8"/>
    <x v="27"/>
    <n v="241.5"/>
    <n v="3298"/>
    <n v="26"/>
    <n v="0"/>
    <n v="5"/>
    <n v="15"/>
    <n v="13.656314699792961"/>
    <m/>
    <n v="56179.19"/>
    <n v="98196"/>
    <n v="42016.81"/>
  </r>
  <r>
    <x v="2"/>
    <x v="0"/>
    <x v="8"/>
    <x v="28"/>
    <n v="232"/>
    <n v="5650"/>
    <n v="31"/>
    <n v="0"/>
    <n v="10"/>
    <n v="17"/>
    <n v="24.353448275862068"/>
    <m/>
    <n v="71182.45"/>
    <n v="83160"/>
    <n v="11977.550000000003"/>
  </r>
  <r>
    <x v="2"/>
    <x v="0"/>
    <x v="8"/>
    <x v="29"/>
    <n v="235"/>
    <n v="5967"/>
    <n v="60"/>
    <n v="0"/>
    <n v="42"/>
    <n v="19"/>
    <n v="25.391489361702128"/>
    <m/>
    <n v="80930.78"/>
    <n v="99960"/>
    <n v="19029.22"/>
  </r>
  <r>
    <x v="2"/>
    <x v="0"/>
    <x v="8"/>
    <x v="30"/>
    <n v="94"/>
    <n v="1862"/>
    <n v="25"/>
    <n v="0"/>
    <n v="25"/>
    <n v="14.5"/>
    <n v="19.808510638297872"/>
    <m/>
    <n v="54923.81"/>
    <n v="50820"/>
    <n v="-4103.8099999999977"/>
  </r>
  <r>
    <x v="2"/>
    <x v="5"/>
    <x v="8"/>
    <x v="30"/>
    <n v="80"/>
    <n v="2014"/>
    <n v="0"/>
    <n v="0"/>
    <n v="0"/>
    <n v="10"/>
    <n v="25.175000000000001"/>
    <m/>
    <m/>
    <m/>
    <n v="0"/>
  </r>
  <r>
    <x v="2"/>
    <x v="0"/>
    <x v="8"/>
    <x v="31"/>
    <n v="201"/>
    <n v="5755"/>
    <n v="40"/>
    <n v="0"/>
    <n v="87"/>
    <n v="20.5"/>
    <n v="28.631840796019901"/>
    <m/>
    <n v="68985.8"/>
    <n v="65940"/>
    <n v="-3045.8000000000029"/>
  </r>
  <r>
    <x v="2"/>
    <x v="4"/>
    <x v="8"/>
    <x v="32"/>
    <n v="206"/>
    <n v="1161"/>
    <n v="0"/>
    <n v="0"/>
    <n v="20"/>
    <n v="2.5"/>
    <n v="5.6359223300970873"/>
    <n v="12.733055494626015"/>
    <n v="9845.2999999999993"/>
    <n v="45320"/>
    <n v="35474.699999999997"/>
  </r>
  <r>
    <x v="2"/>
    <x v="0"/>
    <x v="9"/>
    <x v="33"/>
    <n v="0"/>
    <n v="237"/>
    <n v="5"/>
    <n v="0"/>
    <n v="0"/>
    <n v="0"/>
    <n v="0"/>
    <n v="14.634146341463415"/>
    <m/>
    <m/>
    <n v="0"/>
  </r>
  <r>
    <x v="2"/>
    <x v="1"/>
    <x v="9"/>
    <x v="33"/>
    <n v="9"/>
    <n v="75"/>
    <n v="0"/>
    <n v="0"/>
    <n v="0"/>
    <n v="0"/>
    <n v="8.3333333333333339"/>
    <n v="14.634146341463415"/>
    <m/>
    <m/>
    <n v="0"/>
  </r>
  <r>
    <x v="2"/>
    <x v="4"/>
    <x v="9"/>
    <x v="33"/>
    <n v="151"/>
    <n v="228"/>
    <n v="0"/>
    <n v="0"/>
    <n v="0"/>
    <n v="0"/>
    <n v="1.509933774834437"/>
    <n v="14.634146341463415"/>
    <n v="6188.16"/>
    <n v="13520"/>
    <n v="7331.84"/>
  </r>
  <r>
    <x v="2"/>
    <x v="1"/>
    <x v="9"/>
    <x v="34"/>
    <n v="142"/>
    <n v="182"/>
    <n v="1"/>
    <n v="0"/>
    <n v="0"/>
    <n v="0"/>
    <n v="1.2816901408450705"/>
    <m/>
    <n v="1820"/>
    <n v="15340"/>
    <n v="13520"/>
  </r>
  <r>
    <x v="2"/>
    <x v="0"/>
    <x v="9"/>
    <x v="35"/>
    <n v="270"/>
    <n v="224"/>
    <n v="0"/>
    <n v="0"/>
    <n v="0"/>
    <n v="0"/>
    <n v="0.82962962962962961"/>
    <m/>
    <n v="1752.19"/>
    <n v="14040"/>
    <n v="12287.81"/>
  </r>
  <r>
    <x v="2"/>
    <x v="5"/>
    <x v="9"/>
    <x v="36"/>
    <n v="224.5"/>
    <n v="379.33"/>
    <n v="0"/>
    <n v="0"/>
    <n v="0"/>
    <n v="0"/>
    <n v="1.6896659242761691"/>
    <n v="6.9499816782704285"/>
    <n v="3585.05"/>
    <n v="4827.55"/>
    <n v="1242.5"/>
  </r>
  <r>
    <x v="2"/>
    <x v="4"/>
    <x v="10"/>
    <x v="38"/>
    <n v="96"/>
    <n v="368"/>
    <n v="0"/>
    <n v="0"/>
    <n v="10"/>
    <n v="2.5"/>
    <n v="3.8333333333333335"/>
    <m/>
    <n v="1557.5"/>
    <n v="17280"/>
    <n v="15722.5"/>
  </r>
  <r>
    <x v="2"/>
    <x v="1"/>
    <x v="10"/>
    <x v="39"/>
    <n v="108"/>
    <n v="405"/>
    <n v="16"/>
    <n v="0"/>
    <n v="15"/>
    <n v="4"/>
    <n v="3.75"/>
    <m/>
    <n v="4759.74"/>
    <n v="31140"/>
    <n v="26380.260000000002"/>
  </r>
  <r>
    <x v="2"/>
    <x v="6"/>
    <x v="10"/>
    <x v="43"/>
    <n v="79"/>
    <n v="399"/>
    <n v="8"/>
    <n v="0"/>
    <n v="75"/>
    <n v="0"/>
    <n v="5.0506329113924053"/>
    <m/>
    <m/>
    <m/>
    <n v="0"/>
  </r>
  <r>
    <x v="2"/>
    <x v="4"/>
    <x v="10"/>
    <x v="43"/>
    <n v="72"/>
    <n v="341"/>
    <n v="0"/>
    <n v="0"/>
    <n v="0"/>
    <n v="0"/>
    <n v="4.7361111111111107"/>
    <m/>
    <n v="7407.66"/>
    <n v="27180"/>
    <n v="19772.34"/>
  </r>
  <r>
    <x v="2"/>
    <x v="2"/>
    <x v="11"/>
    <x v="40"/>
    <n v="143"/>
    <n v="231"/>
    <n v="3"/>
    <n v="0"/>
    <n v="0"/>
    <n v="0"/>
    <n v="1.6153846153846154"/>
    <m/>
    <n v="1956.9"/>
    <n v="14040"/>
    <n v="12083.1"/>
  </r>
  <r>
    <x v="2"/>
    <x v="2"/>
    <x v="11"/>
    <x v="44"/>
    <n v="11"/>
    <n v="119.03999999999999"/>
    <n v="0"/>
    <n v="0"/>
    <n v="0"/>
    <n v="0"/>
    <n v="10.82181818181818"/>
    <m/>
    <m/>
    <m/>
    <n v="0"/>
  </r>
  <r>
    <x v="2"/>
    <x v="0"/>
    <x v="11"/>
    <x v="44"/>
    <n v="232"/>
    <n v="126"/>
    <n v="0"/>
    <n v="0"/>
    <n v="0"/>
    <n v="0"/>
    <n v="0.5431034482758621"/>
    <m/>
    <n v="1650.18"/>
    <n v="12545"/>
    <n v="10894.82"/>
  </r>
  <r>
    <x v="2"/>
    <x v="0"/>
    <x v="12"/>
    <x v="53"/>
    <n v="0"/>
    <n v="53"/>
    <n v="0"/>
    <n v="0"/>
    <n v="0"/>
    <n v="0"/>
    <n v="0"/>
    <m/>
    <n v="17938.240000000002"/>
    <n v="11200"/>
    <n v="-6738.2400000000016"/>
  </r>
  <r>
    <x v="2"/>
    <x v="5"/>
    <x v="12"/>
    <x v="53"/>
    <n v="0"/>
    <n v="50"/>
    <n v="0"/>
    <n v="0"/>
    <n v="0"/>
    <n v="0"/>
    <n v="0"/>
    <m/>
    <m/>
    <m/>
    <n v="0"/>
  </r>
  <r>
    <x v="2"/>
    <x v="2"/>
    <x v="12"/>
    <x v="53"/>
    <n v="0"/>
    <n v="22.84"/>
    <n v="0"/>
    <n v="0"/>
    <n v="0"/>
    <n v="0"/>
    <n v="0"/>
    <m/>
    <m/>
    <m/>
    <n v="0"/>
  </r>
  <r>
    <x v="2"/>
    <x v="4"/>
    <x v="12"/>
    <x v="54"/>
    <n v="2"/>
    <n v="193"/>
    <n v="0"/>
    <n v="0"/>
    <n v="0"/>
    <n v="0"/>
    <n v="96.5"/>
    <n v="0.18045478345425986"/>
    <n v="8493.91"/>
    <n v="0"/>
    <n v="-8493.91"/>
  </r>
  <r>
    <x v="2"/>
    <x v="4"/>
    <x v="12"/>
    <x v="55"/>
    <n v="102"/>
    <n v="229"/>
    <n v="0"/>
    <n v="0"/>
    <n v="0"/>
    <n v="0"/>
    <n v="2.2450980392156863"/>
    <n v="9.1526778577138295"/>
    <n v="2561.83"/>
    <n v="9000"/>
    <n v="6438.17"/>
  </r>
  <r>
    <x v="2"/>
    <x v="0"/>
    <x v="12"/>
    <x v="56"/>
    <n v="270"/>
    <n v="193"/>
    <n v="0"/>
    <n v="0"/>
    <n v="0"/>
    <n v="0"/>
    <n v="0.71481481481481479"/>
    <n v="7.0618368093669961"/>
    <n v="2223.5"/>
    <n v="7200"/>
    <n v="4976.5"/>
  </r>
  <r>
    <x v="2"/>
    <x v="5"/>
    <x v="12"/>
    <x v="57"/>
    <n v="169"/>
    <n v="204.84"/>
    <n v="0"/>
    <n v="0"/>
    <n v="0"/>
    <n v="0"/>
    <n v="1.2120710059171598"/>
    <n v="9.0717449069973419"/>
    <n v="1966.94"/>
    <n v="5931"/>
    <n v="3964.06"/>
  </r>
  <r>
    <x v="2"/>
    <x v="0"/>
    <x v="12"/>
    <x v="58"/>
    <n v="0"/>
    <n v="222"/>
    <n v="0"/>
    <n v="0"/>
    <n v="0"/>
    <n v="0"/>
    <n v="0"/>
    <m/>
    <n v="0"/>
    <n v="9600"/>
    <n v="9600"/>
  </r>
  <r>
    <x v="2"/>
    <x v="1"/>
    <x v="12"/>
    <x v="59"/>
    <n v="0"/>
    <n v="31.78"/>
    <n v="0"/>
    <n v="0"/>
    <n v="0"/>
    <n v="0"/>
    <n v="0"/>
    <m/>
    <m/>
    <m/>
    <n v="0"/>
  </r>
  <r>
    <x v="2"/>
    <x v="0"/>
    <x v="12"/>
    <x v="59"/>
    <n v="0"/>
    <n v="258"/>
    <n v="0"/>
    <n v="0"/>
    <n v="0"/>
    <n v="0"/>
    <n v="0"/>
    <m/>
    <n v="2509.88"/>
    <n v="10920"/>
    <n v="8410.119999999999"/>
  </r>
  <r>
    <x v="2"/>
    <x v="2"/>
    <x v="12"/>
    <x v="60"/>
    <n v="72"/>
    <n v="52"/>
    <n v="0"/>
    <n v="0"/>
    <n v="0"/>
    <n v="0"/>
    <n v="0.72222222222222221"/>
    <n v="5.7465091299677766"/>
    <m/>
    <m/>
    <n v="0"/>
  </r>
  <r>
    <x v="2"/>
    <x v="4"/>
    <x v="12"/>
    <x v="60"/>
    <n v="98"/>
    <n v="55"/>
    <n v="0"/>
    <n v="0"/>
    <n v="0"/>
    <n v="0"/>
    <n v="0.56122448979591832"/>
    <n v="5.7465091299677766"/>
    <n v="1070"/>
    <n v="8462"/>
    <n v="7392"/>
  </r>
  <r>
    <x v="2"/>
    <x v="6"/>
    <x v="12"/>
    <x v="61"/>
    <n v="180"/>
    <n v="67"/>
    <n v="0"/>
    <n v="0"/>
    <n v="0"/>
    <n v="0"/>
    <n v="0.37222222222222223"/>
    <n v="7.6597246734909987"/>
    <m/>
    <m/>
    <n v="0"/>
  </r>
  <r>
    <x v="2"/>
    <x v="4"/>
    <x v="12"/>
    <x v="61"/>
    <n v="15"/>
    <n v="150"/>
    <n v="0"/>
    <n v="0"/>
    <n v="0"/>
    <n v="0"/>
    <n v="10"/>
    <n v="7.6597246734909987"/>
    <n v="2024.53"/>
    <n v="9120"/>
    <n v="7095.47"/>
  </r>
  <r>
    <x v="2"/>
    <x v="5"/>
    <x v="12"/>
    <x v="62"/>
    <n v="162"/>
    <n v="103.21000000000001"/>
    <n v="0"/>
    <n v="0"/>
    <n v="0"/>
    <n v="0"/>
    <n v="0.63709876543209887"/>
    <n v="4.9136190262508412"/>
    <m/>
    <m/>
    <n v="0"/>
  </r>
  <r>
    <x v="2"/>
    <x v="0"/>
    <x v="12"/>
    <x v="62"/>
    <n v="106"/>
    <n v="116"/>
    <n v="0"/>
    <n v="0"/>
    <n v="0"/>
    <n v="0"/>
    <n v="1.0943396226415094"/>
    <n v="4.9136190262508412"/>
    <n v="2690.4"/>
    <n v="7200"/>
    <n v="4509.6000000000004"/>
  </r>
  <r>
    <x v="2"/>
    <x v="0"/>
    <x v="12"/>
    <x v="63"/>
    <n v="36"/>
    <n v="92"/>
    <n v="0"/>
    <n v="0"/>
    <n v="0"/>
    <n v="0"/>
    <n v="2.5555555555555554"/>
    <n v="6.9908814589665651"/>
    <n v="440"/>
    <n v="12000"/>
    <n v="11560"/>
  </r>
  <r>
    <x v="2"/>
    <x v="1"/>
    <x v="12"/>
    <x v="64"/>
    <n v="0"/>
    <n v="10.6"/>
    <n v="0"/>
    <n v="0"/>
    <n v="0"/>
    <n v="0"/>
    <n v="0"/>
    <n v="2.1694764862466727"/>
    <m/>
    <m/>
    <n v="0"/>
  </r>
  <r>
    <x v="2"/>
    <x v="4"/>
    <x v="12"/>
    <x v="64"/>
    <n v="2"/>
    <n v="39"/>
    <n v="0"/>
    <n v="0"/>
    <n v="0"/>
    <n v="0"/>
    <n v="19.5"/>
    <n v="2.1694764862466727"/>
    <m/>
    <m/>
    <n v="0"/>
  </r>
  <r>
    <x v="2"/>
    <x v="5"/>
    <x v="12"/>
    <x v="64"/>
    <n v="18"/>
    <n v="38"/>
    <n v="0"/>
    <n v="0"/>
    <n v="0"/>
    <n v="0"/>
    <n v="2.1111111111111112"/>
    <n v="2.1694764862466727"/>
    <m/>
    <m/>
    <n v="0"/>
  </r>
  <r>
    <x v="2"/>
    <x v="2"/>
    <x v="12"/>
    <x v="64"/>
    <n v="2"/>
    <n v="40"/>
    <n v="0"/>
    <n v="0"/>
    <n v="0"/>
    <n v="0"/>
    <n v="20"/>
    <n v="2.1694764862466727"/>
    <m/>
    <m/>
    <n v="0"/>
  </r>
  <r>
    <x v="2"/>
    <x v="0"/>
    <x v="12"/>
    <x v="64"/>
    <n v="34"/>
    <n v="68"/>
    <n v="0"/>
    <n v="0"/>
    <n v="0"/>
    <n v="0"/>
    <n v="2"/>
    <n v="2.1694764862466727"/>
    <n v="1186"/>
    <n v="4800"/>
    <n v="3614"/>
  </r>
  <r>
    <x v="2"/>
    <x v="6"/>
    <x v="12"/>
    <x v="65"/>
    <n v="252"/>
    <n v="189.75"/>
    <n v="0"/>
    <n v="0"/>
    <n v="0"/>
    <n v="0"/>
    <n v="0.75297619047619047"/>
    <n v="22.297297297297298"/>
    <n v="2144.5300000000002"/>
    <n v="8400"/>
    <n v="6255.4699999999993"/>
  </r>
  <r>
    <x v="3"/>
    <x v="0"/>
    <x v="1"/>
    <x v="1"/>
    <n v="132"/>
    <n v="1085"/>
    <n v="0"/>
    <n v="0"/>
    <n v="0"/>
    <n v="0"/>
    <n v="8.2196969696969688"/>
    <m/>
    <n v="15700"/>
    <n v="26400"/>
    <n v="10700"/>
  </r>
  <r>
    <x v="3"/>
    <x v="4"/>
    <x v="1"/>
    <x v="2"/>
    <n v="79"/>
    <n v="485"/>
    <n v="11"/>
    <n v="0"/>
    <n v="0"/>
    <n v="4"/>
    <n v="6.1392405063291138"/>
    <m/>
    <n v="580"/>
    <n v="8000"/>
    <n v="7420"/>
  </r>
  <r>
    <x v="3"/>
    <x v="0"/>
    <x v="1"/>
    <x v="3"/>
    <n v="36"/>
    <n v="122"/>
    <n v="4"/>
    <n v="0"/>
    <n v="25"/>
    <n v="0"/>
    <n v="3.3888888888888888"/>
    <m/>
    <n v="1331.08"/>
    <n v="1200"/>
    <n v="-131.07999999999993"/>
  </r>
  <r>
    <x v="3"/>
    <x v="6"/>
    <x v="1"/>
    <x v="4"/>
    <n v="69"/>
    <n v="970"/>
    <n v="20"/>
    <n v="0"/>
    <n v="5"/>
    <n v="5"/>
    <n v="14.057971014492754"/>
    <m/>
    <n v="10850"/>
    <n v="12600"/>
    <n v="1750"/>
  </r>
  <r>
    <x v="3"/>
    <x v="6"/>
    <x v="2"/>
    <x v="5"/>
    <n v="19"/>
    <n v="291"/>
    <n v="0"/>
    <n v="0"/>
    <n v="0"/>
    <n v="0"/>
    <n v="15.315789473684211"/>
    <n v="1.5088302644374039"/>
    <m/>
    <m/>
    <n v="0"/>
  </r>
  <r>
    <x v="3"/>
    <x v="4"/>
    <x v="2"/>
    <x v="5"/>
    <n v="187"/>
    <n v="1152"/>
    <n v="0"/>
    <n v="0"/>
    <n v="0"/>
    <n v="2"/>
    <n v="6.1604278074866308"/>
    <n v="1.5088302644374039"/>
    <n v="36102.76"/>
    <n v="59920"/>
    <n v="23817.239999999998"/>
  </r>
  <r>
    <x v="3"/>
    <x v="0"/>
    <x v="2"/>
    <x v="6"/>
    <n v="283"/>
    <n v="796"/>
    <n v="0"/>
    <n v="0"/>
    <n v="0"/>
    <n v="0"/>
    <n v="2.8127208480565371"/>
    <n v="33"/>
    <m/>
    <m/>
    <n v="0"/>
  </r>
  <r>
    <x v="3"/>
    <x v="2"/>
    <x v="2"/>
    <x v="6"/>
    <n v="6.5"/>
    <n v="0"/>
    <n v="0"/>
    <n v="0"/>
    <n v="0"/>
    <n v="0"/>
    <n v="0"/>
    <n v="33"/>
    <n v="29632.76"/>
    <n v="81060"/>
    <n v="51427.240000000005"/>
  </r>
  <r>
    <x v="3"/>
    <x v="4"/>
    <x v="2"/>
    <x v="7"/>
    <n v="211"/>
    <n v="2213"/>
    <n v="0"/>
    <n v="0"/>
    <n v="0"/>
    <n v="0"/>
    <n v="10.488151658767773"/>
    <n v="58.981876332622605"/>
    <n v="22130"/>
    <n v="59080"/>
    <n v="36950"/>
  </r>
  <r>
    <x v="3"/>
    <x v="0"/>
    <x v="2"/>
    <x v="8"/>
    <n v="154"/>
    <n v="1392"/>
    <n v="0"/>
    <n v="0"/>
    <n v="0"/>
    <n v="0"/>
    <n v="9.0389610389610393"/>
    <n v="67.126965861143077"/>
    <m/>
    <m/>
    <n v="0"/>
  </r>
  <r>
    <x v="3"/>
    <x v="2"/>
    <x v="2"/>
    <x v="8"/>
    <n v="96"/>
    <n v="422.46000000000004"/>
    <n v="0"/>
    <n v="0"/>
    <n v="0"/>
    <n v="0"/>
    <n v="4.4006250000000007"/>
    <n v="67.126965861143077"/>
    <n v="18145"/>
    <n v="72240"/>
    <n v="54095"/>
  </r>
  <r>
    <x v="3"/>
    <x v="0"/>
    <x v="2"/>
    <x v="9"/>
    <n v="153"/>
    <n v="372"/>
    <n v="0"/>
    <n v="0"/>
    <n v="0"/>
    <n v="0"/>
    <n v="2.4313725490196076"/>
    <n v="46.752136752136749"/>
    <m/>
    <m/>
    <n v="0"/>
  </r>
  <r>
    <x v="3"/>
    <x v="2"/>
    <x v="2"/>
    <x v="9"/>
    <n v="3"/>
    <n v="175"/>
    <n v="0"/>
    <n v="0"/>
    <n v="0"/>
    <n v="0"/>
    <n v="58.333333333333336"/>
    <n v="46.752136752136749"/>
    <n v="15682.49"/>
    <n v="23400"/>
    <n v="7717.51"/>
  </r>
  <r>
    <x v="3"/>
    <x v="0"/>
    <x v="2"/>
    <x v="10"/>
    <n v="117"/>
    <n v="783"/>
    <n v="0"/>
    <n v="0"/>
    <n v="21"/>
    <n v="0"/>
    <n v="6.6923076923076925"/>
    <n v="30.04604758250192"/>
    <n v="18532.169999999998"/>
    <n v="17550"/>
    <n v="-982.16999999999825"/>
  </r>
  <r>
    <x v="3"/>
    <x v="4"/>
    <x v="2"/>
    <x v="11"/>
    <n v="206"/>
    <n v="580"/>
    <n v="0"/>
    <n v="0"/>
    <n v="0"/>
    <n v="0"/>
    <n v="2.8155339805825244"/>
    <n v="34.482758620689658"/>
    <n v="15767.17"/>
    <n v="30900"/>
    <n v="15132.83"/>
  </r>
  <r>
    <x v="3"/>
    <x v="0"/>
    <x v="2"/>
    <x v="12"/>
    <n v="24"/>
    <n v="10"/>
    <n v="0"/>
    <n v="0"/>
    <n v="86"/>
    <n v="0"/>
    <n v="0.41666666666666669"/>
    <n v="33"/>
    <m/>
    <m/>
    <n v="0"/>
  </r>
  <r>
    <x v="3"/>
    <x v="2"/>
    <x v="2"/>
    <x v="12"/>
    <n v="186"/>
    <n v="839.63"/>
    <n v="0"/>
    <n v="0"/>
    <n v="0"/>
    <n v="10"/>
    <n v="4.5141397849462361"/>
    <n v="33"/>
    <n v="8846"/>
    <n v="58800"/>
    <n v="49954"/>
  </r>
  <r>
    <x v="3"/>
    <x v="0"/>
    <x v="2"/>
    <x v="13"/>
    <n v="121"/>
    <n v="2050"/>
    <n v="0"/>
    <n v="0"/>
    <n v="0"/>
    <n v="0"/>
    <n v="16.942148760330578"/>
    <n v="73.916737468139331"/>
    <m/>
    <m/>
    <n v="0"/>
  </r>
  <r>
    <x v="3"/>
    <x v="2"/>
    <x v="2"/>
    <x v="13"/>
    <n v="8"/>
    <n v="560"/>
    <n v="0"/>
    <n v="0"/>
    <n v="0"/>
    <n v="0"/>
    <n v="70"/>
    <n v="73.916737468139331"/>
    <n v="27924.959999999999"/>
    <n v="54300"/>
    <n v="26375.040000000001"/>
  </r>
  <r>
    <x v="3"/>
    <x v="2"/>
    <x v="2"/>
    <x v="14"/>
    <n v="0"/>
    <n v="0"/>
    <n v="0"/>
    <n v="0"/>
    <n v="0"/>
    <n v="0"/>
    <n v="0"/>
    <n v="58"/>
    <m/>
    <m/>
    <n v="0"/>
  </r>
  <r>
    <x v="3"/>
    <x v="0"/>
    <x v="2"/>
    <x v="14"/>
    <n v="0"/>
    <n v="946"/>
    <n v="0"/>
    <n v="0"/>
    <n v="0"/>
    <n v="0"/>
    <n v="0"/>
    <n v="58"/>
    <m/>
    <m/>
    <n v="0"/>
  </r>
  <r>
    <x v="3"/>
    <x v="4"/>
    <x v="2"/>
    <x v="14"/>
    <n v="0"/>
    <n v="1191"/>
    <n v="5"/>
    <n v="0"/>
    <n v="0"/>
    <n v="0"/>
    <n v="0"/>
    <n v="44"/>
    <m/>
    <m/>
    <n v="0"/>
  </r>
  <r>
    <x v="3"/>
    <x v="6"/>
    <x v="2"/>
    <x v="14"/>
    <n v="0"/>
    <n v="730"/>
    <n v="0"/>
    <n v="0"/>
    <n v="0"/>
    <n v="0"/>
    <n v="0"/>
    <n v="36"/>
    <m/>
    <m/>
    <n v="0"/>
  </r>
  <r>
    <x v="3"/>
    <x v="5"/>
    <x v="2"/>
    <x v="14"/>
    <n v="57"/>
    <n v="2203"/>
    <n v="0"/>
    <n v="0"/>
    <n v="0"/>
    <n v="0"/>
    <n v="38.649122807017541"/>
    <n v="45"/>
    <n v="93771.8"/>
    <n v="110250"/>
    <n v="16478.199999999997"/>
  </r>
  <r>
    <x v="3"/>
    <x v="0"/>
    <x v="2"/>
    <x v="15"/>
    <n v="267"/>
    <n v="1252"/>
    <n v="0"/>
    <n v="0"/>
    <n v="10"/>
    <n v="0"/>
    <n v="4.6891385767790261"/>
    <n v="37"/>
    <m/>
    <m/>
    <n v="0"/>
  </r>
  <r>
    <x v="3"/>
    <x v="2"/>
    <x v="2"/>
    <x v="15"/>
    <n v="43.5"/>
    <n v="250"/>
    <n v="0"/>
    <n v="0"/>
    <n v="0"/>
    <n v="5"/>
    <n v="5.7471264367816088"/>
    <n v="37"/>
    <n v="15545"/>
    <n v="89460"/>
    <n v="73915"/>
  </r>
  <r>
    <x v="3"/>
    <x v="4"/>
    <x v="2"/>
    <x v="16"/>
    <n v="77.300000000000011"/>
    <n v="615"/>
    <n v="30"/>
    <n v="0"/>
    <n v="0"/>
    <n v="3"/>
    <n v="7.9560155239327282"/>
    <n v="0.29536493177790479"/>
    <n v="7455"/>
    <n v="19325"/>
    <n v="11870"/>
  </r>
  <r>
    <x v="3"/>
    <x v="7"/>
    <x v="3"/>
    <x v="17"/>
    <n v="190.2"/>
    <n v="2767"/>
    <n v="30"/>
    <n v="0"/>
    <n v="0"/>
    <n v="20"/>
    <n v="14.547844374342798"/>
    <m/>
    <n v="31280"/>
    <n v="69912"/>
    <n v="38632"/>
  </r>
  <r>
    <x v="3"/>
    <x v="2"/>
    <x v="3"/>
    <x v="18"/>
    <n v="286"/>
    <n v="2661.11"/>
    <n v="5"/>
    <n v="13"/>
    <n v="5"/>
    <n v="15"/>
    <n v="9.3045804195804198"/>
    <m/>
    <n v="28031"/>
    <n v="108680"/>
    <n v="80649"/>
  </r>
  <r>
    <x v="3"/>
    <x v="5"/>
    <x v="3"/>
    <x v="41"/>
    <n v="187"/>
    <n v="1927"/>
    <n v="10"/>
    <n v="0"/>
    <n v="0"/>
    <n v="15"/>
    <n v="10.304812834224599"/>
    <m/>
    <n v="22860.83"/>
    <n v="71060"/>
    <n v="48199.17"/>
  </r>
  <r>
    <x v="3"/>
    <x v="5"/>
    <x v="3"/>
    <x v="66"/>
    <n v="129"/>
    <n v="1675"/>
    <n v="30"/>
    <n v="0"/>
    <n v="0"/>
    <n v="5"/>
    <n v="12.984496124031008"/>
    <n v="1.5295686159915258"/>
    <n v="20990.83"/>
    <n v="46440"/>
    <n v="25449.17"/>
  </r>
  <r>
    <x v="3"/>
    <x v="7"/>
    <x v="4"/>
    <x v="19"/>
    <n v="66.599999999999994"/>
    <n v="2716"/>
    <n v="40"/>
    <n v="0"/>
    <n v="0"/>
    <n v="15"/>
    <n v="40.780780780780788"/>
    <m/>
    <n v="2325"/>
    <n v="89910"/>
    <n v="87585"/>
  </r>
  <r>
    <x v="3"/>
    <x v="2"/>
    <x v="4"/>
    <x v="67"/>
    <n v="191"/>
    <n v="15"/>
    <n v="1"/>
    <n v="0"/>
    <n v="0"/>
    <n v="0"/>
    <n v="7.8534031413612565E-2"/>
    <m/>
    <n v="20630"/>
    <n v="257850"/>
    <n v="237220"/>
  </r>
  <r>
    <x v="3"/>
    <x v="0"/>
    <x v="2"/>
    <x v="20"/>
    <n v="28"/>
    <n v="851"/>
    <n v="11"/>
    <n v="0"/>
    <n v="0"/>
    <n v="0"/>
    <n v="30.392857142857142"/>
    <n v="68.134507606084867"/>
    <n v="9745.4699999999993"/>
    <n v="9800"/>
    <n v="54.530000000000655"/>
  </r>
  <r>
    <x v="3"/>
    <x v="7"/>
    <x v="5"/>
    <x v="21"/>
    <n v="115.8"/>
    <n v="679"/>
    <n v="5"/>
    <n v="0"/>
    <n v="50"/>
    <n v="20"/>
    <n v="5.8635578583765113"/>
    <m/>
    <n v="2650"/>
    <n v="83955"/>
    <n v="81305"/>
  </r>
  <r>
    <x v="3"/>
    <x v="0"/>
    <x v="6"/>
    <x v="22"/>
    <n v="65"/>
    <n v="1393"/>
    <n v="169"/>
    <n v="0"/>
    <n v="178"/>
    <n v="10"/>
    <n v="21.430769230769229"/>
    <m/>
    <n v="58100.31"/>
    <n v="68582.55"/>
    <n v="10482.240000000005"/>
  </r>
  <r>
    <x v="3"/>
    <x v="6"/>
    <x v="7"/>
    <x v="42"/>
    <n v="108"/>
    <n v="1459"/>
    <n v="40"/>
    <n v="0"/>
    <n v="5"/>
    <n v="3"/>
    <n v="13.50925925925926"/>
    <m/>
    <n v="17936.66"/>
    <n v="54000"/>
    <n v="36063.339999999997"/>
  </r>
  <r>
    <x v="3"/>
    <x v="4"/>
    <x v="7"/>
    <x v="23"/>
    <n v="202.5"/>
    <n v="2146"/>
    <n v="29"/>
    <n v="0"/>
    <n v="0"/>
    <n v="6"/>
    <n v="10.59753086419753"/>
    <m/>
    <n v="36381.269999999997"/>
    <n v="81000"/>
    <n v="44618.73"/>
  </r>
  <r>
    <x v="3"/>
    <x v="0"/>
    <x v="7"/>
    <x v="24"/>
    <n v="225"/>
    <n v="4605"/>
    <n v="17"/>
    <n v="0"/>
    <n v="5"/>
    <n v="11"/>
    <n v="20.466666666666665"/>
    <m/>
    <n v="60633.36"/>
    <n v="112500"/>
    <n v="51866.64"/>
  </r>
  <r>
    <x v="3"/>
    <x v="6"/>
    <x v="7"/>
    <x v="45"/>
    <n v="131"/>
    <n v="1669"/>
    <n v="15"/>
    <n v="0"/>
    <n v="0"/>
    <n v="3"/>
    <n v="12.740458015267176"/>
    <m/>
    <n v="42412.93"/>
    <n v="64000"/>
    <n v="21587.07"/>
  </r>
  <r>
    <x v="3"/>
    <x v="7"/>
    <x v="0"/>
    <x v="46"/>
    <n v="0.6"/>
    <n v="0"/>
    <n v="0"/>
    <n v="0"/>
    <n v="0"/>
    <n v="0"/>
    <n v="0"/>
    <m/>
    <n v="250"/>
    <n v="0"/>
    <n v="-250"/>
  </r>
  <r>
    <x v="3"/>
    <x v="2"/>
    <x v="0"/>
    <x v="68"/>
    <n v="41"/>
    <n v="70"/>
    <n v="1"/>
    <n v="0"/>
    <n v="0"/>
    <n v="0"/>
    <n v="1.7073170731707317"/>
    <m/>
    <n v="40"/>
    <n v="0"/>
    <n v="-40"/>
  </r>
  <r>
    <x v="3"/>
    <x v="0"/>
    <x v="0"/>
    <x v="47"/>
    <n v="0"/>
    <n v="131"/>
    <n v="0"/>
    <n v="0"/>
    <n v="0"/>
    <n v="0"/>
    <n v="0"/>
    <m/>
    <n v="0"/>
    <n v="0"/>
    <n v="0"/>
  </r>
  <r>
    <x v="3"/>
    <x v="2"/>
    <x v="0"/>
    <x v="48"/>
    <n v="291"/>
    <n v="6833"/>
    <n v="0"/>
    <n v="0"/>
    <n v="0"/>
    <n v="0"/>
    <n v="23.481099656357387"/>
    <m/>
    <n v="8260.25"/>
    <n v="0"/>
    <n v="-8260.25"/>
  </r>
  <r>
    <x v="3"/>
    <x v="0"/>
    <x v="0"/>
    <x v="69"/>
    <n v="0"/>
    <n v="107"/>
    <n v="1"/>
    <n v="0"/>
    <n v="0"/>
    <n v="0"/>
    <n v="0"/>
    <m/>
    <m/>
    <m/>
    <n v="0"/>
  </r>
  <r>
    <x v="3"/>
    <x v="6"/>
    <x v="0"/>
    <x v="49"/>
    <n v="21"/>
    <n v="38"/>
    <n v="0"/>
    <n v="0"/>
    <n v="0"/>
    <n v="0"/>
    <n v="1.8095238095238095"/>
    <m/>
    <m/>
    <m/>
    <n v="0"/>
  </r>
  <r>
    <x v="3"/>
    <x v="5"/>
    <x v="0"/>
    <x v="50"/>
    <n v="93.5"/>
    <n v="125"/>
    <n v="0"/>
    <n v="0"/>
    <n v="0"/>
    <n v="0"/>
    <n v="1.3368983957219251"/>
    <m/>
    <m/>
    <m/>
    <n v="0"/>
  </r>
  <r>
    <x v="3"/>
    <x v="0"/>
    <x v="0"/>
    <x v="51"/>
    <n v="0"/>
    <n v="68"/>
    <n v="0"/>
    <n v="0"/>
    <n v="0"/>
    <n v="0"/>
    <n v="0"/>
    <m/>
    <m/>
    <m/>
    <n v="0"/>
  </r>
  <r>
    <x v="3"/>
    <x v="5"/>
    <x v="0"/>
    <x v="70"/>
    <n v="36"/>
    <n v="50"/>
    <n v="0"/>
    <n v="0"/>
    <n v="0"/>
    <n v="0"/>
    <n v="1.3888888888888888"/>
    <m/>
    <m/>
    <m/>
    <n v="0"/>
  </r>
  <r>
    <x v="3"/>
    <x v="6"/>
    <x v="0"/>
    <x v="71"/>
    <n v="4"/>
    <n v="40"/>
    <n v="0"/>
    <n v="0"/>
    <n v="0"/>
    <n v="0"/>
    <n v="10"/>
    <m/>
    <m/>
    <m/>
    <n v="0"/>
  </r>
  <r>
    <x v="3"/>
    <x v="4"/>
    <x v="0"/>
    <x v="72"/>
    <n v="28"/>
    <n v="0"/>
    <n v="3"/>
    <n v="0"/>
    <n v="0"/>
    <n v="0"/>
    <n v="0"/>
    <m/>
    <m/>
    <m/>
    <n v="0"/>
  </r>
  <r>
    <x v="3"/>
    <x v="5"/>
    <x v="8"/>
    <x v="25"/>
    <n v="185.5"/>
    <n v="3772"/>
    <n v="35"/>
    <n v="0"/>
    <n v="125"/>
    <n v="10"/>
    <n v="20.334231805929917"/>
    <m/>
    <n v="69970.64"/>
    <n v="77910"/>
    <n v="7939.3600000000006"/>
  </r>
  <r>
    <x v="3"/>
    <x v="7"/>
    <x v="8"/>
    <x v="26"/>
    <n v="205.45"/>
    <n v="2302"/>
    <n v="5"/>
    <n v="0"/>
    <n v="45"/>
    <n v="20"/>
    <n v="11.204672669749332"/>
    <m/>
    <n v="48982.27"/>
    <n v="139650"/>
    <n v="90667.73000000001"/>
  </r>
  <r>
    <x v="3"/>
    <x v="6"/>
    <x v="8"/>
    <x v="73"/>
    <n v="78"/>
    <n v="1676"/>
    <n v="10"/>
    <n v="0"/>
    <n v="0"/>
    <n v="2"/>
    <n v="21.487179487179485"/>
    <m/>
    <n v="18109.16"/>
    <n v="32760"/>
    <n v="14650.84"/>
  </r>
  <r>
    <x v="3"/>
    <x v="2"/>
    <x v="8"/>
    <x v="27"/>
    <n v="218.5"/>
    <n v="3517.8999999999996"/>
    <n v="25"/>
    <n v="0"/>
    <n v="45"/>
    <n v="15"/>
    <n v="16.100228832951945"/>
    <m/>
    <n v="60701.279999999999"/>
    <n v="91770"/>
    <n v="31068.720000000001"/>
  </r>
  <r>
    <x v="3"/>
    <x v="0"/>
    <x v="8"/>
    <x v="28"/>
    <n v="198"/>
    <n v="4722"/>
    <n v="31"/>
    <n v="0"/>
    <n v="40"/>
    <n v="20"/>
    <n v="23.848484848484848"/>
    <m/>
    <n v="71301.17"/>
    <n v="83160"/>
    <n v="11858.830000000002"/>
  </r>
  <r>
    <x v="3"/>
    <x v="0"/>
    <x v="8"/>
    <x v="29"/>
    <n v="288"/>
    <n v="7982"/>
    <n v="78"/>
    <n v="0"/>
    <n v="0"/>
    <n v="25"/>
    <n v="27.715277777777779"/>
    <m/>
    <n v="112463.03"/>
    <n v="120960"/>
    <n v="8496.9700000000012"/>
  </r>
  <r>
    <x v="3"/>
    <x v="5"/>
    <x v="8"/>
    <x v="30"/>
    <n v="206"/>
    <n v="4958"/>
    <n v="35"/>
    <n v="0"/>
    <n v="105"/>
    <n v="25"/>
    <n v="24.067961165048544"/>
    <m/>
    <n v="77762.259999999995"/>
    <n v="86520"/>
    <n v="8757.7400000000052"/>
  </r>
  <r>
    <x v="3"/>
    <x v="0"/>
    <x v="8"/>
    <x v="31"/>
    <n v="252"/>
    <n v="7856"/>
    <n v="45"/>
    <n v="0"/>
    <n v="125"/>
    <n v="20"/>
    <n v="31.174603174603174"/>
    <m/>
    <n v="107106.94"/>
    <n v="105000"/>
    <n v="-2106.9400000000023"/>
  </r>
  <r>
    <x v="3"/>
    <x v="4"/>
    <x v="8"/>
    <x v="32"/>
    <n v="197"/>
    <n v="1354"/>
    <n v="20"/>
    <n v="0"/>
    <n v="20"/>
    <n v="11"/>
    <n v="6.873096446700508"/>
    <m/>
    <n v="15491.66"/>
    <n v="43340"/>
    <n v="27848.34"/>
  </r>
  <r>
    <x v="3"/>
    <x v="5"/>
    <x v="8"/>
    <x v="74"/>
    <n v="0"/>
    <n v="439"/>
    <n v="0"/>
    <n v="0"/>
    <n v="0"/>
    <n v="0"/>
    <n v="0"/>
    <m/>
    <n v="4848.33"/>
    <n v="0"/>
    <n v="-4848.33"/>
  </r>
  <r>
    <x v="3"/>
    <x v="6"/>
    <x v="8"/>
    <x v="75"/>
    <n v="53"/>
    <n v="760"/>
    <n v="15"/>
    <n v="0"/>
    <n v="20"/>
    <n v="8"/>
    <n v="14.339622641509434"/>
    <m/>
    <n v="9180"/>
    <n v="11660"/>
    <n v="2480"/>
  </r>
  <r>
    <x v="3"/>
    <x v="5"/>
    <x v="8"/>
    <x v="76"/>
    <n v="116"/>
    <n v="2310"/>
    <n v="35"/>
    <n v="0"/>
    <n v="0"/>
    <n v="0"/>
    <n v="19.913793103448278"/>
    <m/>
    <n v="25141.66"/>
    <n v="48720"/>
    <n v="23578.34"/>
  </r>
  <r>
    <x v="3"/>
    <x v="5"/>
    <x v="8"/>
    <x v="77"/>
    <n v="11"/>
    <n v="200"/>
    <n v="30"/>
    <n v="0"/>
    <n v="0"/>
    <n v="0"/>
    <n v="18.181818181818183"/>
    <m/>
    <n v="3658.33"/>
    <n v="4620"/>
    <n v="961.67000000000007"/>
  </r>
  <r>
    <x v="3"/>
    <x v="5"/>
    <x v="8"/>
    <x v="78"/>
    <n v="74"/>
    <n v="1240"/>
    <n v="25"/>
    <n v="0"/>
    <n v="10"/>
    <n v="30"/>
    <n v="16.756756756756758"/>
    <m/>
    <n v="15508.33"/>
    <n v="31080"/>
    <n v="15571.67"/>
  </r>
  <r>
    <x v="3"/>
    <x v="6"/>
    <x v="8"/>
    <x v="79"/>
    <n v="74"/>
    <n v="804"/>
    <n v="15"/>
    <n v="0"/>
    <n v="60"/>
    <n v="5"/>
    <n v="10.864864864864865"/>
    <m/>
    <n v="11215"/>
    <n v="16280"/>
    <n v="5065"/>
  </r>
  <r>
    <x v="3"/>
    <x v="4"/>
    <x v="9"/>
    <x v="33"/>
    <n v="234"/>
    <n v="477"/>
    <n v="3"/>
    <n v="0"/>
    <n v="0"/>
    <n v="0"/>
    <n v="2.0384615384615383"/>
    <m/>
    <n v="4890"/>
    <n v="15210"/>
    <n v="10320"/>
  </r>
  <r>
    <x v="3"/>
    <x v="0"/>
    <x v="9"/>
    <x v="34"/>
    <n v="0"/>
    <n v="156"/>
    <n v="0"/>
    <n v="0"/>
    <n v="0"/>
    <n v="0"/>
    <n v="0"/>
    <m/>
    <n v="2160"/>
    <n v="9880"/>
    <n v="7720"/>
  </r>
  <r>
    <x v="3"/>
    <x v="0"/>
    <x v="9"/>
    <x v="35"/>
    <n v="232"/>
    <n v="271"/>
    <n v="0"/>
    <n v="0"/>
    <n v="0"/>
    <n v="0"/>
    <n v="1.1681034482758621"/>
    <m/>
    <n v="2710"/>
    <n v="15080"/>
    <n v="12370"/>
  </r>
  <r>
    <x v="3"/>
    <x v="5"/>
    <x v="9"/>
    <x v="36"/>
    <n v="220"/>
    <n v="378"/>
    <n v="0"/>
    <n v="0"/>
    <n v="0"/>
    <n v="0"/>
    <n v="1.7181818181818183"/>
    <n v="12.088263511352734"/>
    <n v="3780"/>
    <n v="14300"/>
    <n v="10520"/>
  </r>
  <r>
    <x v="3"/>
    <x v="4"/>
    <x v="10"/>
    <x v="38"/>
    <n v="172"/>
    <n v="344"/>
    <n v="5"/>
    <n v="0"/>
    <n v="0"/>
    <n v="0"/>
    <n v="2"/>
    <m/>
    <n v="3640"/>
    <n v="30960"/>
    <n v="27320"/>
  </r>
  <r>
    <x v="3"/>
    <x v="0"/>
    <x v="10"/>
    <x v="39"/>
    <n v="78"/>
    <n v="375"/>
    <n v="31"/>
    <n v="0"/>
    <n v="10"/>
    <n v="2"/>
    <n v="4.8076923076923075"/>
    <m/>
    <n v="5685.87"/>
    <n v="14760"/>
    <n v="9074.130000000001"/>
  </r>
  <r>
    <x v="3"/>
    <x v="6"/>
    <x v="10"/>
    <x v="43"/>
    <n v="204"/>
    <n v="714"/>
    <n v="13"/>
    <n v="0"/>
    <n v="0"/>
    <n v="4"/>
    <n v="3.5"/>
    <m/>
    <n v="8012.49"/>
    <n v="36900"/>
    <n v="28887.510000000002"/>
  </r>
  <r>
    <x v="3"/>
    <x v="2"/>
    <x v="11"/>
    <x v="40"/>
    <n v="114"/>
    <n v="126"/>
    <n v="0"/>
    <n v="0"/>
    <n v="0"/>
    <n v="0"/>
    <n v="1.1052631578947369"/>
    <m/>
    <m/>
    <m/>
    <n v="0"/>
  </r>
  <r>
    <x v="3"/>
    <x v="0"/>
    <x v="11"/>
    <x v="40"/>
    <n v="70"/>
    <n v="37"/>
    <n v="0"/>
    <n v="0"/>
    <n v="0"/>
    <n v="0"/>
    <n v="0.52857142857142858"/>
    <m/>
    <n v="5844"/>
    <n v="12350"/>
    <n v="6506"/>
  </r>
  <r>
    <x v="3"/>
    <x v="5"/>
    <x v="11"/>
    <x v="40"/>
    <n v="52"/>
    <n v="105"/>
    <n v="0"/>
    <n v="0"/>
    <n v="0"/>
    <n v="0"/>
    <n v="2.0192307692307692"/>
    <m/>
    <n v="5844"/>
    <n v="12350"/>
    <n v="6506"/>
  </r>
  <r>
    <x v="3"/>
    <x v="2"/>
    <x v="11"/>
    <x v="44"/>
    <n v="24"/>
    <n v="122.59"/>
    <n v="0"/>
    <n v="0"/>
    <n v="0"/>
    <n v="0"/>
    <n v="5.1079166666666671"/>
    <m/>
    <m/>
    <m/>
    <n v="0"/>
  </r>
  <r>
    <x v="3"/>
    <x v="0"/>
    <x v="11"/>
    <x v="44"/>
    <n v="200"/>
    <n v="418"/>
    <n v="0"/>
    <n v="0"/>
    <n v="0"/>
    <n v="0"/>
    <n v="2.09"/>
    <m/>
    <n v="5406"/>
    <n v="14040"/>
    <n v="8634"/>
  </r>
  <r>
    <x v="3"/>
    <x v="0"/>
    <x v="12"/>
    <x v="53"/>
    <n v="0"/>
    <n v="111"/>
    <n v="0"/>
    <n v="0"/>
    <n v="0"/>
    <n v="0"/>
    <n v="0"/>
    <m/>
    <m/>
    <m/>
    <n v="0"/>
  </r>
  <r>
    <x v="3"/>
    <x v="5"/>
    <x v="12"/>
    <x v="53"/>
    <n v="8"/>
    <n v="30"/>
    <n v="0"/>
    <n v="0"/>
    <n v="0"/>
    <n v="0"/>
    <n v="3.75"/>
    <m/>
    <n v="1110"/>
    <n v="11200"/>
    <n v="10090"/>
  </r>
  <r>
    <x v="3"/>
    <x v="4"/>
    <x v="12"/>
    <x v="54"/>
    <n v="38"/>
    <n v="269"/>
    <n v="0"/>
    <n v="0"/>
    <n v="0"/>
    <n v="0"/>
    <n v="7.0789473684210522"/>
    <m/>
    <n v="11369.68"/>
    <n v="9600"/>
    <n v="-1769.6800000000003"/>
  </r>
  <r>
    <x v="3"/>
    <x v="6"/>
    <x v="12"/>
    <x v="54"/>
    <n v="0"/>
    <n v="79"/>
    <n v="0"/>
    <n v="0"/>
    <n v="0"/>
    <n v="0"/>
    <n v="0"/>
    <m/>
    <m/>
    <m/>
    <n v="0"/>
  </r>
  <r>
    <x v="3"/>
    <x v="4"/>
    <x v="12"/>
    <x v="80"/>
    <n v="5"/>
    <n v="75"/>
    <n v="0"/>
    <n v="0"/>
    <n v="0"/>
    <n v="0"/>
    <n v="15"/>
    <n v="3.5377358490566038"/>
    <n v="11474"/>
    <n v="11200"/>
    <n v="-274"/>
  </r>
  <r>
    <x v="3"/>
    <x v="2"/>
    <x v="12"/>
    <x v="80"/>
    <n v="0"/>
    <n v="48"/>
    <n v="0"/>
    <n v="0"/>
    <n v="0"/>
    <n v="0"/>
    <n v="0"/>
    <m/>
    <m/>
    <m/>
    <n v="0"/>
  </r>
  <r>
    <x v="3"/>
    <x v="4"/>
    <x v="12"/>
    <x v="55"/>
    <n v="228"/>
    <n v="138"/>
    <n v="0"/>
    <n v="0"/>
    <n v="0"/>
    <n v="0"/>
    <n v="0.60526315789473684"/>
    <n v="10.44663133989402"/>
    <n v="3798.18"/>
    <n v="8400"/>
    <n v="4601.82"/>
  </r>
  <r>
    <x v="3"/>
    <x v="0"/>
    <x v="12"/>
    <x v="56"/>
    <n v="232"/>
    <n v="227"/>
    <n v="0"/>
    <n v="0"/>
    <n v="0"/>
    <n v="0"/>
    <n v="0.97844827586206895"/>
    <n v="6.8787878787878789"/>
    <n v="2270"/>
    <n v="8700"/>
    <n v="6430"/>
  </r>
  <r>
    <x v="3"/>
    <x v="0"/>
    <x v="12"/>
    <x v="57"/>
    <n v="83"/>
    <n v="99"/>
    <n v="0"/>
    <n v="0"/>
    <n v="0"/>
    <n v="0"/>
    <n v="1.1927710843373494"/>
    <n v="12.708600770218229"/>
    <n v="2800"/>
    <n v="0"/>
    <n v="-2800"/>
  </r>
  <r>
    <x v="3"/>
    <x v="5"/>
    <x v="12"/>
    <x v="57"/>
    <n v="24"/>
    <n v="222"/>
    <n v="0"/>
    <n v="0"/>
    <n v="0"/>
    <n v="0"/>
    <n v="9.25"/>
    <n v="6.3014476298609141"/>
    <m/>
    <m/>
    <n v="0"/>
  </r>
  <r>
    <x v="3"/>
    <x v="4"/>
    <x v="12"/>
    <x v="58"/>
    <n v="8"/>
    <n v="51"/>
    <n v="0"/>
    <n v="0"/>
    <n v="0"/>
    <n v="0"/>
    <n v="6.375"/>
    <m/>
    <m/>
    <m/>
    <n v="0"/>
  </r>
  <r>
    <x v="3"/>
    <x v="0"/>
    <x v="12"/>
    <x v="58"/>
    <n v="0"/>
    <n v="0"/>
    <n v="0"/>
    <n v="0"/>
    <n v="0"/>
    <n v="0"/>
    <n v="0"/>
    <m/>
    <m/>
    <m/>
    <n v="0"/>
  </r>
  <r>
    <x v="3"/>
    <x v="6"/>
    <x v="12"/>
    <x v="58"/>
    <n v="83"/>
    <n v="175"/>
    <n v="0"/>
    <n v="0"/>
    <n v="0"/>
    <n v="0"/>
    <n v="2.1084337349397591"/>
    <n v="7.1633237822349569"/>
    <n v="2260"/>
    <n v="9000"/>
    <n v="6740"/>
  </r>
  <r>
    <x v="3"/>
    <x v="0"/>
    <x v="12"/>
    <x v="59"/>
    <n v="0"/>
    <n v="63"/>
    <n v="0"/>
    <n v="0"/>
    <n v="0"/>
    <n v="0"/>
    <n v="0"/>
    <m/>
    <m/>
    <m/>
    <n v="0"/>
  </r>
  <r>
    <x v="3"/>
    <x v="5"/>
    <x v="12"/>
    <x v="59"/>
    <n v="16"/>
    <n v="308"/>
    <n v="0"/>
    <n v="0"/>
    <n v="0"/>
    <n v="0"/>
    <n v="19.25"/>
    <n v="5.0335022062428498"/>
    <n v="3710"/>
    <n v="8100"/>
    <n v="4390"/>
  </r>
  <r>
    <x v="3"/>
    <x v="5"/>
    <x v="12"/>
    <x v="60"/>
    <n v="0"/>
    <n v="20"/>
    <n v="0"/>
    <n v="0"/>
    <n v="0"/>
    <n v="0"/>
    <n v="0"/>
    <m/>
    <m/>
    <m/>
    <n v="0"/>
  </r>
  <r>
    <x v="3"/>
    <x v="2"/>
    <x v="12"/>
    <x v="60"/>
    <n v="188"/>
    <n v="173.17000000000002"/>
    <n v="0"/>
    <n v="0"/>
    <n v="0"/>
    <n v="0"/>
    <n v="0.92111702127659578"/>
    <n v="29.089534688392419"/>
    <n v="1932"/>
    <n v="7200"/>
    <n v="5268"/>
  </r>
  <r>
    <x v="3"/>
    <x v="6"/>
    <x v="12"/>
    <x v="61"/>
    <n v="61"/>
    <n v="35"/>
    <n v="0"/>
    <n v="0"/>
    <n v="0"/>
    <n v="0"/>
    <n v="0.57377049180327866"/>
    <m/>
    <m/>
    <m/>
    <n v="0"/>
  </r>
  <r>
    <x v="3"/>
    <x v="5"/>
    <x v="12"/>
    <x v="61"/>
    <n v="56"/>
    <n v="37"/>
    <n v="0"/>
    <n v="0"/>
    <n v="0"/>
    <n v="0"/>
    <n v="0.6607142857142857"/>
    <m/>
    <m/>
    <m/>
    <n v="0"/>
  </r>
  <r>
    <x v="3"/>
    <x v="4"/>
    <x v="12"/>
    <x v="61"/>
    <n v="87"/>
    <n v="143"/>
    <n v="0"/>
    <n v="0"/>
    <n v="0"/>
    <n v="0"/>
    <n v="1.6436781609195403"/>
    <m/>
    <m/>
    <m/>
    <n v="0"/>
  </r>
  <r>
    <x v="3"/>
    <x v="0"/>
    <x v="12"/>
    <x v="62"/>
    <n v="0"/>
    <n v="0"/>
    <n v="0"/>
    <n v="0"/>
    <n v="0"/>
    <n v="0"/>
    <n v="0"/>
    <m/>
    <m/>
    <m/>
    <n v="0"/>
  </r>
  <r>
    <x v="3"/>
    <x v="5"/>
    <x v="12"/>
    <x v="62"/>
    <n v="236"/>
    <n v="170"/>
    <n v="0"/>
    <n v="0"/>
    <n v="0"/>
    <n v="0"/>
    <n v="0.72033898305084743"/>
    <n v="8.6558044806517316"/>
    <n v="2691.66"/>
    <n v="17400"/>
    <n v="14708.34"/>
  </r>
  <r>
    <x v="3"/>
    <x v="0"/>
    <x v="12"/>
    <x v="63"/>
    <n v="224"/>
    <n v="141"/>
    <n v="0"/>
    <n v="0"/>
    <n v="0"/>
    <n v="0"/>
    <n v="0.6294642857142857"/>
    <n v="8.89589905362776"/>
    <n v="1410"/>
    <n v="9000"/>
    <n v="7590"/>
  </r>
  <r>
    <x v="3"/>
    <x v="5"/>
    <x v="12"/>
    <x v="64"/>
    <n v="97"/>
    <n v="72"/>
    <n v="0"/>
    <n v="0"/>
    <n v="0"/>
    <n v="0"/>
    <n v="0.74226804123711343"/>
    <n v="9.7560975609756095"/>
    <m/>
    <m/>
    <n v="0"/>
  </r>
  <r>
    <x v="3"/>
    <x v="0"/>
    <x v="12"/>
    <x v="64"/>
    <n v="112"/>
    <n v="37"/>
    <n v="0"/>
    <n v="0"/>
    <n v="0"/>
    <n v="0"/>
    <n v="0.33035714285714285"/>
    <m/>
    <n v="3508.18"/>
    <n v="7800"/>
    <n v="4291.82"/>
  </r>
  <r>
    <x v="3"/>
    <x v="6"/>
    <x v="12"/>
    <x v="65"/>
    <n v="216"/>
    <n v="302"/>
    <n v="0"/>
    <n v="0"/>
    <n v="0"/>
    <n v="0"/>
    <n v="1.3981481481481481"/>
    <n v="8.8020985135529006"/>
    <n v="5438.18"/>
    <n v="7800"/>
    <n v="2361.8199999999997"/>
  </r>
  <r>
    <x v="4"/>
    <x v="0"/>
    <x v="0"/>
    <x v="0"/>
    <n v="0"/>
    <n v="55"/>
    <n v="0"/>
    <n v="0"/>
    <n v="5"/>
    <n v="0"/>
    <n v="0"/>
    <m/>
    <n v="725"/>
    <n v="800"/>
    <n v="75"/>
  </r>
  <r>
    <x v="4"/>
    <x v="0"/>
    <x v="1"/>
    <x v="1"/>
    <n v="30"/>
    <n v="456"/>
    <n v="0"/>
    <n v="0"/>
    <n v="6"/>
    <n v="0"/>
    <n v="15.2"/>
    <m/>
    <n v="9961.66"/>
    <n v="14800"/>
    <n v="4838.34"/>
  </r>
  <r>
    <x v="4"/>
    <x v="4"/>
    <x v="1"/>
    <x v="2"/>
    <n v="57"/>
    <n v="393"/>
    <n v="10"/>
    <n v="0"/>
    <n v="0"/>
    <n v="0"/>
    <n v="6.8947368421052628"/>
    <m/>
    <n v="4330"/>
    <n v="11400"/>
    <n v="7070"/>
  </r>
  <r>
    <x v="4"/>
    <x v="0"/>
    <x v="1"/>
    <x v="3"/>
    <n v="41"/>
    <n v="261"/>
    <n v="5"/>
    <n v="0"/>
    <n v="0"/>
    <n v="0"/>
    <n v="6.3658536585365857"/>
    <m/>
    <n v="3130"/>
    <n v="12300"/>
    <n v="9170"/>
  </r>
  <r>
    <x v="4"/>
    <x v="6"/>
    <x v="1"/>
    <x v="4"/>
    <n v="56"/>
    <n v="505"/>
    <n v="10"/>
    <n v="0"/>
    <n v="5"/>
    <n v="2"/>
    <n v="9.0178571428571423"/>
    <m/>
    <n v="5695"/>
    <n v="11200"/>
    <n v="5505"/>
  </r>
  <r>
    <x v="4"/>
    <x v="6"/>
    <x v="2"/>
    <x v="5"/>
    <n v="165.5"/>
    <n v="984"/>
    <n v="0"/>
    <n v="0"/>
    <n v="0"/>
    <n v="0"/>
    <n v="5.9456193353474323"/>
    <n v="121.48148148148148"/>
    <n v="9840"/>
    <n v="46340"/>
    <n v="36500"/>
  </r>
  <r>
    <x v="4"/>
    <x v="0"/>
    <x v="2"/>
    <x v="6"/>
    <n v="231"/>
    <n v="760"/>
    <n v="0"/>
    <n v="0"/>
    <n v="0"/>
    <n v="0"/>
    <n v="3.2900432900432901"/>
    <n v="33"/>
    <n v="7600"/>
    <n v="64680"/>
    <n v="57080"/>
  </r>
  <r>
    <x v="4"/>
    <x v="4"/>
    <x v="2"/>
    <x v="7"/>
    <n v="174"/>
    <n v="1953"/>
    <n v="0"/>
    <n v="0"/>
    <n v="0"/>
    <n v="0"/>
    <n v="11.224137931034482"/>
    <n v="58.981876332622605"/>
    <n v="22629.18"/>
    <n v="48720"/>
    <n v="26090.82"/>
  </r>
  <r>
    <x v="4"/>
    <x v="0"/>
    <x v="2"/>
    <x v="8"/>
    <n v="233"/>
    <n v="811"/>
    <n v="0"/>
    <n v="0"/>
    <n v="0"/>
    <n v="0"/>
    <n v="3.4806866952789699"/>
    <n v="67.126965861143077"/>
    <n v="11209.18"/>
    <n v="65240"/>
    <n v="54030.82"/>
  </r>
  <r>
    <x v="4"/>
    <x v="6"/>
    <x v="2"/>
    <x v="9"/>
    <n v="75"/>
    <n v="262"/>
    <n v="0"/>
    <n v="0"/>
    <n v="0"/>
    <n v="0"/>
    <n v="3.4933333333333332"/>
    <n v="36.704446381865736"/>
    <m/>
    <m/>
    <n v="0"/>
  </r>
  <r>
    <x v="4"/>
    <x v="2"/>
    <x v="2"/>
    <x v="9"/>
    <n v="0"/>
    <n v="154"/>
    <n v="0"/>
    <n v="0"/>
    <n v="0"/>
    <n v="0"/>
    <n v="0"/>
    <n v="36.704446381865736"/>
    <m/>
    <m/>
    <n v="0"/>
  </r>
  <r>
    <x v="4"/>
    <x v="5"/>
    <x v="2"/>
    <x v="9"/>
    <n v="0"/>
    <n v="107"/>
    <n v="0"/>
    <n v="0"/>
    <n v="0"/>
    <n v="0"/>
    <n v="0"/>
    <n v="36.704446381865736"/>
    <m/>
    <m/>
    <n v="0"/>
  </r>
  <r>
    <x v="4"/>
    <x v="0"/>
    <x v="2"/>
    <x v="9"/>
    <n v="41"/>
    <n v="319"/>
    <n v="0"/>
    <n v="0"/>
    <n v="11"/>
    <n v="0"/>
    <n v="7.7804878048780486"/>
    <n v="36.704446381865736"/>
    <n v="8805"/>
    <n v="17400"/>
    <n v="8595"/>
  </r>
  <r>
    <x v="4"/>
    <x v="0"/>
    <x v="2"/>
    <x v="10"/>
    <n v="104"/>
    <n v="681"/>
    <n v="0"/>
    <n v="0"/>
    <n v="36"/>
    <n v="0"/>
    <n v="6.5480769230769234"/>
    <n v="51.865955826351865"/>
    <n v="8070"/>
    <n v="17625"/>
    <n v="9555"/>
  </r>
  <r>
    <x v="4"/>
    <x v="4"/>
    <x v="2"/>
    <x v="11"/>
    <n v="175"/>
    <n v="468"/>
    <n v="0"/>
    <n v="0"/>
    <n v="0"/>
    <n v="0"/>
    <n v="2.6742857142857144"/>
    <n v="34.482758620689658"/>
    <n v="4680"/>
    <n v="26250"/>
    <n v="21570"/>
  </r>
  <r>
    <x v="4"/>
    <x v="2"/>
    <x v="2"/>
    <x v="12"/>
    <n v="153.5"/>
    <n v="656.76"/>
    <n v="0"/>
    <n v="0"/>
    <n v="0"/>
    <n v="10"/>
    <n v="4.2785667752442995"/>
    <n v="33"/>
    <m/>
    <m/>
    <n v="0"/>
  </r>
  <r>
    <x v="4"/>
    <x v="0"/>
    <x v="2"/>
    <x v="12"/>
    <n v="34"/>
    <n v="0"/>
    <n v="0"/>
    <n v="0"/>
    <n v="0"/>
    <n v="0"/>
    <n v="0"/>
    <n v="33"/>
    <n v="7680"/>
    <n v="52500"/>
    <n v="44820"/>
  </r>
  <r>
    <x v="4"/>
    <x v="0"/>
    <x v="2"/>
    <x v="13"/>
    <n v="94"/>
    <n v="1595"/>
    <n v="0"/>
    <n v="0"/>
    <n v="0"/>
    <n v="2"/>
    <n v="16.968085106382979"/>
    <n v="81.878850102669404"/>
    <n v="21004.9"/>
    <n v="30900"/>
    <n v="9895.0999999999985"/>
  </r>
  <r>
    <x v="4"/>
    <x v="0"/>
    <x v="2"/>
    <x v="14"/>
    <n v="0"/>
    <n v="1918"/>
    <n v="0"/>
    <n v="0"/>
    <n v="0"/>
    <n v="1"/>
    <n v="0"/>
    <n v="36.288781061608589"/>
    <n v="34146.17"/>
    <n v="26240"/>
    <n v="-7906.1699999999983"/>
  </r>
  <r>
    <x v="4"/>
    <x v="5"/>
    <x v="2"/>
    <x v="14"/>
    <n v="34"/>
    <n v="550"/>
    <n v="0"/>
    <n v="0"/>
    <n v="0"/>
    <n v="0"/>
    <n v="16.176470588235293"/>
    <n v="36.288781061608589"/>
    <m/>
    <m/>
    <n v="0"/>
  </r>
  <r>
    <x v="4"/>
    <x v="0"/>
    <x v="2"/>
    <x v="15"/>
    <n v="116"/>
    <n v="533"/>
    <n v="0"/>
    <n v="0"/>
    <n v="0"/>
    <n v="0"/>
    <n v="4.5948275862068968"/>
    <n v="37"/>
    <n v="5330"/>
    <n v="32480"/>
    <n v="27150"/>
  </r>
  <r>
    <x v="4"/>
    <x v="2"/>
    <x v="2"/>
    <x v="15"/>
    <n v="0"/>
    <n v="0"/>
    <n v="0"/>
    <n v="0"/>
    <n v="0"/>
    <n v="0"/>
    <n v="0"/>
    <n v="37"/>
    <n v="5330"/>
    <n v="32480"/>
    <n v="27150"/>
  </r>
  <r>
    <x v="4"/>
    <x v="2"/>
    <x v="2"/>
    <x v="81"/>
    <n v="0"/>
    <n v="0"/>
    <n v="0"/>
    <n v="0"/>
    <n v="15"/>
    <n v="0"/>
    <n v="0"/>
    <m/>
    <m/>
    <m/>
    <n v="0"/>
  </r>
  <r>
    <x v="4"/>
    <x v="0"/>
    <x v="2"/>
    <x v="81"/>
    <n v="16"/>
    <n v="174"/>
    <n v="2"/>
    <n v="0"/>
    <n v="35"/>
    <n v="0"/>
    <n v="10.875"/>
    <m/>
    <n v="3877.9"/>
    <n v="5100"/>
    <n v="1222.0999999999999"/>
  </r>
  <r>
    <x v="4"/>
    <x v="4"/>
    <x v="2"/>
    <x v="16"/>
    <n v="67.300000000000011"/>
    <n v="246"/>
    <n v="0"/>
    <n v="0"/>
    <n v="0"/>
    <n v="0"/>
    <n v="3.6552748885586919"/>
    <n v="0.27326046387629965"/>
    <n v="2460"/>
    <n v="16825"/>
    <n v="14365"/>
  </r>
  <r>
    <x v="4"/>
    <x v="4"/>
    <x v="3"/>
    <x v="17"/>
    <n v="170"/>
    <n v="2473"/>
    <n v="5"/>
    <n v="0"/>
    <n v="0"/>
    <n v="0"/>
    <n v="14.547058823529412"/>
    <m/>
    <n v="24930"/>
    <n v="61200"/>
    <n v="36270"/>
  </r>
  <r>
    <x v="4"/>
    <x v="0"/>
    <x v="3"/>
    <x v="18"/>
    <n v="210"/>
    <n v="1659.72"/>
    <n v="30"/>
    <n v="0"/>
    <n v="10"/>
    <n v="10"/>
    <n v="7.9034285714285719"/>
    <m/>
    <n v="11987.2"/>
    <n v="79800"/>
    <n v="67812.800000000003"/>
  </r>
  <r>
    <x v="4"/>
    <x v="5"/>
    <x v="3"/>
    <x v="41"/>
    <n v="157"/>
    <n v="1647"/>
    <n v="40"/>
    <n v="0"/>
    <n v="0"/>
    <n v="10"/>
    <n v="10.490445859872612"/>
    <m/>
    <n v="20211.650000000001"/>
    <n v="59660"/>
    <n v="39448.35"/>
  </r>
  <r>
    <x v="4"/>
    <x v="5"/>
    <x v="3"/>
    <x v="66"/>
    <n v="189"/>
    <n v="1745"/>
    <n v="35"/>
    <n v="0"/>
    <n v="0"/>
    <n v="10"/>
    <n v="9.2328042328042326"/>
    <m/>
    <n v="20383.32"/>
    <n v="68040"/>
    <n v="47656.68"/>
  </r>
  <r>
    <x v="4"/>
    <x v="4"/>
    <x v="4"/>
    <x v="19"/>
    <n v="117"/>
    <n v="3884"/>
    <n v="19"/>
    <n v="0"/>
    <n v="0"/>
    <n v="45"/>
    <n v="33.196581196581199"/>
    <m/>
    <n v="15284.5"/>
    <n v="157950"/>
    <n v="142665.5"/>
  </r>
  <r>
    <x v="4"/>
    <x v="2"/>
    <x v="4"/>
    <x v="67"/>
    <n v="142.5"/>
    <n v="0"/>
    <n v="0"/>
    <n v="0"/>
    <n v="0"/>
    <n v="0"/>
    <n v="0"/>
    <m/>
    <n v="11810.6"/>
    <n v="192375"/>
    <n v="180564.4"/>
  </r>
  <r>
    <x v="4"/>
    <x v="0"/>
    <x v="2"/>
    <x v="20"/>
    <n v="0"/>
    <n v="356"/>
    <n v="5"/>
    <n v="0"/>
    <n v="0"/>
    <n v="0"/>
    <n v="0"/>
    <n v="10.814224640497473"/>
    <m/>
    <m/>
    <n v="0"/>
  </r>
  <r>
    <x v="4"/>
    <x v="2"/>
    <x v="2"/>
    <x v="20"/>
    <n v="0"/>
    <n v="187"/>
    <n v="0"/>
    <n v="0"/>
    <n v="0"/>
    <n v="0"/>
    <n v="0"/>
    <n v="10.814224640497473"/>
    <m/>
    <m/>
    <n v="0"/>
  </r>
  <r>
    <x v="4"/>
    <x v="0"/>
    <x v="2"/>
    <x v="20"/>
    <n v="55"/>
    <n v="570"/>
    <n v="0"/>
    <n v="0"/>
    <n v="5"/>
    <n v="0"/>
    <n v="10.363636363636363"/>
    <n v="10.814224640497473"/>
    <n v="7945"/>
    <n v="20825"/>
    <n v="12880"/>
  </r>
  <r>
    <x v="4"/>
    <x v="4"/>
    <x v="5"/>
    <x v="21"/>
    <n v="173"/>
    <n v="770"/>
    <n v="21"/>
    <n v="0"/>
    <n v="0"/>
    <n v="0"/>
    <n v="4.4508670520231215"/>
    <m/>
    <n v="840"/>
    <n v="125425"/>
    <n v="124585"/>
  </r>
  <r>
    <x v="4"/>
    <x v="5"/>
    <x v="6"/>
    <x v="22"/>
    <n v="95"/>
    <n v="2254"/>
    <n v="25"/>
    <n v="0"/>
    <n v="35"/>
    <n v="10"/>
    <n v="23.726315789473684"/>
    <m/>
    <m/>
    <m/>
    <n v="0"/>
  </r>
  <r>
    <x v="4"/>
    <x v="0"/>
    <x v="6"/>
    <x v="22"/>
    <n v="77"/>
    <n v="1290"/>
    <n v="42"/>
    <n v="0"/>
    <n v="10"/>
    <n v="5"/>
    <n v="16.753246753246753"/>
    <m/>
    <n v="46116.76"/>
    <n v="197800"/>
    <n v="151683.24"/>
  </r>
  <r>
    <x v="4"/>
    <x v="2"/>
    <x v="0"/>
    <x v="82"/>
    <n v="0"/>
    <n v="0"/>
    <n v="10"/>
    <n v="0"/>
    <n v="0"/>
    <n v="0"/>
    <n v="0"/>
    <m/>
    <m/>
    <m/>
    <n v="0"/>
  </r>
  <r>
    <x v="4"/>
    <x v="6"/>
    <x v="7"/>
    <x v="42"/>
    <n v="95"/>
    <n v="1010"/>
    <n v="85"/>
    <n v="0"/>
    <n v="0"/>
    <n v="2"/>
    <n v="10.631578947368421"/>
    <m/>
    <n v="17319.990000000002"/>
    <n v="47500"/>
    <n v="30180.01"/>
  </r>
  <r>
    <x v="4"/>
    <x v="4"/>
    <x v="7"/>
    <x v="23"/>
    <n v="151"/>
    <n v="527"/>
    <n v="5"/>
    <n v="0"/>
    <n v="0"/>
    <n v="0"/>
    <n v="3.4900662251655628"/>
    <m/>
    <n v="5470"/>
    <n v="60400"/>
    <n v="54930"/>
  </r>
  <r>
    <x v="4"/>
    <x v="0"/>
    <x v="7"/>
    <x v="24"/>
    <n v="60"/>
    <n v="1454"/>
    <n v="28"/>
    <n v="0"/>
    <n v="5"/>
    <n v="5"/>
    <n v="24.233333333333334"/>
    <m/>
    <n v="20952.400000000001"/>
    <n v="51000"/>
    <n v="30047.599999999999"/>
  </r>
  <r>
    <x v="4"/>
    <x v="6"/>
    <x v="7"/>
    <x v="45"/>
    <n v="109"/>
    <n v="1410"/>
    <n v="10"/>
    <n v="0"/>
    <n v="0"/>
    <n v="2"/>
    <n v="12.935779816513762"/>
    <m/>
    <n v="14570"/>
    <n v="54500"/>
    <n v="39930"/>
  </r>
  <r>
    <x v="4"/>
    <x v="2"/>
    <x v="0"/>
    <x v="68"/>
    <n v="31.5"/>
    <n v="40"/>
    <n v="0"/>
    <n v="0"/>
    <n v="0"/>
    <n v="0"/>
    <n v="1.2698412698412698"/>
    <n v="283.68794326241317"/>
    <n v="0"/>
    <n v="0"/>
    <n v="0"/>
  </r>
  <r>
    <x v="4"/>
    <x v="0"/>
    <x v="0"/>
    <x v="47"/>
    <n v="0"/>
    <n v="50"/>
    <n v="0"/>
    <n v="0"/>
    <n v="0"/>
    <n v="0"/>
    <n v="0"/>
    <m/>
    <n v="0"/>
    <n v="0"/>
    <n v="0"/>
  </r>
  <r>
    <x v="4"/>
    <x v="2"/>
    <x v="0"/>
    <x v="48"/>
    <n v="207"/>
    <n v="4060"/>
    <n v="33"/>
    <n v="0"/>
    <n v="0"/>
    <n v="0"/>
    <n v="19.613526570048307"/>
    <m/>
    <n v="1320"/>
    <n v="0"/>
    <n v="-1320"/>
  </r>
  <r>
    <x v="4"/>
    <x v="0"/>
    <x v="0"/>
    <x v="69"/>
    <n v="0"/>
    <n v="80"/>
    <n v="2"/>
    <n v="0"/>
    <n v="0"/>
    <n v="0"/>
    <n v="0"/>
    <m/>
    <n v="80"/>
    <n v="0"/>
    <n v="-80"/>
  </r>
  <r>
    <x v="4"/>
    <x v="6"/>
    <x v="0"/>
    <x v="49"/>
    <n v="22"/>
    <n v="25"/>
    <n v="0"/>
    <n v="0"/>
    <n v="0"/>
    <n v="0"/>
    <n v="1.1363636363636365"/>
    <m/>
    <n v="0"/>
    <n v="0"/>
    <n v="0"/>
  </r>
  <r>
    <x v="4"/>
    <x v="5"/>
    <x v="0"/>
    <x v="50"/>
    <n v="76"/>
    <n v="115"/>
    <n v="0"/>
    <n v="0"/>
    <n v="0"/>
    <n v="0"/>
    <n v="1.513157894736842"/>
    <m/>
    <n v="0"/>
    <n v="0"/>
    <n v="0"/>
  </r>
  <r>
    <x v="4"/>
    <x v="0"/>
    <x v="0"/>
    <x v="51"/>
    <n v="0"/>
    <n v="0"/>
    <n v="0"/>
    <n v="0"/>
    <n v="0"/>
    <n v="0"/>
    <n v="0"/>
    <m/>
    <n v="0"/>
    <n v="0"/>
    <n v="0"/>
  </r>
  <r>
    <x v="4"/>
    <x v="5"/>
    <x v="0"/>
    <x v="70"/>
    <n v="42"/>
    <n v="35"/>
    <n v="5"/>
    <n v="0"/>
    <n v="0"/>
    <n v="0"/>
    <n v="0.83333333333333337"/>
    <m/>
    <m/>
    <m/>
    <n v="0"/>
  </r>
  <r>
    <x v="4"/>
    <x v="6"/>
    <x v="0"/>
    <x v="71"/>
    <n v="12"/>
    <n v="5"/>
    <n v="0"/>
    <n v="0"/>
    <n v="0"/>
    <n v="0"/>
    <n v="0.41666666666666669"/>
    <m/>
    <m/>
    <m/>
    <n v="0"/>
  </r>
  <r>
    <x v="4"/>
    <x v="4"/>
    <x v="0"/>
    <x v="83"/>
    <n v="1"/>
    <n v="20"/>
    <n v="5"/>
    <n v="0"/>
    <n v="0"/>
    <n v="0"/>
    <n v="20"/>
    <m/>
    <m/>
    <m/>
    <n v="0"/>
  </r>
  <r>
    <x v="4"/>
    <x v="4"/>
    <x v="0"/>
    <x v="72"/>
    <n v="43"/>
    <n v="5"/>
    <n v="0"/>
    <n v="0"/>
    <n v="0"/>
    <n v="0"/>
    <n v="0.11627906976744186"/>
    <m/>
    <m/>
    <m/>
    <n v="0"/>
  </r>
  <r>
    <x v="4"/>
    <x v="5"/>
    <x v="8"/>
    <x v="25"/>
    <n v="150"/>
    <n v="2743"/>
    <n v="55"/>
    <n v="0"/>
    <n v="45"/>
    <n v="30"/>
    <n v="18.286666666666665"/>
    <m/>
    <n v="35025.81"/>
    <n v="63000"/>
    <n v="27974.190000000002"/>
  </r>
  <r>
    <x v="4"/>
    <x v="4"/>
    <x v="8"/>
    <x v="26"/>
    <n v="148"/>
    <n v="1432"/>
    <n v="53"/>
    <n v="0"/>
    <n v="0"/>
    <n v="0"/>
    <n v="9.6756756756756754"/>
    <m/>
    <n v="17881.66"/>
    <n v="62160"/>
    <n v="44278.34"/>
  </r>
  <r>
    <x v="4"/>
    <x v="6"/>
    <x v="8"/>
    <x v="73"/>
    <n v="168.5"/>
    <n v="2485"/>
    <n v="15"/>
    <n v="0"/>
    <n v="70"/>
    <n v="2"/>
    <n v="14.747774480712167"/>
    <m/>
    <n v="27970"/>
    <n v="70770"/>
    <n v="42800"/>
  </r>
  <r>
    <x v="4"/>
    <x v="2"/>
    <x v="8"/>
    <x v="27"/>
    <n v="159"/>
    <n v="2378"/>
    <n v="35"/>
    <n v="0"/>
    <n v="10"/>
    <n v="10"/>
    <n v="14.955974842767295"/>
    <m/>
    <n v="13570"/>
    <n v="66780"/>
    <n v="53210"/>
  </r>
  <r>
    <x v="4"/>
    <x v="0"/>
    <x v="8"/>
    <x v="28"/>
    <n v="113"/>
    <n v="3190"/>
    <n v="10"/>
    <n v="0"/>
    <n v="102"/>
    <n v="20"/>
    <n v="28.23008849557522"/>
    <m/>
    <n v="36570"/>
    <n v="47460"/>
    <n v="10890"/>
  </r>
  <r>
    <x v="4"/>
    <x v="0"/>
    <x v="8"/>
    <x v="29"/>
    <n v="249"/>
    <n v="6079"/>
    <n v="71"/>
    <n v="0"/>
    <n v="0"/>
    <n v="25"/>
    <n v="24.413654618473895"/>
    <m/>
    <n v="64505"/>
    <n v="104580"/>
    <n v="40075"/>
  </r>
  <r>
    <x v="4"/>
    <x v="5"/>
    <x v="8"/>
    <x v="30"/>
    <n v="134"/>
    <n v="2871"/>
    <n v="45"/>
    <n v="0"/>
    <n v="40"/>
    <n v="55"/>
    <n v="21.425373134328357"/>
    <m/>
    <n v="37884.99"/>
    <n v="56280"/>
    <n v="18395.010000000002"/>
  </r>
  <r>
    <x v="4"/>
    <x v="0"/>
    <x v="8"/>
    <x v="31"/>
    <n v="229"/>
    <n v="7759"/>
    <n v="46"/>
    <n v="0"/>
    <n v="40"/>
    <n v="20"/>
    <n v="33.882096069868993"/>
    <m/>
    <n v="81530"/>
    <n v="96180"/>
    <n v="14650"/>
  </r>
  <r>
    <x v="4"/>
    <x v="4"/>
    <x v="8"/>
    <x v="32"/>
    <n v="142"/>
    <n v="771"/>
    <n v="5"/>
    <n v="0"/>
    <n v="0"/>
    <n v="0"/>
    <n v="5.429577464788732"/>
    <m/>
    <n v="7910"/>
    <n v="30580"/>
    <n v="22670"/>
  </r>
  <r>
    <x v="4"/>
    <x v="5"/>
    <x v="8"/>
    <x v="84"/>
    <n v="85"/>
    <n v="1003"/>
    <n v="20"/>
    <n v="0"/>
    <n v="10"/>
    <n v="5"/>
    <n v="11.8"/>
    <m/>
    <n v="10545"/>
    <n v="17820"/>
    <n v="7275"/>
  </r>
  <r>
    <x v="4"/>
    <x v="6"/>
    <x v="8"/>
    <x v="75"/>
    <n v="182"/>
    <n v="1666"/>
    <n v="5"/>
    <n v="0"/>
    <n v="15"/>
    <n v="2"/>
    <n v="9.1538461538461533"/>
    <m/>
    <n v="17455"/>
    <n v="40040"/>
    <n v="22585"/>
  </r>
  <r>
    <x v="4"/>
    <x v="5"/>
    <x v="8"/>
    <x v="76"/>
    <n v="189"/>
    <n v="3585"/>
    <n v="20"/>
    <n v="0"/>
    <n v="0"/>
    <n v="45"/>
    <n v="18.968253968253968"/>
    <m/>
    <n v="39308.300000000003"/>
    <n v="79380"/>
    <n v="40071.699999999997"/>
  </r>
  <r>
    <x v="4"/>
    <x v="5"/>
    <x v="8"/>
    <x v="77"/>
    <n v="0"/>
    <n v="0"/>
    <n v="0"/>
    <n v="0"/>
    <n v="0"/>
    <n v="0"/>
    <n v="0"/>
    <m/>
    <n v="0"/>
    <n v="0"/>
    <n v="0"/>
  </r>
  <r>
    <x v="4"/>
    <x v="5"/>
    <x v="8"/>
    <x v="78"/>
    <n v="189"/>
    <n v="2940"/>
    <n v="5"/>
    <n v="0"/>
    <n v="10"/>
    <n v="25"/>
    <n v="15.555555555555555"/>
    <m/>
    <n v="32991.620000000003"/>
    <n v="79380"/>
    <n v="46388.38"/>
  </r>
  <r>
    <x v="4"/>
    <x v="6"/>
    <x v="8"/>
    <x v="79"/>
    <n v="145"/>
    <n v="1407"/>
    <n v="6"/>
    <n v="0"/>
    <n v="25"/>
    <n v="2"/>
    <n v="9.703448275862069"/>
    <m/>
    <n v="15255"/>
    <n v="31900"/>
    <n v="16645"/>
  </r>
  <r>
    <x v="4"/>
    <x v="4"/>
    <x v="9"/>
    <x v="33"/>
    <n v="190"/>
    <n v="398"/>
    <n v="0"/>
    <n v="0"/>
    <n v="0"/>
    <n v="0"/>
    <n v="2.094736842105263"/>
    <m/>
    <n v="3980"/>
    <n v="12350"/>
    <n v="8370"/>
  </r>
  <r>
    <x v="4"/>
    <x v="0"/>
    <x v="9"/>
    <x v="34"/>
    <n v="25"/>
    <n v="257"/>
    <n v="0"/>
    <n v="0"/>
    <n v="0"/>
    <n v="0"/>
    <n v="10.28"/>
    <m/>
    <n v="3470"/>
    <n v="5720"/>
    <n v="2250"/>
  </r>
  <r>
    <x v="4"/>
    <x v="0"/>
    <x v="9"/>
    <x v="35"/>
    <n v="192"/>
    <n v="208"/>
    <n v="0"/>
    <n v="0"/>
    <n v="0"/>
    <n v="0"/>
    <n v="1.0833333333333333"/>
    <m/>
    <n v="2080"/>
    <n v="12480"/>
    <n v="10400"/>
  </r>
  <r>
    <x v="4"/>
    <x v="5"/>
    <x v="9"/>
    <x v="36"/>
    <n v="189"/>
    <n v="206"/>
    <n v="0"/>
    <n v="0"/>
    <n v="0"/>
    <n v="0"/>
    <n v="1.08994708994709"/>
    <n v="9.1352549889135251"/>
    <n v="2060"/>
    <n v="12285"/>
    <n v="10225"/>
  </r>
  <r>
    <x v="4"/>
    <x v="0"/>
    <x v="0"/>
    <x v="85"/>
    <n v="13"/>
    <n v="772"/>
    <n v="30"/>
    <n v="0"/>
    <n v="5"/>
    <n v="0"/>
    <n v="59.384615384615387"/>
    <m/>
    <m/>
    <m/>
    <n v="0"/>
  </r>
  <r>
    <x v="4"/>
    <x v="4"/>
    <x v="10"/>
    <x v="38"/>
    <n v="168"/>
    <n v="336"/>
    <n v="17"/>
    <n v="0"/>
    <n v="0"/>
    <n v="7"/>
    <n v="2"/>
    <m/>
    <n v="4285"/>
    <n v="30240"/>
    <n v="25955"/>
  </r>
  <r>
    <x v="4"/>
    <x v="0"/>
    <x v="10"/>
    <x v="39"/>
    <n v="91"/>
    <n v="529"/>
    <n v="0"/>
    <n v="0"/>
    <n v="20"/>
    <n v="0"/>
    <n v="5.813186813186813"/>
    <m/>
    <n v="5670"/>
    <n v="16380"/>
    <n v="10710"/>
  </r>
  <r>
    <x v="4"/>
    <x v="6"/>
    <x v="10"/>
    <x v="43"/>
    <n v="131"/>
    <n v="535"/>
    <n v="10"/>
    <n v="0"/>
    <n v="20"/>
    <n v="3"/>
    <n v="4.0839694656488552"/>
    <m/>
    <n v="6555"/>
    <n v="23580"/>
    <n v="17025"/>
  </r>
  <r>
    <x v="4"/>
    <x v="5"/>
    <x v="11"/>
    <x v="40"/>
    <n v="170"/>
    <n v="142"/>
    <n v="0"/>
    <n v="0"/>
    <n v="0"/>
    <n v="0"/>
    <n v="0.83529411764705885"/>
    <m/>
    <n v="1420"/>
    <n v="11050"/>
    <n v="9630"/>
  </r>
  <r>
    <x v="4"/>
    <x v="2"/>
    <x v="11"/>
    <x v="44"/>
    <n v="0"/>
    <n v="50"/>
    <n v="0"/>
    <n v="0"/>
    <n v="0"/>
    <n v="0"/>
    <n v="0"/>
    <m/>
    <m/>
    <m/>
    <n v="0"/>
  </r>
  <r>
    <x v="4"/>
    <x v="0"/>
    <x v="11"/>
    <x v="44"/>
    <n v="168"/>
    <n v="324"/>
    <n v="0"/>
    <n v="0"/>
    <n v="0"/>
    <n v="0"/>
    <n v="1.9285714285714286"/>
    <m/>
    <n v="3240"/>
    <n v="10920"/>
    <n v="7680"/>
  </r>
  <r>
    <x v="4"/>
    <x v="5"/>
    <x v="12"/>
    <x v="53"/>
    <n v="0"/>
    <n v="44"/>
    <n v="0"/>
    <n v="0"/>
    <n v="0"/>
    <n v="0"/>
    <n v="0"/>
    <m/>
    <m/>
    <m/>
    <n v="0"/>
  </r>
  <r>
    <x v="4"/>
    <x v="0"/>
    <x v="12"/>
    <x v="53"/>
    <n v="0"/>
    <n v="89"/>
    <n v="0"/>
    <n v="0"/>
    <n v="0"/>
    <n v="0"/>
    <n v="0"/>
    <m/>
    <n v="1330"/>
    <n v="9600"/>
    <n v="8270"/>
  </r>
  <r>
    <x v="4"/>
    <x v="6"/>
    <x v="12"/>
    <x v="54"/>
    <n v="0"/>
    <n v="66"/>
    <n v="0"/>
    <n v="0"/>
    <n v="0"/>
    <n v="0"/>
    <n v="0"/>
    <n v="14.405360134003351"/>
    <m/>
    <m/>
    <n v="0"/>
  </r>
  <r>
    <x v="4"/>
    <x v="4"/>
    <x v="12"/>
    <x v="54"/>
    <n v="27"/>
    <n v="192"/>
    <n v="0"/>
    <n v="0"/>
    <n v="0"/>
    <n v="0"/>
    <n v="7.1111111111111107"/>
    <n v="14.405360134003351"/>
    <n v="2580"/>
    <n v="18400"/>
    <n v="15820"/>
  </r>
  <r>
    <x v="4"/>
    <x v="2"/>
    <x v="12"/>
    <x v="80"/>
    <n v="8"/>
    <n v="0"/>
    <n v="0"/>
    <n v="0"/>
    <n v="0"/>
    <n v="0"/>
    <n v="0"/>
    <m/>
    <m/>
    <m/>
    <n v="0"/>
  </r>
  <r>
    <x v="4"/>
    <x v="4"/>
    <x v="12"/>
    <x v="80"/>
    <n v="7"/>
    <n v="38"/>
    <n v="0"/>
    <n v="0"/>
    <n v="0"/>
    <n v="0"/>
    <n v="5.4285714285714288"/>
    <m/>
    <n v="380"/>
    <n v="9600"/>
    <n v="9220"/>
  </r>
  <r>
    <x v="4"/>
    <x v="4"/>
    <x v="12"/>
    <x v="55"/>
    <n v="187"/>
    <n v="115"/>
    <n v="0"/>
    <n v="0"/>
    <n v="0"/>
    <n v="0"/>
    <n v="0.61497326203208558"/>
    <n v="7.8767123287671232"/>
    <n v="1150"/>
    <n v="6600"/>
    <n v="5450"/>
  </r>
  <r>
    <x v="4"/>
    <x v="0"/>
    <x v="12"/>
    <x v="56"/>
    <n v="192"/>
    <n v="277"/>
    <n v="0"/>
    <n v="0"/>
    <n v="0"/>
    <n v="0"/>
    <n v="1.4427083333333333"/>
    <n v="6.1582925744775459"/>
    <n v="2770"/>
    <n v="6900"/>
    <n v="4130"/>
  </r>
  <r>
    <x v="4"/>
    <x v="0"/>
    <x v="12"/>
    <x v="57"/>
    <n v="0"/>
    <n v="0"/>
    <n v="0"/>
    <n v="0"/>
    <n v="0"/>
    <n v="0"/>
    <n v="0"/>
    <m/>
    <m/>
    <m/>
    <n v="0"/>
  </r>
  <r>
    <x v="4"/>
    <x v="5"/>
    <x v="12"/>
    <x v="57"/>
    <n v="27"/>
    <n v="200"/>
    <n v="0"/>
    <n v="0"/>
    <n v="0"/>
    <n v="0"/>
    <n v="7.4074074074074074"/>
    <n v="4.6146746654360866"/>
    <n v="2000"/>
    <n v="7500"/>
    <n v="5500"/>
  </r>
  <r>
    <x v="4"/>
    <x v="6"/>
    <x v="12"/>
    <x v="58"/>
    <n v="129"/>
    <n v="162"/>
    <n v="0"/>
    <n v="0"/>
    <n v="0"/>
    <n v="0"/>
    <n v="1.2558139534883721"/>
    <n v="7.5077743225233231"/>
    <m/>
    <m/>
    <n v="0"/>
  </r>
  <r>
    <x v="4"/>
    <x v="4"/>
    <x v="12"/>
    <x v="58"/>
    <n v="47"/>
    <n v="176"/>
    <n v="0"/>
    <n v="0"/>
    <n v="0"/>
    <n v="0"/>
    <n v="3.7446808510638299"/>
    <n v="7.5077743225233231"/>
    <n v="3380"/>
    <n v="7200"/>
    <n v="3820"/>
  </r>
  <r>
    <x v="4"/>
    <x v="0"/>
    <x v="12"/>
    <x v="59"/>
    <n v="0"/>
    <n v="47"/>
    <n v="0"/>
    <n v="0"/>
    <n v="0"/>
    <n v="0"/>
    <n v="0"/>
    <n v="9.8666152659984601"/>
    <m/>
    <m/>
    <n v="0"/>
  </r>
  <r>
    <x v="4"/>
    <x v="2"/>
    <x v="12"/>
    <x v="59"/>
    <n v="0"/>
    <n v="50"/>
    <n v="0"/>
    <n v="0"/>
    <n v="0"/>
    <n v="0"/>
    <n v="0"/>
    <n v="8.8346"/>
    <m/>
    <m/>
    <n v="0"/>
  </r>
  <r>
    <x v="4"/>
    <x v="5"/>
    <x v="12"/>
    <x v="59"/>
    <n v="27"/>
    <n v="115"/>
    <n v="0"/>
    <n v="0"/>
    <n v="0"/>
    <n v="0"/>
    <n v="4.2592592592592595"/>
    <n v="8.8666152659984583"/>
    <n v="3438"/>
    <n v="7500"/>
    <n v="4062"/>
  </r>
  <r>
    <x v="4"/>
    <x v="2"/>
    <x v="12"/>
    <x v="60"/>
    <n v="160"/>
    <n v="255.22"/>
    <n v="0"/>
    <n v="0"/>
    <n v="0"/>
    <n v="0"/>
    <n v="1.5951249999999999"/>
    <n v="8.8666152659984583"/>
    <n v="1992"/>
    <n v="6000"/>
    <n v="4008"/>
  </r>
  <r>
    <x v="4"/>
    <x v="6"/>
    <x v="12"/>
    <x v="61"/>
    <n v="18"/>
    <n v="36"/>
    <n v="0"/>
    <n v="0"/>
    <n v="0"/>
    <n v="0"/>
    <n v="2"/>
    <n v="8.8666152659984583"/>
    <m/>
    <m/>
    <n v="0"/>
  </r>
  <r>
    <x v="4"/>
    <x v="4"/>
    <x v="12"/>
    <x v="61"/>
    <n v="162"/>
    <n v="142"/>
    <n v="0"/>
    <n v="0"/>
    <n v="0"/>
    <n v="0"/>
    <n v="0.87654320987654322"/>
    <n v="8.8666152659984583"/>
    <n v="1780"/>
    <n v="6600"/>
    <n v="4820"/>
  </r>
  <r>
    <x v="4"/>
    <x v="5"/>
    <x v="12"/>
    <x v="62"/>
    <n v="189"/>
    <n v="213"/>
    <n v="0"/>
    <n v="0"/>
    <n v="0"/>
    <n v="0"/>
    <n v="1.126984126984127"/>
    <n v="6.8007662835249043"/>
    <n v="2130"/>
    <n v="6600"/>
    <n v="4470"/>
  </r>
  <r>
    <x v="4"/>
    <x v="0"/>
    <x v="12"/>
    <x v="63"/>
    <n v="160"/>
    <n v="194"/>
    <n v="0"/>
    <n v="0"/>
    <n v="0"/>
    <n v="0"/>
    <n v="1.2124999999999999"/>
    <n v="6.4928909952606997"/>
    <n v="1940"/>
    <n v="7500"/>
    <n v="5560"/>
  </r>
  <r>
    <x v="4"/>
    <x v="0"/>
    <x v="12"/>
    <x v="64"/>
    <n v="0"/>
    <n v="28"/>
    <n v="0"/>
    <n v="0"/>
    <n v="0"/>
    <n v="0"/>
    <n v="0"/>
    <n v="5.5502392344498004"/>
    <m/>
    <m/>
    <n v="0"/>
  </r>
  <r>
    <x v="4"/>
    <x v="5"/>
    <x v="12"/>
    <x v="64"/>
    <n v="180"/>
    <n v="102"/>
    <n v="0"/>
    <n v="0"/>
    <n v="0"/>
    <n v="0"/>
    <n v="0.56666666666666665"/>
    <n v="5.5502392344498004"/>
    <n v="1300"/>
    <n v="6300"/>
    <n v="5000"/>
  </r>
  <r>
    <x v="4"/>
    <x v="6"/>
    <x v="12"/>
    <x v="65"/>
    <n v="190"/>
    <n v="246"/>
    <n v="0"/>
    <n v="0"/>
    <n v="0"/>
    <n v="0"/>
    <n v="1.2947368421052632"/>
    <n v="5.3292894280762564"/>
    <n v="2460"/>
    <n v="6600"/>
    <n v="4140"/>
  </r>
  <r>
    <x v="4"/>
    <x v="0"/>
    <x v="12"/>
    <x v="86"/>
    <n v="0"/>
    <n v="26"/>
    <n v="0"/>
    <n v="0"/>
    <n v="0"/>
    <n v="0"/>
    <n v="0"/>
    <m/>
    <m/>
    <m/>
    <n v="0"/>
  </r>
  <r>
    <x v="4"/>
    <x v="5"/>
    <x v="12"/>
    <x v="86"/>
    <n v="0"/>
    <n v="84"/>
    <n v="0"/>
    <n v="0"/>
    <n v="0"/>
    <n v="0"/>
    <n v="0"/>
    <n v="7.6993609530409"/>
    <n v="1100"/>
    <n v="7800"/>
    <n v="6700"/>
  </r>
  <r>
    <x v="5"/>
    <x v="0"/>
    <x v="0"/>
    <x v="0"/>
    <n v="19"/>
    <n v="229"/>
    <n v="0"/>
    <n v="0"/>
    <n v="45"/>
    <n v="0"/>
    <n v="12.052631578947368"/>
    <n v="0"/>
    <n v="4861.07"/>
    <n v="3040"/>
    <n v="-1821.0699999999997"/>
  </r>
  <r>
    <x v="5"/>
    <x v="0"/>
    <x v="1"/>
    <x v="1"/>
    <n v="88"/>
    <n v="758"/>
    <n v="10"/>
    <n v="0"/>
    <n v="5"/>
    <n v="0"/>
    <n v="8.6136363636363633"/>
    <n v="17.627906976744185"/>
    <n v="8708.3700000000008"/>
    <n v="17600"/>
    <n v="8891.6299999999992"/>
  </r>
  <r>
    <x v="5"/>
    <x v="4"/>
    <x v="1"/>
    <x v="2"/>
    <n v="113"/>
    <n v="860"/>
    <n v="5"/>
    <n v="0"/>
    <n v="5"/>
    <n v="0"/>
    <n v="7.610619469026549"/>
    <n v="0"/>
    <n v="9100"/>
    <n v="22600"/>
    <n v="13500"/>
  </r>
  <r>
    <x v="5"/>
    <x v="0"/>
    <x v="1"/>
    <x v="3"/>
    <n v="3"/>
    <n v="76"/>
    <n v="0"/>
    <n v="0"/>
    <n v="0"/>
    <n v="0"/>
    <n v="25.333333333333332"/>
    <n v="0"/>
    <n v="760"/>
    <n v="2700"/>
    <n v="1940"/>
  </r>
  <r>
    <x v="5"/>
    <x v="6"/>
    <x v="1"/>
    <x v="4"/>
    <n v="179"/>
    <n v="1130"/>
    <n v="10"/>
    <n v="0"/>
    <n v="5"/>
    <n v="8"/>
    <n v="6.3128491620111733"/>
    <n v="16.666666666666622"/>
    <n v="12155"/>
    <m/>
    <n v="-12155"/>
  </r>
  <r>
    <x v="5"/>
    <x v="5"/>
    <x v="1"/>
    <x v="87"/>
    <m/>
    <m/>
    <m/>
    <m/>
    <m/>
    <m/>
    <n v="0"/>
    <n v="0"/>
    <n v="597.75"/>
    <m/>
    <n v="-597.75"/>
  </r>
  <r>
    <x v="5"/>
    <x v="6"/>
    <x v="2"/>
    <x v="5"/>
    <n v="248"/>
    <n v="799"/>
    <n v="0"/>
    <n v="0"/>
    <n v="0"/>
    <n v="0"/>
    <n v="3.221774193548387"/>
    <n v="25.7"/>
    <n v="29662.76"/>
    <n v="68320"/>
    <n v="38657.240000000005"/>
  </r>
  <r>
    <x v="5"/>
    <x v="0"/>
    <x v="2"/>
    <x v="6"/>
    <n v="247"/>
    <n v="800"/>
    <n v="0"/>
    <n v="0"/>
    <n v="0"/>
    <n v="0"/>
    <n v="3.2388663967611335"/>
    <n v="26.6"/>
    <n v="29672.76"/>
    <n v="69160"/>
    <n v="39487.240000000005"/>
  </r>
  <r>
    <x v="5"/>
    <x v="4"/>
    <x v="2"/>
    <x v="7"/>
    <n v="248"/>
    <n v="2479"/>
    <n v="0"/>
    <n v="0"/>
    <n v="0"/>
    <n v="0"/>
    <n v="9.995967741935484"/>
    <n v="25.121951219512201"/>
    <n v="24790"/>
    <n v="69440"/>
    <n v="44650"/>
  </r>
  <r>
    <x v="5"/>
    <x v="0"/>
    <x v="2"/>
    <x v="8"/>
    <n v="245"/>
    <n v="1250"/>
    <n v="0"/>
    <n v="0"/>
    <n v="0"/>
    <n v="0"/>
    <n v="5.1020408163265305"/>
    <n v="26.48"/>
    <n v="13500"/>
    <n v="118720"/>
    <n v="105220"/>
  </r>
  <r>
    <x v="5"/>
    <x v="6"/>
    <x v="2"/>
    <x v="9"/>
    <n v="252"/>
    <n v="592"/>
    <n v="0"/>
    <n v="0"/>
    <n v="0"/>
    <n v="1"/>
    <n v="2.3492063492063493"/>
    <n v="23.814814814814799"/>
    <n v="16167.49"/>
    <n v="37800"/>
    <n v="21632.510000000002"/>
  </r>
  <r>
    <x v="5"/>
    <x v="0"/>
    <x v="2"/>
    <x v="10"/>
    <n v="118"/>
    <n v="791"/>
    <n v="0"/>
    <n v="0"/>
    <n v="0"/>
    <n v="0"/>
    <n v="6.7033898305084749"/>
    <n v="32.444626743232156"/>
    <n v="18983.93"/>
    <n v="18600"/>
    <n v="-383.93000000000029"/>
  </r>
  <r>
    <x v="5"/>
    <x v="4"/>
    <x v="2"/>
    <x v="11"/>
    <n v="252"/>
    <n v="683"/>
    <n v="0"/>
    <n v="0"/>
    <n v="0"/>
    <n v="0"/>
    <n v="2.7103174603174605"/>
    <n v="22.8162729658793"/>
    <n v="16797.18"/>
    <n v="37800"/>
    <n v="21002.82"/>
  </r>
  <r>
    <x v="5"/>
    <x v="5"/>
    <x v="2"/>
    <x v="12"/>
    <n v="114"/>
    <n v="765"/>
    <m/>
    <m/>
    <m/>
    <m/>
    <n v="6.7105263157894735"/>
    <n v="28.56"/>
    <n v="17158.830000000002"/>
    <n v="67200"/>
    <n v="50041.17"/>
  </r>
  <r>
    <x v="5"/>
    <x v="0"/>
    <x v="2"/>
    <x v="13"/>
    <n v="0"/>
    <n v="1384"/>
    <n v="0"/>
    <n v="0"/>
    <n v="0"/>
    <n v="0"/>
    <n v="0"/>
    <n v="41.499767116907314"/>
    <n v="26252.97"/>
    <n v="20250"/>
    <n v="-6002.9700000000012"/>
  </r>
  <r>
    <x v="5"/>
    <x v="5"/>
    <x v="2"/>
    <x v="14"/>
    <n v="46"/>
    <n v="3386"/>
    <m/>
    <m/>
    <m/>
    <m/>
    <n v="73.608695652173907"/>
    <n v="28.050000000000004"/>
    <n v="77966.259999999995"/>
    <n v="54140"/>
    <n v="-23826.259999999995"/>
  </r>
  <r>
    <x v="5"/>
    <x v="5"/>
    <x v="2"/>
    <x v="15"/>
    <n v="193"/>
    <n v="1053"/>
    <m/>
    <m/>
    <n v="15"/>
    <m/>
    <n v="5.4559585492227978"/>
    <n v="25.686131386861302"/>
    <n v="12571.48"/>
    <n v="54260.08"/>
    <n v="41688.600000000006"/>
  </r>
  <r>
    <x v="5"/>
    <x v="0"/>
    <x v="2"/>
    <x v="81"/>
    <n v="76"/>
    <n v="505"/>
    <n v="5"/>
    <n v="0"/>
    <n v="0"/>
    <n v="2"/>
    <n v="6.6447368421052628"/>
    <n v="32.920469361147326"/>
    <n v="7140.93"/>
    <n v="13084.95"/>
    <n v="5944.02"/>
  </r>
  <r>
    <x v="5"/>
    <x v="5"/>
    <x v="2"/>
    <x v="88"/>
    <n v="50"/>
    <n v="152"/>
    <m/>
    <m/>
    <m/>
    <m/>
    <n v="3.04"/>
    <n v="25.84"/>
    <n v="3066.07"/>
    <n v="7500"/>
    <n v="4433.93"/>
  </r>
  <r>
    <x v="5"/>
    <x v="4"/>
    <x v="2"/>
    <x v="89"/>
    <n v="8"/>
    <n v="146"/>
    <n v="0"/>
    <n v="0"/>
    <n v="0"/>
    <n v="0"/>
    <n v="18.25"/>
    <n v="9.7058823529412006"/>
    <n v="590"/>
    <m/>
    <n v="-590"/>
  </r>
  <r>
    <x v="5"/>
    <x v="0"/>
    <x v="2"/>
    <x v="90"/>
    <m/>
    <m/>
    <m/>
    <m/>
    <m/>
    <m/>
    <n v="0"/>
    <n v="0"/>
    <n v="5828.88"/>
    <m/>
    <n v="-5828.88"/>
  </r>
  <r>
    <x v="5"/>
    <x v="4"/>
    <x v="2"/>
    <x v="16"/>
    <n v="102.9"/>
    <n v="730"/>
    <n v="0"/>
    <n v="0"/>
    <n v="2"/>
    <n v="2"/>
    <n v="7.094266277939747"/>
    <n v="14.4"/>
    <n v="7440"/>
    <n v="25725"/>
    <n v="18285"/>
  </r>
  <r>
    <x v="5"/>
    <x v="7"/>
    <x v="3"/>
    <x v="17"/>
    <n v="126.5"/>
    <n v="2242"/>
    <n v="28"/>
    <m/>
    <m/>
    <m/>
    <n v="17.723320158102766"/>
    <n v="0.44"/>
    <n v="19689.55"/>
    <n v="35100"/>
    <n v="15410.45"/>
  </r>
  <r>
    <x v="5"/>
    <x v="0"/>
    <x v="3"/>
    <x v="18"/>
    <n v="34"/>
    <n v="475"/>
    <n v="0"/>
    <n v="0"/>
    <n v="10"/>
    <n v="0"/>
    <n v="13.970588235294118"/>
    <n v="13.970588235294118"/>
    <n v="21691.79"/>
    <n v="71250"/>
    <n v="49558.21"/>
  </r>
  <r>
    <x v="5"/>
    <x v="5"/>
    <x v="3"/>
    <x v="41"/>
    <n v="270"/>
    <n v="2275"/>
    <n v="35"/>
    <m/>
    <m/>
    <n v="20"/>
    <n v="8.4259259259259256"/>
    <n v="12.04"/>
    <n v="24850"/>
    <n v="95760"/>
    <n v="70910"/>
  </r>
  <r>
    <x v="5"/>
    <x v="5"/>
    <x v="3"/>
    <x v="66"/>
    <n v="252"/>
    <n v="2354"/>
    <m/>
    <m/>
    <m/>
    <n v="10"/>
    <n v="9.3412698412698418"/>
    <n v="9.6100000000000012"/>
    <n v="23890"/>
    <n v="90720"/>
    <n v="66830"/>
  </r>
  <r>
    <x v="5"/>
    <x v="7"/>
    <x v="4"/>
    <x v="19"/>
    <n v="130"/>
    <n v="5484"/>
    <n v="43"/>
    <m/>
    <n v="30"/>
    <m/>
    <n v="42.184615384615384"/>
    <n v="0"/>
    <n v="18649.45"/>
    <n v="175500"/>
    <n v="156850.54999999999"/>
  </r>
  <r>
    <x v="5"/>
    <x v="8"/>
    <x v="4"/>
    <x v="67"/>
    <m/>
    <m/>
    <m/>
    <m/>
    <m/>
    <m/>
    <n v="0"/>
    <n v="0"/>
    <n v="996.07"/>
    <n v="157950"/>
    <n v="156953.93"/>
  </r>
  <r>
    <x v="5"/>
    <x v="0"/>
    <x v="2"/>
    <x v="20"/>
    <n v="13"/>
    <n v="550"/>
    <n v="0"/>
    <n v="0"/>
    <n v="0"/>
    <n v="0"/>
    <n v="42.307692307692307"/>
    <n v="17.37"/>
    <n v="5272.7"/>
    <n v="6650"/>
    <n v="1377.3000000000002"/>
  </r>
  <r>
    <x v="5"/>
    <x v="7"/>
    <x v="5"/>
    <x v="21"/>
    <n v="98"/>
    <n v="636"/>
    <m/>
    <m/>
    <m/>
    <m/>
    <n v="6.4897959183673466"/>
    <n v="6.8000000000000007"/>
    <n v="383.33"/>
    <n v="60175"/>
    <n v="59791.67"/>
  </r>
  <r>
    <x v="5"/>
    <x v="5"/>
    <x v="6"/>
    <x v="22"/>
    <n v="212.5"/>
    <n v="4924"/>
    <n v="90"/>
    <m/>
    <n v="90"/>
    <n v="35"/>
    <n v="23.171764705882353"/>
    <n v="17.22"/>
    <n v="58862.2"/>
    <n v="244375"/>
    <n v="185512.8"/>
  </r>
  <r>
    <x v="5"/>
    <x v="6"/>
    <x v="7"/>
    <x v="42"/>
    <n v="252"/>
    <n v="2179"/>
    <n v="57"/>
    <n v="0"/>
    <n v="10"/>
    <n v="9"/>
    <n v="8.6468253968253972"/>
    <n v="0"/>
    <n v="25558.46"/>
    <n v="126000"/>
    <n v="100441.54000000001"/>
  </r>
  <r>
    <x v="5"/>
    <x v="8"/>
    <x v="7"/>
    <x v="91"/>
    <m/>
    <m/>
    <m/>
    <m/>
    <m/>
    <m/>
    <n v="0"/>
    <n v="0"/>
    <n v="341.07"/>
    <m/>
    <n v="-341.07"/>
  </r>
  <r>
    <x v="5"/>
    <x v="4"/>
    <x v="7"/>
    <x v="23"/>
    <n v="233"/>
    <n v="2671"/>
    <n v="30"/>
    <n v="0"/>
    <n v="0"/>
    <n v="23"/>
    <n v="11.463519313304721"/>
    <n v="0"/>
    <n v="42266.28"/>
    <n v="93200"/>
    <n v="50933.72"/>
  </r>
  <r>
    <x v="5"/>
    <x v="0"/>
    <x v="7"/>
    <x v="24"/>
    <n v="173"/>
    <n v="3776.7799999999997"/>
    <n v="65"/>
    <n v="0"/>
    <n v="17"/>
    <n v="15"/>
    <n v="21.831098265895953"/>
    <n v="18.789950248756217"/>
    <n v="114561.86"/>
    <n v="86500"/>
    <n v="-28061.86"/>
  </r>
  <r>
    <x v="5"/>
    <x v="6"/>
    <x v="7"/>
    <x v="45"/>
    <n v="51"/>
    <n v="600"/>
    <n v="26"/>
    <n v="0"/>
    <n v="10"/>
    <n v="6"/>
    <n v="11.764705882352942"/>
    <n v="19.736842105263396"/>
    <n v="26051.48"/>
    <n v="25500"/>
    <n v="-551.47999999999956"/>
  </r>
  <r>
    <x v="5"/>
    <x v="6"/>
    <x v="0"/>
    <x v="49"/>
    <n v="26"/>
    <n v="40"/>
    <n v="0"/>
    <n v="0"/>
    <n v="0"/>
    <n v="0"/>
    <n v="1.5384615384615385"/>
    <n v="0"/>
    <m/>
    <m/>
    <n v="0"/>
  </r>
  <r>
    <x v="5"/>
    <x v="8"/>
    <x v="0"/>
    <x v="50"/>
    <m/>
    <m/>
    <m/>
    <m/>
    <m/>
    <m/>
    <n v="0"/>
    <n v="0"/>
    <n v="721.66"/>
    <m/>
    <n v="-721.66"/>
  </r>
  <r>
    <x v="5"/>
    <x v="5"/>
    <x v="0"/>
    <x v="70"/>
    <n v="29"/>
    <n v="35"/>
    <m/>
    <m/>
    <m/>
    <m/>
    <n v="1.2068965517241379"/>
    <n v="0"/>
    <m/>
    <m/>
    <n v="0"/>
  </r>
  <r>
    <x v="5"/>
    <x v="6"/>
    <x v="0"/>
    <x v="71"/>
    <n v="16"/>
    <n v="75"/>
    <n v="0"/>
    <n v="0"/>
    <n v="0"/>
    <n v="0"/>
    <n v="4.6875"/>
    <n v="0"/>
    <m/>
    <m/>
    <n v="0"/>
  </r>
  <r>
    <x v="5"/>
    <x v="4"/>
    <x v="0"/>
    <x v="72"/>
    <n v="24"/>
    <n v="0"/>
    <n v="0"/>
    <n v="0"/>
    <n v="0"/>
    <m/>
    <n v="0"/>
    <n v="0"/>
    <m/>
    <m/>
    <n v="0"/>
  </r>
  <r>
    <x v="5"/>
    <x v="5"/>
    <x v="8"/>
    <x v="25"/>
    <n v="211"/>
    <n v="3947"/>
    <n v="10"/>
    <m/>
    <n v="50"/>
    <n v="30"/>
    <n v="18.706161137440759"/>
    <n v="0.37"/>
    <n v="64766.41"/>
    <n v="86940"/>
    <n v="22173.589999999997"/>
  </r>
  <r>
    <x v="5"/>
    <x v="7"/>
    <x v="8"/>
    <x v="26"/>
    <n v="174.5"/>
    <n v="2994"/>
    <n v="15"/>
    <m/>
    <n v="85"/>
    <n v="6"/>
    <n v="17.157593123209168"/>
    <n v="17.899999999999999"/>
    <n v="56695.45"/>
    <n v="65310"/>
    <n v="8614.5500000000029"/>
  </r>
  <r>
    <x v="5"/>
    <x v="6"/>
    <x v="8"/>
    <x v="73"/>
    <n v="247"/>
    <n v="3943"/>
    <n v="5"/>
    <n v="0"/>
    <n v="15"/>
    <n v="9"/>
    <n v="15.963562753036438"/>
    <n v="17.955373406193196"/>
    <n v="41169.75"/>
    <n v="103740"/>
    <n v="62570.25"/>
  </r>
  <r>
    <x v="5"/>
    <x v="5"/>
    <x v="8"/>
    <x v="27"/>
    <n v="50"/>
    <n v="1511"/>
    <n v="5"/>
    <m/>
    <n v="35"/>
    <n v="15"/>
    <n v="30.22"/>
    <n v="27.779999999999998"/>
    <n v="69699.78"/>
    <n v="81690"/>
    <n v="11990.220000000001"/>
  </r>
  <r>
    <x v="5"/>
    <x v="0"/>
    <x v="8"/>
    <x v="28"/>
    <n v="189"/>
    <n v="4430"/>
    <n v="30"/>
    <n v="0"/>
    <n v="40"/>
    <n v="27"/>
    <n v="23.43915343915344"/>
    <n v="21.057803468208093"/>
    <n v="68960.009999999995"/>
    <n v="79380"/>
    <n v="10419.990000000005"/>
  </r>
  <r>
    <x v="5"/>
    <x v="0"/>
    <x v="8"/>
    <x v="29"/>
    <n v="213"/>
    <n v="4891"/>
    <n v="51"/>
    <n v="0"/>
    <n v="20"/>
    <n v="25"/>
    <n v="22.962441314553992"/>
    <n v="0.51465635524510411"/>
    <n v="81462.58"/>
    <n v="89460"/>
    <n v="7997.4199999999983"/>
  </r>
  <r>
    <x v="5"/>
    <x v="5"/>
    <x v="8"/>
    <x v="30"/>
    <n v="227"/>
    <n v="6034"/>
    <m/>
    <m/>
    <n v="25"/>
    <n v="40"/>
    <n v="26.581497797356828"/>
    <n v="26.229999999999997"/>
    <n v="83615.31"/>
    <n v="95340"/>
    <n v="11724.690000000002"/>
  </r>
  <r>
    <x v="5"/>
    <x v="0"/>
    <x v="8"/>
    <x v="31"/>
    <n v="160"/>
    <n v="5800"/>
    <n v="0"/>
    <n v="0"/>
    <n v="120"/>
    <n v="28"/>
    <n v="36.25"/>
    <n v="5.8704453441295543"/>
    <n v="87523.75"/>
    <n v="67200"/>
    <n v="-20323.75"/>
  </r>
  <r>
    <x v="5"/>
    <x v="4"/>
    <x v="8"/>
    <x v="32"/>
    <n v="194"/>
    <n v="1290"/>
    <n v="20"/>
    <n v="0"/>
    <n v="0"/>
    <n v="4"/>
    <n v="6.6494845360824746"/>
    <n v="5.616883116883117"/>
    <n v="14630.94"/>
    <n v="42680"/>
    <n v="28049.059999999998"/>
  </r>
  <r>
    <x v="5"/>
    <x v="6"/>
    <x v="8"/>
    <x v="74"/>
    <n v="83"/>
    <n v="1650"/>
    <n v="5"/>
    <n v="0"/>
    <n v="0"/>
    <n v="1"/>
    <n v="19.879518072289155"/>
    <n v="25.541795665634531"/>
    <n v="16868.330000000002"/>
    <n v="34860"/>
    <n v="17991.669999999998"/>
  </r>
  <r>
    <x v="5"/>
    <x v="5"/>
    <x v="8"/>
    <x v="84"/>
    <n v="224"/>
    <n v="1560"/>
    <n v="15"/>
    <m/>
    <m/>
    <n v="10"/>
    <n v="6.9642857142857144"/>
    <n v="4.51"/>
    <n v="24741.9"/>
    <n v="43340"/>
    <n v="18598.099999999999"/>
  </r>
  <r>
    <x v="5"/>
    <x v="6"/>
    <x v="8"/>
    <x v="75"/>
    <n v="251"/>
    <n v="2303"/>
    <n v="20"/>
    <n v="0"/>
    <n v="5"/>
    <n v="7"/>
    <n v="9.1752988047808763"/>
    <n v="8.8041924726059992"/>
    <n v="24383.87"/>
    <n v="55220"/>
    <n v="30836.13"/>
  </r>
  <r>
    <x v="5"/>
    <x v="5"/>
    <x v="8"/>
    <x v="76"/>
    <n v="233"/>
    <n v="4624"/>
    <n v="25"/>
    <n v="5"/>
    <n v="10"/>
    <n v="60"/>
    <n v="19.845493562231759"/>
    <n v="18.5"/>
    <n v="53831.54"/>
    <n v="97860"/>
    <n v="44028.46"/>
  </r>
  <r>
    <x v="5"/>
    <x v="5"/>
    <x v="8"/>
    <x v="77"/>
    <n v="208"/>
    <n v="4098"/>
    <m/>
    <n v="5"/>
    <m/>
    <n v="10"/>
    <n v="19.701923076923077"/>
    <n v="3.51"/>
    <n v="41988.33"/>
    <n v="87360"/>
    <n v="45371.67"/>
  </r>
  <r>
    <x v="5"/>
    <x v="5"/>
    <x v="8"/>
    <x v="78"/>
    <n v="247"/>
    <n v="4066"/>
    <n v="25"/>
    <m/>
    <m/>
    <n v="40"/>
    <n v="16.46153846153846"/>
    <n v="0"/>
    <n v="45014.38"/>
    <n v="103740"/>
    <n v="58725.62"/>
  </r>
  <r>
    <x v="5"/>
    <x v="6"/>
    <x v="8"/>
    <x v="79"/>
    <n v="96"/>
    <n v="899"/>
    <n v="15"/>
    <n v="0"/>
    <n v="30"/>
    <n v="5"/>
    <n v="9.3645833333333339"/>
    <n v="9.6149732620320858"/>
    <n v="16284.87"/>
    <n v="21120"/>
    <n v="4835.1299999999992"/>
  </r>
  <r>
    <x v="5"/>
    <x v="4"/>
    <x v="9"/>
    <x v="33"/>
    <n v="252"/>
    <n v="487"/>
    <n v="5"/>
    <n v="0"/>
    <n v="0"/>
    <n v="0"/>
    <n v="1.9325396825396826"/>
    <n v="46.73704414587332"/>
    <n v="5149.1000000000004"/>
    <n v="16380"/>
    <n v="11230.9"/>
  </r>
  <r>
    <x v="5"/>
    <x v="0"/>
    <x v="9"/>
    <x v="34"/>
    <n v="186"/>
    <n v="543"/>
    <n v="5"/>
    <n v="0"/>
    <n v="0"/>
    <n v="0"/>
    <n v="2.9193548387096775"/>
    <n v="14.52"/>
    <n v="11359.22"/>
    <m/>
    <n v="-11359.22"/>
  </r>
  <r>
    <x v="5"/>
    <x v="0"/>
    <x v="9"/>
    <x v="35"/>
    <n v="174"/>
    <n v="185"/>
    <n v="0"/>
    <n v="0"/>
    <n v="0"/>
    <n v="0"/>
    <n v="1.0632183908045978"/>
    <n v="9.5200000000000014"/>
    <n v="7019.02"/>
    <n v="15535"/>
    <n v="8515.98"/>
  </r>
  <r>
    <x v="5"/>
    <x v="5"/>
    <x v="9"/>
    <x v="36"/>
    <n v="201"/>
    <n v="292"/>
    <m/>
    <m/>
    <m/>
    <m/>
    <n v="1.4527363184079602"/>
    <n v="10.47"/>
    <n v="2920"/>
    <m/>
    <n v="-2920"/>
  </r>
  <r>
    <x v="5"/>
    <x v="0"/>
    <x v="0"/>
    <x v="85"/>
    <n v="12"/>
    <n v="494"/>
    <n v="0"/>
    <n v="25"/>
    <n v="80"/>
    <n v="0"/>
    <n v="41.166666666666664"/>
    <n v="61.750000000000007"/>
    <n v="8740"/>
    <m/>
    <n v="-8740"/>
  </r>
  <r>
    <x v="5"/>
    <x v="4"/>
    <x v="10"/>
    <x v="38"/>
    <n v="212"/>
    <n v="306"/>
    <n v="6"/>
    <n v="0"/>
    <n v="15"/>
    <n v="0"/>
    <n v="1.4433962264150944"/>
    <n v="0"/>
    <n v="5554.18"/>
    <n v="38160"/>
    <n v="32605.82"/>
  </r>
  <r>
    <x v="5"/>
    <x v="0"/>
    <x v="10"/>
    <x v="39"/>
    <n v="41"/>
    <n v="415"/>
    <n v="11"/>
    <n v="0"/>
    <n v="0"/>
    <n v="0"/>
    <n v="10.121951219512194"/>
    <n v="0"/>
    <n v="5069.59"/>
    <n v="11700"/>
    <n v="6630.41"/>
  </r>
  <r>
    <x v="5"/>
    <x v="6"/>
    <x v="10"/>
    <x v="43"/>
    <n v="182"/>
    <n v="725"/>
    <n v="20"/>
    <n v="0"/>
    <n v="0"/>
    <n v="8"/>
    <n v="3.9835164835164836"/>
    <n v="0"/>
    <n v="15239.76"/>
    <n v="33480"/>
    <n v="18240.239999999998"/>
  </r>
  <r>
    <x v="5"/>
    <x v="5"/>
    <x v="11"/>
    <x v="40"/>
    <n v="165"/>
    <n v="216"/>
    <m/>
    <m/>
    <m/>
    <m/>
    <n v="1.3090909090909091"/>
    <n v="0"/>
    <n v="2160"/>
    <n v="10725"/>
    <n v="8565"/>
  </r>
  <r>
    <x v="5"/>
    <x v="0"/>
    <x v="11"/>
    <x v="44"/>
    <n v="137"/>
    <n v="210"/>
    <n v="0"/>
    <n v="0"/>
    <n v="0"/>
    <n v="0"/>
    <n v="1.5328467153284671"/>
    <n v="0"/>
    <n v="2210.67"/>
    <n v="8905"/>
    <n v="6694.33"/>
  </r>
  <r>
    <x v="5"/>
    <x v="0"/>
    <x v="12"/>
    <x v="53"/>
    <n v="8"/>
    <n v="54"/>
    <n v="0"/>
    <n v="0"/>
    <n v="0"/>
    <n v="0"/>
    <n v="6.75"/>
    <n v="0"/>
    <n v="540"/>
    <n v="11600"/>
    <n v="11060"/>
  </r>
  <r>
    <x v="5"/>
    <x v="6"/>
    <x v="12"/>
    <x v="54"/>
    <n v="19"/>
    <n v="507"/>
    <n v="0"/>
    <n v="0"/>
    <n v="0"/>
    <n v="0"/>
    <n v="26.684210526315791"/>
    <n v="9.034212401995724"/>
    <n v="13406.9"/>
    <n v="10400"/>
    <n v="-3006.8999999999996"/>
  </r>
  <r>
    <x v="5"/>
    <x v="4"/>
    <x v="12"/>
    <x v="80"/>
    <n v="5"/>
    <n v="239"/>
    <n v="0"/>
    <n v="0"/>
    <n v="0"/>
    <n v="0"/>
    <n v="47.8"/>
    <n v="9.549461312438785"/>
    <n v="14659.85"/>
    <n v="11600"/>
    <n v="-3059.8500000000004"/>
  </r>
  <r>
    <x v="5"/>
    <x v="4"/>
    <x v="12"/>
    <x v="55"/>
    <n v="234"/>
    <n v="98"/>
    <n v="0"/>
    <n v="0"/>
    <n v="0"/>
    <n v="0"/>
    <n v="0.41880341880341881"/>
    <n v="7.8337330135891285"/>
    <n v="3881.82"/>
    <n v="7800"/>
    <n v="3918.18"/>
  </r>
  <r>
    <x v="5"/>
    <x v="8"/>
    <x v="12"/>
    <x v="92"/>
    <m/>
    <m/>
    <m/>
    <m/>
    <m/>
    <m/>
    <n v="0"/>
    <n v="0"/>
    <m/>
    <n v="8700"/>
    <n v="8700"/>
  </r>
  <r>
    <x v="5"/>
    <x v="0"/>
    <x v="12"/>
    <x v="56"/>
    <n v="216"/>
    <n v="278"/>
    <n v="0"/>
    <n v="0"/>
    <n v="0"/>
    <n v="0"/>
    <n v="1.287037037037037"/>
    <n v="6.6810862773371777"/>
    <n v="3222.7"/>
    <n v="7128"/>
    <n v="3905.3"/>
  </r>
  <r>
    <x v="5"/>
    <x v="5"/>
    <x v="12"/>
    <x v="57"/>
    <m/>
    <n v="347"/>
    <m/>
    <m/>
    <m/>
    <m/>
    <n v="0"/>
    <n v="7.3955589010161829"/>
    <n v="4229.49"/>
    <n v="8700"/>
    <n v="4470.51"/>
  </r>
  <r>
    <x v="5"/>
    <x v="6"/>
    <x v="12"/>
    <x v="58"/>
    <n v="216"/>
    <n v="393"/>
    <n v="0"/>
    <n v="0"/>
    <n v="0"/>
    <n v="0"/>
    <n v="1.8194444444444444"/>
    <n v="7.3955589010161829"/>
    <n v="3930"/>
    <n v="8700"/>
    <n v="4770"/>
  </r>
  <r>
    <x v="5"/>
    <x v="5"/>
    <x v="12"/>
    <x v="59"/>
    <n v="27"/>
    <n v="282"/>
    <m/>
    <m/>
    <m/>
    <m/>
    <n v="10.444444444444445"/>
    <n v="7.3189722294316111"/>
    <n v="3552.99"/>
    <n v="7200"/>
    <n v="3647.01"/>
  </r>
  <r>
    <x v="5"/>
    <x v="5"/>
    <x v="12"/>
    <x v="60"/>
    <n v="49"/>
    <n v="128"/>
    <m/>
    <m/>
    <m/>
    <m/>
    <n v="2.6122448979591835"/>
    <n v="0"/>
    <n v="3834.86"/>
    <n v="5898.6"/>
    <n v="2063.7400000000002"/>
  </r>
  <r>
    <x v="5"/>
    <x v="4"/>
    <x v="12"/>
    <x v="61"/>
    <n v="243"/>
    <n v="191"/>
    <n v="0"/>
    <n v="0"/>
    <n v="0"/>
    <n v="0"/>
    <n v="0.78600823045267487"/>
    <n v="10.176390773405698"/>
    <n v="1910"/>
    <n v="7800"/>
    <n v="5890"/>
  </r>
  <r>
    <x v="5"/>
    <x v="5"/>
    <x v="12"/>
    <x v="62"/>
    <n v="205"/>
    <n v="220"/>
    <m/>
    <m/>
    <m/>
    <m/>
    <n v="1.0731707317073171"/>
    <n v="8.02"/>
    <n v="2716.48"/>
    <n v="7397.1"/>
    <n v="4680.6200000000008"/>
  </r>
  <r>
    <x v="5"/>
    <x v="0"/>
    <x v="12"/>
    <x v="63"/>
    <n v="200"/>
    <n v="154"/>
    <n v="0"/>
    <n v="0"/>
    <n v="0"/>
    <n v="0"/>
    <n v="0.77"/>
    <n v="5.5959302325581399"/>
    <n v="2627.16"/>
    <n v="8700"/>
    <n v="6072.84"/>
  </r>
  <r>
    <x v="5"/>
    <x v="5"/>
    <x v="12"/>
    <x v="64"/>
    <n v="106"/>
    <n v="108"/>
    <m/>
    <m/>
    <m/>
    <m/>
    <n v="1.0188679245283019"/>
    <n v="5.4408060453400502"/>
    <n v="3927.82"/>
    <n v="3249.3"/>
    <n v="-678.52"/>
  </r>
  <r>
    <x v="5"/>
    <x v="6"/>
    <x v="12"/>
    <x v="65"/>
    <n v="252"/>
    <n v="287"/>
    <n v="0"/>
    <n v="0"/>
    <n v="0"/>
    <n v="0"/>
    <n v="1.1388888888888888"/>
    <n v="6.9948817938094097"/>
    <n v="6221.82"/>
    <n v="9600"/>
    <n v="3378.1800000000003"/>
  </r>
  <r>
    <x v="5"/>
    <x v="5"/>
    <x v="12"/>
    <x v="86"/>
    <m/>
    <n v="22"/>
    <m/>
    <m/>
    <m/>
    <m/>
    <n v="0"/>
    <m/>
    <n v="47900"/>
    <n v="8700"/>
    <n v="-39200"/>
  </r>
  <r>
    <x v="6"/>
    <x v="0"/>
    <x v="0"/>
    <x v="0"/>
    <n v="0"/>
    <n v="20"/>
    <n v="0"/>
    <n v="0"/>
    <n v="0"/>
    <n v="0"/>
    <n v="0"/>
    <n v="0"/>
    <n v="200"/>
    <m/>
    <n v="-200"/>
  </r>
  <r>
    <x v="6"/>
    <x v="0"/>
    <x v="0"/>
    <x v="93"/>
    <n v="0"/>
    <n v="40"/>
    <n v="0"/>
    <n v="0"/>
    <n v="0"/>
    <n v="0"/>
    <n v="0"/>
    <n v="0"/>
    <m/>
    <m/>
    <n v="0"/>
  </r>
  <r>
    <x v="6"/>
    <x v="0"/>
    <x v="0"/>
    <x v="94"/>
    <n v="0"/>
    <n v="20"/>
    <n v="0"/>
    <n v="0"/>
    <n v="0"/>
    <n v="0"/>
    <n v="0"/>
    <n v="0"/>
    <m/>
    <m/>
    <n v="0"/>
  </r>
  <r>
    <x v="6"/>
    <x v="0"/>
    <x v="1"/>
    <x v="1"/>
    <n v="19"/>
    <n v="295"/>
    <n v="10"/>
    <n v="0"/>
    <n v="0"/>
    <n v="0"/>
    <n v="15.526315789473685"/>
    <n v="11.346153846153847"/>
    <n v="5766.66"/>
    <n v="3800"/>
    <n v="-1966.6599999999999"/>
  </r>
  <r>
    <x v="6"/>
    <x v="4"/>
    <x v="1"/>
    <x v="2"/>
    <n v="81"/>
    <n v="535"/>
    <n v="16"/>
    <n v="0"/>
    <n v="0"/>
    <n v="0"/>
    <n v="6.6049382716049383"/>
    <n v="0"/>
    <n v="5990"/>
    <n v="16200"/>
    <n v="10210"/>
  </r>
  <r>
    <x v="6"/>
    <x v="0"/>
    <x v="1"/>
    <x v="3"/>
    <n v="13"/>
    <n v="55"/>
    <n v="5"/>
    <n v="0"/>
    <n v="0"/>
    <n v="0"/>
    <n v="4.2307692307692308"/>
    <n v="0"/>
    <n v="750"/>
    <n v="3900"/>
    <n v="3150"/>
  </r>
  <r>
    <x v="6"/>
    <x v="6"/>
    <x v="1"/>
    <x v="4"/>
    <n v="88"/>
    <n v="942"/>
    <n v="20"/>
    <s v="                     "/>
    <s v="                     "/>
    <n v="3"/>
    <n v="10.704545454545455"/>
    <n v="14.905063291139239"/>
    <n v="9420"/>
    <n v="17600"/>
    <n v="8180"/>
  </r>
  <r>
    <x v="6"/>
    <x v="4"/>
    <x v="1"/>
    <x v="95"/>
    <n v="45"/>
    <n v="270"/>
    <n v="0"/>
    <n v="0"/>
    <n v="0"/>
    <n v="0"/>
    <n v="6"/>
    <n v="0"/>
    <n v="2700"/>
    <n v="9000"/>
    <n v="6300"/>
  </r>
  <r>
    <x v="6"/>
    <x v="6"/>
    <x v="2"/>
    <x v="5"/>
    <n v="136.5"/>
    <n v="1087"/>
    <s v="                    "/>
    <s v="                     "/>
    <s v="                     "/>
    <s v="                    "/>
    <n v="7.9633699633699635"/>
    <n v="18.361486486486498"/>
    <n v="13620"/>
    <n v="26880"/>
    <n v="13260"/>
  </r>
  <r>
    <x v="6"/>
    <x v="5"/>
    <x v="2"/>
    <x v="6"/>
    <n v="139"/>
    <n v="782"/>
    <s v="                    "/>
    <s v="                     "/>
    <s v="                     "/>
    <s v="                    "/>
    <n v="5.6258992805755392"/>
    <n v="10.155844155844155"/>
    <n v="37592.76"/>
    <n v="38920"/>
    <n v="1327.239999999998"/>
  </r>
  <r>
    <x v="6"/>
    <x v="4"/>
    <x v="2"/>
    <x v="7"/>
    <n v="162.5"/>
    <n v="1340"/>
    <n v="0"/>
    <n v="0"/>
    <n v="0"/>
    <n v="5"/>
    <n v="8.2461538461538453"/>
    <n v="51.164566628484202"/>
    <n v="13575"/>
    <n v="45500"/>
    <n v="31925"/>
  </r>
  <r>
    <x v="6"/>
    <x v="9"/>
    <x v="2"/>
    <x v="8"/>
    <n v="127.5"/>
    <n v="1392"/>
    <n v="0"/>
    <n v="0"/>
    <n v="0"/>
    <n v="0"/>
    <n v="10.91764705882353"/>
    <n v="15.1205735389963"/>
    <n v="13920"/>
    <n v="24360"/>
    <n v="10440"/>
  </r>
  <r>
    <x v="6"/>
    <x v="6"/>
    <x v="2"/>
    <x v="9"/>
    <n v="172"/>
    <n v="637"/>
    <s v="                    "/>
    <s v="                     "/>
    <s v="                     "/>
    <s v="                    "/>
    <n v="3.7034883720930232"/>
    <n v="31.707317073170699"/>
    <n v="7758.3"/>
    <n v="25800"/>
    <n v="18041.7"/>
  </r>
  <r>
    <x v="6"/>
    <x v="4"/>
    <x v="2"/>
    <x v="10"/>
    <n v="53"/>
    <n v="588"/>
    <n v="0"/>
    <n v="0"/>
    <n v="0"/>
    <n v="0"/>
    <n v="11.09433962264151"/>
    <n v="84.482758620689594"/>
    <n v="24648.92"/>
    <n v="11400"/>
    <n v="-13248.919999999998"/>
  </r>
  <r>
    <x v="6"/>
    <x v="4"/>
    <x v="2"/>
    <x v="11"/>
    <n v="141"/>
    <n v="451"/>
    <n v="0"/>
    <n v="0"/>
    <n v="0"/>
    <n v="0"/>
    <n v="3.1985815602836878"/>
    <n v="25.88"/>
    <n v="4510"/>
    <n v="21150"/>
    <n v="16640"/>
  </r>
  <r>
    <x v="6"/>
    <x v="4"/>
    <x v="2"/>
    <x v="12"/>
    <n v="85"/>
    <n v="467"/>
    <n v="0"/>
    <n v="0"/>
    <n v="0"/>
    <n v="0"/>
    <n v="5.4941176470588236"/>
    <n v="0"/>
    <n v="4670"/>
    <n v="26320"/>
    <n v="21650"/>
  </r>
  <r>
    <x v="6"/>
    <x v="10"/>
    <x v="2"/>
    <x v="13"/>
    <n v="45"/>
    <n v="835"/>
    <n v="0"/>
    <n v="0"/>
    <n v="0"/>
    <n v="0"/>
    <n v="18.555555555555557"/>
    <n v="0"/>
    <n v="10836.8"/>
    <n v="16200"/>
    <n v="5363.2000000000007"/>
  </r>
  <r>
    <x v="6"/>
    <x v="4"/>
    <x v="2"/>
    <x v="14"/>
    <n v="89"/>
    <n v="3728"/>
    <n v="0"/>
    <n v="0"/>
    <n v="0"/>
    <n v="0"/>
    <n v="41.887640449438202"/>
    <n v="47.813261510837499"/>
    <n v="97062.62"/>
    <n v="79660"/>
    <n v="-17402.619999999995"/>
  </r>
  <r>
    <x v="6"/>
    <x v="5"/>
    <x v="2"/>
    <x v="15"/>
    <n v="173"/>
    <n v="985"/>
    <s v="                    "/>
    <s v="                     "/>
    <s v="                     "/>
    <s v="                    "/>
    <n v="5.6936416184971099"/>
    <n v="23.677884615384599"/>
    <n v="11375"/>
    <n v="48440"/>
    <n v="37065"/>
  </r>
  <r>
    <x v="6"/>
    <x v="4"/>
    <x v="2"/>
    <x v="81"/>
    <n v="79"/>
    <n v="491"/>
    <n v="10"/>
    <n v="0"/>
    <n v="0"/>
    <n v="0"/>
    <n v="6.2151898734177218"/>
    <n v="87.522281639928707"/>
    <n v="6110"/>
    <n v="8400"/>
    <n v="2290"/>
  </r>
  <r>
    <x v="6"/>
    <x v="5"/>
    <x v="2"/>
    <x v="88"/>
    <n v="126"/>
    <n v="131"/>
    <s v="                    "/>
    <s v="                     "/>
    <s v="                     "/>
    <s v="                    "/>
    <n v="1.0396825396825398"/>
    <n v="44.557823129251702"/>
    <n v="1310"/>
    <n v="18900"/>
    <n v="17590"/>
  </r>
  <r>
    <x v="6"/>
    <x v="4"/>
    <x v="2"/>
    <x v="89"/>
    <n v="18"/>
    <n v="75"/>
    <n v="0"/>
    <n v="0"/>
    <n v="0"/>
    <n v="0"/>
    <n v="4.166666666666667"/>
    <n v="8.52"/>
    <n v="750"/>
    <m/>
    <n v="-750"/>
  </r>
  <r>
    <x v="6"/>
    <x v="10"/>
    <x v="2"/>
    <x v="90"/>
    <n v="35"/>
    <n v="1211"/>
    <n v="0"/>
    <n v="0"/>
    <n v="0"/>
    <n v="0"/>
    <n v="34.6"/>
    <n v="10.176470588235301"/>
    <n v="21224.2"/>
    <n v="15750"/>
    <n v="-5474.2000000000007"/>
  </r>
  <r>
    <x v="6"/>
    <x v="4"/>
    <x v="2"/>
    <x v="16"/>
    <n v="44.5"/>
    <n v="336"/>
    <n v="0"/>
    <n v="0"/>
    <n v="0"/>
    <n v="9"/>
    <n v="7.5505617977528088"/>
    <n v="3.6841297339970614E-3"/>
    <n v="3675"/>
    <n v="8875"/>
    <n v="5200"/>
  </r>
  <r>
    <x v="6"/>
    <x v="11"/>
    <x v="3"/>
    <x v="17"/>
    <n v="75"/>
    <n v="1190"/>
    <n v="0"/>
    <n v="0"/>
    <n v="0"/>
    <n v="2"/>
    <n v="15.866666666666667"/>
    <n v="20"/>
    <n v="17170"/>
    <n v="25020"/>
    <n v="7850"/>
  </r>
  <r>
    <x v="6"/>
    <x v="5"/>
    <x v="3"/>
    <x v="18"/>
    <n v="21"/>
    <n v="372"/>
    <s v="                    "/>
    <s v="                     "/>
    <n v="15"/>
    <n v="10"/>
    <n v="17.714285714285715"/>
    <n v="41.333333333333336"/>
    <n v="4845"/>
    <n v="32300"/>
    <n v="27455"/>
  </r>
  <r>
    <x v="6"/>
    <x v="10"/>
    <x v="3"/>
    <x v="41"/>
    <n v="187"/>
    <n v="1916"/>
    <n v="35"/>
    <n v="0"/>
    <n v="0"/>
    <n v="0"/>
    <n v="10.245989304812834"/>
    <n v="13.305555555555557"/>
    <n v="19770"/>
    <n v="71060"/>
    <n v="51290"/>
  </r>
  <r>
    <x v="6"/>
    <x v="5"/>
    <x v="3"/>
    <x v="66"/>
    <n v="187"/>
    <n v="1570"/>
    <n v="5"/>
    <s v="                     "/>
    <s v="                     "/>
    <n v="10"/>
    <n v="8.3957219251336905"/>
    <n v="9.5151515151515156"/>
    <n v="16250"/>
    <n v="67320"/>
    <n v="51070"/>
  </r>
  <r>
    <x v="6"/>
    <x v="7"/>
    <x v="4"/>
    <x v="19"/>
    <n v="78"/>
    <n v="3365"/>
    <n v="0"/>
    <n v="0"/>
    <n v="0"/>
    <n v="0"/>
    <n v="43.141025641025642"/>
    <n v="43.701298701298704"/>
    <m/>
    <n v="105300"/>
    <n v="105300"/>
  </r>
  <r>
    <x v="6"/>
    <x v="10"/>
    <x v="4"/>
    <x v="67"/>
    <m/>
    <m/>
    <m/>
    <m/>
    <m/>
    <m/>
    <n v="0"/>
    <m/>
    <n v="52040.5"/>
    <m/>
    <n v="-52040.5"/>
  </r>
  <r>
    <x v="6"/>
    <x v="0"/>
    <x v="2"/>
    <x v="20"/>
    <n v="19"/>
    <n v="280"/>
    <n v="0"/>
    <n v="0"/>
    <n v="0"/>
    <n v="0"/>
    <n v="14.736842105263158"/>
    <n v="0"/>
    <m/>
    <m/>
    <n v="0"/>
  </r>
  <r>
    <x v="6"/>
    <x v="4"/>
    <x v="2"/>
    <x v="20"/>
    <n v="23"/>
    <n v="176"/>
    <n v="0"/>
    <n v="0"/>
    <n v="0"/>
    <n v="0"/>
    <n v="7.6521739130434785"/>
    <n v="0"/>
    <n v="4560"/>
    <n v="14700"/>
    <n v="10140"/>
  </r>
  <r>
    <x v="6"/>
    <x v="9"/>
    <x v="5"/>
    <x v="21"/>
    <n v="0"/>
    <n v="0"/>
    <n v="20"/>
    <n v="0"/>
    <n v="0"/>
    <n v="4"/>
    <n v="0"/>
    <n v="0"/>
    <n v="940"/>
    <m/>
    <n v="-940"/>
  </r>
  <r>
    <x v="6"/>
    <x v="5"/>
    <x v="6"/>
    <x v="22"/>
    <n v="135"/>
    <n v="2612"/>
    <n v="40"/>
    <s v="                     "/>
    <n v="30"/>
    <n v="20"/>
    <n v="19.348148148148148"/>
    <n v="24.876190476190477"/>
    <n v="29777.57"/>
    <n v="155250"/>
    <n v="125472.43"/>
  </r>
  <r>
    <x v="6"/>
    <x v="10"/>
    <x v="0"/>
    <x v="82"/>
    <n v="11"/>
    <n v="396"/>
    <n v="0"/>
    <n v="0"/>
    <n v="0"/>
    <n v="0"/>
    <n v="36"/>
    <n v="0"/>
    <m/>
    <m/>
    <n v="0"/>
  </r>
  <r>
    <x v="6"/>
    <x v="6"/>
    <x v="7"/>
    <x v="42"/>
    <n v="129"/>
    <n v="1137"/>
    <n v="5"/>
    <s v="                     "/>
    <n v="5"/>
    <n v="3"/>
    <n v="8.8139534883720927"/>
    <n v="0"/>
    <n v="11370"/>
    <n v="64500"/>
    <n v="53130"/>
  </r>
  <r>
    <x v="6"/>
    <x v="0"/>
    <x v="7"/>
    <x v="91"/>
    <n v="0"/>
    <n v="0"/>
    <n v="20"/>
    <n v="0"/>
    <n v="78"/>
    <n v="0"/>
    <n v="0"/>
    <n v="0"/>
    <n v="16008.76"/>
    <m/>
    <n v="-16008.76"/>
  </r>
  <r>
    <x v="6"/>
    <x v="4"/>
    <x v="7"/>
    <x v="23"/>
    <n v="182"/>
    <n v="2768"/>
    <n v="40"/>
    <n v="0"/>
    <n v="5"/>
    <n v="0"/>
    <n v="15.208791208791208"/>
    <n v="0"/>
    <n v="29455"/>
    <n v="72800"/>
    <n v="43345"/>
  </r>
  <r>
    <x v="6"/>
    <x v="4"/>
    <x v="7"/>
    <x v="24"/>
    <n v="121"/>
    <n v="2323"/>
    <n v="15"/>
    <n v="0"/>
    <n v="60"/>
    <n v="10"/>
    <n v="19.198347107438018"/>
    <n v="13.350574712643679"/>
    <n v="26280"/>
    <n v="60500"/>
    <n v="34220"/>
  </r>
  <r>
    <x v="6"/>
    <x v="6"/>
    <x v="7"/>
    <x v="45"/>
    <n v="142.5"/>
    <n v="1305"/>
    <s v="                    "/>
    <s v="                     "/>
    <s v="                     "/>
    <n v="4"/>
    <n v="9.1578947368421044"/>
    <n v="12.596525096525097"/>
    <n v="13050"/>
    <n v="71250"/>
    <n v="58200"/>
  </r>
  <r>
    <x v="6"/>
    <x v="0"/>
    <x v="0"/>
    <x v="46"/>
    <n v="0"/>
    <n v="0"/>
    <n v="0"/>
    <n v="0"/>
    <n v="0"/>
    <n v="0"/>
    <n v="0"/>
    <n v="0"/>
    <m/>
    <m/>
    <n v="0"/>
  </r>
  <r>
    <x v="6"/>
    <x v="0"/>
    <x v="0"/>
    <x v="48"/>
    <n v="0"/>
    <n v="500"/>
    <n v="0"/>
    <n v="0"/>
    <n v="0"/>
    <n v="0"/>
    <n v="0"/>
    <n v="0"/>
    <m/>
    <m/>
    <n v="0"/>
  </r>
  <r>
    <x v="6"/>
    <x v="6"/>
    <x v="0"/>
    <x v="49"/>
    <n v="19"/>
    <n v="15"/>
    <s v="                    "/>
    <s v="                     "/>
    <s v="                     "/>
    <s v="                    "/>
    <n v="0.78947368421052633"/>
    <n v="0"/>
    <m/>
    <m/>
    <n v="0"/>
  </r>
  <r>
    <x v="6"/>
    <x v="5"/>
    <x v="0"/>
    <x v="50"/>
    <n v="79"/>
    <n v="101"/>
    <s v="                    "/>
    <s v="                     "/>
    <s v="                     "/>
    <s v="                    "/>
    <n v="1.2784810126582278"/>
    <n v="0"/>
    <m/>
    <m/>
    <n v="0"/>
  </r>
  <r>
    <x v="6"/>
    <x v="5"/>
    <x v="0"/>
    <x v="70"/>
    <n v="45"/>
    <n v="60"/>
    <s v="                    "/>
    <s v="                     "/>
    <s v="                     "/>
    <s v="                    "/>
    <n v="1.3333333333333333"/>
    <n v="0"/>
    <m/>
    <m/>
    <n v="0"/>
  </r>
  <r>
    <x v="6"/>
    <x v="6"/>
    <x v="0"/>
    <x v="71"/>
    <n v="14"/>
    <n v="35"/>
    <s v="                    "/>
    <s v="                     "/>
    <s v="                     "/>
    <s v="                    "/>
    <n v="2.5"/>
    <n v="17.5"/>
    <m/>
    <m/>
    <n v="0"/>
  </r>
  <r>
    <x v="6"/>
    <x v="4"/>
    <x v="0"/>
    <x v="72"/>
    <n v="6"/>
    <n v="0"/>
    <n v="0"/>
    <n v="0"/>
    <n v="0"/>
    <n v="0"/>
    <n v="0"/>
    <n v="0"/>
    <m/>
    <m/>
    <n v="0"/>
  </r>
  <r>
    <x v="6"/>
    <x v="5"/>
    <x v="8"/>
    <x v="25"/>
    <n v="170"/>
    <n v="3201"/>
    <n v="35"/>
    <s v="                     "/>
    <s v="                     "/>
    <n v="30"/>
    <n v="18.829411764705881"/>
    <n v="20.651612903225807"/>
    <n v="34460"/>
    <n v="71400"/>
    <n v="36940"/>
  </r>
  <r>
    <x v="6"/>
    <x v="9"/>
    <x v="8"/>
    <x v="26"/>
    <n v="40.5"/>
    <n v="470"/>
    <n v="33"/>
    <n v="0"/>
    <n v="25"/>
    <n v="4"/>
    <n v="11.604938271604938"/>
    <n v="21.363636363636363"/>
    <n v="7268.33"/>
    <m/>
    <n v="-7268.33"/>
  </r>
  <r>
    <x v="6"/>
    <x v="6"/>
    <x v="8"/>
    <x v="73"/>
    <n v="115"/>
    <n v="2047"/>
    <n v="25"/>
    <s v="                     "/>
    <s v="                     "/>
    <n v="5"/>
    <n v="17.8"/>
    <n v="18.211743772241991"/>
    <n v="20470"/>
    <n v="48300"/>
    <n v="27830"/>
  </r>
  <r>
    <x v="6"/>
    <x v="10"/>
    <x v="8"/>
    <x v="27"/>
    <n v="46"/>
    <n v="1263"/>
    <n v="30"/>
    <n v="0"/>
    <n v="0"/>
    <n v="5"/>
    <n v="27.456521739130434"/>
    <n v="40.741935483870968"/>
    <n v="12025.26"/>
    <n v="19320"/>
    <n v="7294.74"/>
  </r>
  <r>
    <x v="6"/>
    <x v="5"/>
    <x v="8"/>
    <x v="28"/>
    <n v="162"/>
    <n v="4244"/>
    <n v="40"/>
    <s v="                     "/>
    <n v="30"/>
    <n v="35"/>
    <n v="26.197530864197532"/>
    <n v="19.203619909502262"/>
    <n v="48214.98"/>
    <n v="68040"/>
    <n v="19825.019999999997"/>
  </r>
  <r>
    <x v="6"/>
    <x v="5"/>
    <x v="8"/>
    <x v="29"/>
    <n v="177"/>
    <n v="3729"/>
    <n v="65"/>
    <s v="                     "/>
    <n v="15"/>
    <n v="30"/>
    <n v="21.067796610169491"/>
    <n v="25.026845637583893"/>
    <n v="41465"/>
    <n v="74340"/>
    <n v="32875"/>
  </r>
  <r>
    <x v="6"/>
    <x v="5"/>
    <x v="8"/>
    <x v="30"/>
    <n v="143"/>
    <n v="3024"/>
    <n v="10"/>
    <s v="                     "/>
    <n v="120"/>
    <n v="35"/>
    <n v="21.146853146853147"/>
    <n v="21.6"/>
    <n v="36065"/>
    <n v="60060"/>
    <n v="23995"/>
  </r>
  <r>
    <x v="6"/>
    <x v="5"/>
    <x v="8"/>
    <x v="31"/>
    <n v="92"/>
    <n v="3368"/>
    <s v="                    "/>
    <s v="                     "/>
    <n v="45"/>
    <n v="25"/>
    <n v="36.608695652173914"/>
    <n v="35.829787234042556"/>
    <n v="37023.74"/>
    <n v="38640"/>
    <n v="1616.260000000002"/>
  </r>
  <r>
    <x v="6"/>
    <x v="4"/>
    <x v="8"/>
    <x v="32"/>
    <n v="88"/>
    <n v="735"/>
    <n v="0"/>
    <n v="0"/>
    <n v="35"/>
    <n v="11"/>
    <n v="8.3522727272727266"/>
    <n v="10.777126099706745"/>
    <n v="7960"/>
    <n v="19360"/>
    <n v="11400"/>
  </r>
  <r>
    <x v="6"/>
    <x v="6"/>
    <x v="8"/>
    <x v="74"/>
    <n v="132.5"/>
    <n v="2180"/>
    <n v="5"/>
    <s v="                     "/>
    <s v="                     "/>
    <n v="4"/>
    <n v="16.452830188679247"/>
    <n v="21.562809099901088"/>
    <n v="21800"/>
    <n v="55650"/>
    <n v="33850"/>
  </r>
  <r>
    <x v="6"/>
    <x v="10"/>
    <x v="8"/>
    <x v="84"/>
    <n v="120"/>
    <n v="1031"/>
    <n v="25"/>
    <n v="0"/>
    <n v="0"/>
    <n v="10"/>
    <n v="8.5916666666666668"/>
    <n v="11.455555555555556"/>
    <n v="11462.49"/>
    <n v="26400"/>
    <n v="14937.51"/>
  </r>
  <r>
    <x v="6"/>
    <x v="6"/>
    <x v="8"/>
    <x v="75"/>
    <n v="128"/>
    <n v="1132"/>
    <s v="                    "/>
    <s v="                     "/>
    <n v="10"/>
    <n v="4"/>
    <n v="8.84375"/>
    <n v="10.089126559714796"/>
    <n v="11320"/>
    <n v="28160"/>
    <n v="16840"/>
  </r>
  <r>
    <x v="6"/>
    <x v="5"/>
    <x v="8"/>
    <x v="76"/>
    <n v="173"/>
    <n v="3233"/>
    <n v="40"/>
    <s v="                     "/>
    <n v="65"/>
    <n v="45"/>
    <n v="18.687861271676301"/>
    <n v="18.580459770114942"/>
    <n v="38685.83"/>
    <n v="72660"/>
    <n v="33974.17"/>
  </r>
  <r>
    <x v="6"/>
    <x v="5"/>
    <x v="8"/>
    <x v="77"/>
    <n v="144"/>
    <n v="2958"/>
    <n v="30"/>
    <s v="                     "/>
    <n v="5"/>
    <n v="5"/>
    <n v="20.541666666666668"/>
    <n v="0.41626794258373212"/>
    <n v="31963.33"/>
    <n v="60480"/>
    <n v="28516.67"/>
  </r>
  <r>
    <x v="6"/>
    <x v="5"/>
    <x v="8"/>
    <x v="78"/>
    <n v="185"/>
    <n v="2960"/>
    <n v="25"/>
    <s v="                     "/>
    <s v="                     "/>
    <n v="25"/>
    <n v="16"/>
    <n v="0"/>
    <n v="34964.15"/>
    <n v="77700"/>
    <n v="42735.85"/>
  </r>
  <r>
    <x v="6"/>
    <x v="11"/>
    <x v="8"/>
    <x v="79"/>
    <n v="100.5"/>
    <n v="901"/>
    <n v="0"/>
    <n v="0"/>
    <n v="20"/>
    <n v="2"/>
    <n v="8.9651741293532332"/>
    <n v="32.178571428571431"/>
    <n v="9780"/>
    <n v="22110"/>
    <n v="12330"/>
  </r>
  <r>
    <x v="6"/>
    <x v="4"/>
    <x v="9"/>
    <x v="33"/>
    <n v="198"/>
    <n v="415"/>
    <n v="3"/>
    <n v="0"/>
    <n v="0"/>
    <n v="0"/>
    <n v="2.095959595959596"/>
    <n v="2.2719061018470869E-3"/>
    <n v="4270"/>
    <n v="12870"/>
    <n v="8600"/>
  </r>
  <r>
    <x v="6"/>
    <x v="0"/>
    <x v="9"/>
    <x v="34"/>
    <n v="53"/>
    <n v="193.34"/>
    <n v="0"/>
    <n v="0"/>
    <n v="0"/>
    <n v="0"/>
    <n v="3.6479245283018868"/>
    <n v="0"/>
    <n v="3804.1"/>
    <n v="9165"/>
    <n v="5360.9"/>
  </r>
  <r>
    <x v="6"/>
    <x v="6"/>
    <x v="9"/>
    <x v="35"/>
    <n v="184"/>
    <n v="401"/>
    <s v="                    "/>
    <s v="                     "/>
    <s v="                     "/>
    <s v="                    "/>
    <n v="2.1793478260869565"/>
    <n v="0"/>
    <n v="4010"/>
    <m/>
    <n v="-4010"/>
  </r>
  <r>
    <x v="6"/>
    <x v="5"/>
    <x v="9"/>
    <x v="36"/>
    <n v="93"/>
    <n v="138"/>
    <s v="                    "/>
    <s v="                     "/>
    <s v="                     "/>
    <s v="                    "/>
    <n v="1.4838709677419355"/>
    <n v="12.969924812030101"/>
    <n v="5713.32"/>
    <n v="910"/>
    <n v="-4803.32"/>
  </r>
  <r>
    <x v="6"/>
    <x v="0"/>
    <x v="0"/>
    <x v="85"/>
    <n v="0"/>
    <n v="0"/>
    <n v="0"/>
    <n v="0"/>
    <n v="0"/>
    <n v="0"/>
    <n v="0"/>
    <n v="0"/>
    <n v="14083.2"/>
    <m/>
    <n v="-14083.2"/>
  </r>
  <r>
    <x v="6"/>
    <x v="4"/>
    <x v="10"/>
    <x v="38"/>
    <n v="69"/>
    <n v="311"/>
    <n v="3"/>
    <n v="0"/>
    <n v="0"/>
    <n v="7"/>
    <n v="4.5072463768115938"/>
    <n v="0"/>
    <n v="3475"/>
    <n v="12420"/>
    <n v="8945"/>
  </r>
  <r>
    <x v="6"/>
    <x v="0"/>
    <x v="10"/>
    <x v="39"/>
    <n v="44"/>
    <n v="366"/>
    <n v="10"/>
    <n v="0"/>
    <n v="45"/>
    <n v="0"/>
    <n v="8.3181818181818183"/>
    <n v="0"/>
    <n v="7187.55"/>
    <n v="9540"/>
    <n v="2352.4499999999998"/>
  </r>
  <r>
    <x v="6"/>
    <x v="6"/>
    <x v="10"/>
    <x v="43"/>
    <n v="147"/>
    <n v="520"/>
    <n v="5"/>
    <s v="                     "/>
    <n v="15"/>
    <n v="3"/>
    <n v="3.5374149659863945"/>
    <n v="0"/>
    <n v="5200"/>
    <n v="26460"/>
    <n v="21260"/>
  </r>
  <r>
    <x v="6"/>
    <x v="5"/>
    <x v="11"/>
    <x v="40"/>
    <n v="123"/>
    <n v="196"/>
    <s v="                    "/>
    <s v="                     "/>
    <s v="                     "/>
    <s v="                    "/>
    <n v="1.5934959349593496"/>
    <n v="0"/>
    <n v="1960"/>
    <n v="7995"/>
    <n v="6035"/>
  </r>
  <r>
    <x v="6"/>
    <x v="5"/>
    <x v="11"/>
    <x v="44"/>
    <n v="119"/>
    <n v="297"/>
    <n v="5"/>
    <s v="                     "/>
    <s v="                     "/>
    <s v="                    "/>
    <n v="2.4957983193277311"/>
    <n v="0"/>
    <n v="5127.6499999999996"/>
    <n v="7735"/>
    <n v="2607.3500000000004"/>
  </r>
  <r>
    <x v="6"/>
    <x v="5"/>
    <x v="12"/>
    <x v="53"/>
    <n v="10"/>
    <n v="115"/>
    <s v="                    "/>
    <s v="                     "/>
    <s v="                     "/>
    <s v="                    "/>
    <n v="11.5"/>
    <n v="0"/>
    <n v="1150"/>
    <n v="8000"/>
    <n v="6850"/>
  </r>
  <r>
    <x v="6"/>
    <x v="4"/>
    <x v="12"/>
    <x v="54"/>
    <n v="6"/>
    <n v="255"/>
    <n v="0"/>
    <n v="0"/>
    <n v="0"/>
    <n v="0"/>
    <n v="42.5"/>
    <n v="0"/>
    <n v="2550"/>
    <n v="10400"/>
    <n v="7850"/>
  </r>
  <r>
    <x v="6"/>
    <x v="4"/>
    <x v="12"/>
    <x v="80"/>
    <n v="2"/>
    <n v="83.06"/>
    <n v="0"/>
    <n v="0"/>
    <n v="0"/>
    <n v="0"/>
    <n v="41.53"/>
    <n v="0"/>
    <n v="1061"/>
    <n v="8000"/>
    <n v="6939"/>
  </r>
  <r>
    <x v="6"/>
    <x v="4"/>
    <x v="12"/>
    <x v="55"/>
    <n v="171"/>
    <n v="92"/>
    <n v="0"/>
    <n v="0"/>
    <n v="0"/>
    <n v="0"/>
    <n v="0.53801169590643272"/>
    <n v="0"/>
    <n v="690"/>
    <n v="7800"/>
    <n v="7110"/>
  </r>
  <r>
    <x v="6"/>
    <x v="12"/>
    <x v="12"/>
    <x v="92"/>
    <m/>
    <m/>
    <m/>
    <m/>
    <m/>
    <m/>
    <n v="0"/>
    <m/>
    <m/>
    <n v="6000"/>
    <n v="6000"/>
  </r>
  <r>
    <x v="6"/>
    <x v="0"/>
    <x v="12"/>
    <x v="56"/>
    <n v="104"/>
    <n v="155"/>
    <n v="0"/>
    <n v="0"/>
    <n v="0"/>
    <n v="0"/>
    <n v="1.4903846153846154"/>
    <n v="7.1460176991150002"/>
    <n v="2479.4"/>
    <n v="3432"/>
    <n v="952.59999999999991"/>
  </r>
  <r>
    <x v="6"/>
    <x v="5"/>
    <x v="12"/>
    <x v="57"/>
    <n v="35"/>
    <n v="185"/>
    <s v="                    "/>
    <s v="                     "/>
    <s v="                     "/>
    <s v="                    "/>
    <n v="5.2857142857142856"/>
    <n v="5.4749926013613504"/>
    <n v="1850"/>
    <n v="6600"/>
    <n v="4750"/>
  </r>
  <r>
    <x v="6"/>
    <x v="4"/>
    <x v="12"/>
    <x v="58"/>
    <n v="155"/>
    <n v="328"/>
    <n v="0"/>
    <n v="0"/>
    <n v="0"/>
    <n v="0"/>
    <n v="2.1161290322580646"/>
    <n v="0"/>
    <n v="3280"/>
    <n v="6600"/>
    <n v="3320"/>
  </r>
  <r>
    <x v="6"/>
    <x v="5"/>
    <x v="12"/>
    <x v="59"/>
    <n v="9"/>
    <n v="56"/>
    <s v="                    "/>
    <s v="                     "/>
    <s v="                     "/>
    <s v="                    "/>
    <n v="6.2222222222222223"/>
    <n v="0"/>
    <n v="2578.2600000000002"/>
    <n v="6000"/>
    <n v="3421.74"/>
  </r>
  <r>
    <x v="6"/>
    <x v="10"/>
    <x v="12"/>
    <x v="60"/>
    <n v="79"/>
    <n v="222"/>
    <n v="0"/>
    <n v="0"/>
    <n v="0"/>
    <n v="0"/>
    <n v="2.8101265822784809"/>
    <n v="0"/>
    <n v="1510"/>
    <n v="2532.3000000000002"/>
    <n v="1022.3000000000002"/>
  </r>
  <r>
    <x v="6"/>
    <x v="4"/>
    <x v="12"/>
    <x v="61"/>
    <n v="150"/>
    <n v="169.89"/>
    <n v="0"/>
    <n v="0"/>
    <n v="0"/>
    <n v="0"/>
    <n v="1.1325999999999998"/>
    <n v="8.9746434231378807"/>
    <n v="1699"/>
    <n v="7800"/>
    <n v="6101"/>
  </r>
  <r>
    <x v="6"/>
    <x v="5"/>
    <x v="12"/>
    <x v="62"/>
    <n v="177"/>
    <n v="221"/>
    <s v="                    "/>
    <s v="                     "/>
    <s v="                     "/>
    <s v="                    "/>
    <n v="1.2485875706214689"/>
    <n v="5.8589607635206802"/>
    <n v="2210"/>
    <n v="13530"/>
    <n v="11320"/>
  </r>
  <r>
    <x v="6"/>
    <x v="0"/>
    <x v="12"/>
    <x v="63"/>
    <n v="112"/>
    <n v="140"/>
    <n v="0"/>
    <n v="0"/>
    <n v="0"/>
    <n v="0"/>
    <n v="1.25"/>
    <n v="6.7210753720595298"/>
    <n v="1882.7"/>
    <n v="6600"/>
    <n v="4717.3"/>
  </r>
  <r>
    <x v="6"/>
    <x v="5"/>
    <x v="12"/>
    <x v="64"/>
    <n v="79"/>
    <n v="59"/>
    <m/>
    <m/>
    <m/>
    <m/>
    <n v="0.74683544303797467"/>
    <n v="0"/>
    <n v="590"/>
    <n v="2623.8"/>
    <n v="2033.8000000000002"/>
  </r>
  <r>
    <x v="6"/>
    <x v="6"/>
    <x v="12"/>
    <x v="65"/>
    <n v="157"/>
    <n v="276"/>
    <s v="                    "/>
    <s v="                     "/>
    <s v="                     "/>
    <s v="                    "/>
    <n v="1.7579617834394905"/>
    <n v="5.1035502958579899"/>
    <n v="2760"/>
    <n v="7800"/>
    <n v="5040"/>
  </r>
  <r>
    <x v="6"/>
    <x v="0"/>
    <x v="12"/>
    <x v="86"/>
    <n v="0"/>
    <n v="42"/>
    <n v="0"/>
    <n v="0"/>
    <n v="0"/>
    <n v="0"/>
    <n v="0"/>
    <n v="0"/>
    <n v="46838.8"/>
    <n v="6600"/>
    <n v="-40238.800000000003"/>
  </r>
  <r>
    <x v="7"/>
    <x v="11"/>
    <x v="1"/>
    <x v="2"/>
    <n v="4"/>
    <n v="0"/>
    <n v="0"/>
    <n v="0"/>
    <n v="0"/>
    <n v="0"/>
    <n v="0"/>
    <m/>
    <n v="11420"/>
    <n v="18600"/>
    <n v="7180"/>
  </r>
  <r>
    <x v="7"/>
    <x v="4"/>
    <x v="1"/>
    <x v="3"/>
    <n v="80"/>
    <n v="287"/>
    <n v="1"/>
    <n v="0"/>
    <n v="1"/>
    <n v="0"/>
    <n v="3.5874999999999999"/>
    <m/>
    <n v="2910"/>
    <n v="24000"/>
    <n v="21090"/>
  </r>
  <r>
    <x v="7"/>
    <x v="6"/>
    <x v="1"/>
    <x v="4"/>
    <n v="69"/>
    <n v="758"/>
    <n v="0"/>
    <n v="0"/>
    <n v="0"/>
    <n v="0"/>
    <n v="10.985507246376812"/>
    <m/>
    <n v="8105"/>
    <n v="15200"/>
    <n v="7095"/>
  </r>
  <r>
    <x v="7"/>
    <x v="5"/>
    <x v="1"/>
    <x v="87"/>
    <n v="1"/>
    <n v="10"/>
    <n v="0"/>
    <n v="0"/>
    <n v="0"/>
    <n v="0"/>
    <n v="10"/>
    <m/>
    <n v="100"/>
    <m/>
    <n v="-100"/>
  </r>
  <r>
    <x v="7"/>
    <x v="4"/>
    <x v="1"/>
    <x v="95"/>
    <n v="57"/>
    <n v="446"/>
    <n v="4"/>
    <n v="0"/>
    <n v="4"/>
    <n v="0"/>
    <n v="7.8245614035087723"/>
    <m/>
    <n v="8000.1"/>
    <n v="12800"/>
    <n v="4799.8999999999996"/>
  </r>
  <r>
    <x v="7"/>
    <x v="9"/>
    <x v="2"/>
    <x v="5"/>
    <n v="252.5"/>
    <n v="1176"/>
    <n v="0"/>
    <n v="0"/>
    <n v="0"/>
    <n v="0"/>
    <n v="4.6574257425742571"/>
    <m/>
    <n v="10920"/>
    <n v="70700"/>
    <n v="59780"/>
  </r>
  <r>
    <x v="7"/>
    <x v="5"/>
    <x v="2"/>
    <x v="6"/>
    <n v="207"/>
    <n v="1392"/>
    <n v="0"/>
    <n v="0"/>
    <n v="0"/>
    <n v="0"/>
    <n v="6.72463768115942"/>
    <m/>
    <n v="13920"/>
    <n v="60480"/>
    <n v="46560"/>
  </r>
  <r>
    <x v="7"/>
    <x v="4"/>
    <x v="2"/>
    <x v="7"/>
    <n v="144"/>
    <n v="1722"/>
    <n v="0"/>
    <n v="0"/>
    <n v="0"/>
    <n v="0"/>
    <n v="11.958333333333334"/>
    <m/>
    <n v="18720"/>
    <n v="64260"/>
    <n v="45540"/>
  </r>
  <r>
    <x v="7"/>
    <x v="9"/>
    <x v="2"/>
    <x v="8"/>
    <n v="306"/>
    <n v="1266"/>
    <n v="0"/>
    <n v="0"/>
    <n v="0"/>
    <n v="0"/>
    <n v="4.1372549019607847"/>
    <m/>
    <n v="12660"/>
    <n v="85680"/>
    <n v="73020"/>
  </r>
  <r>
    <x v="7"/>
    <x v="6"/>
    <x v="2"/>
    <x v="9"/>
    <n v="231.5"/>
    <n v="907"/>
    <n v="0"/>
    <n v="0"/>
    <n v="0"/>
    <n v="0"/>
    <n v="3.9179265658747302"/>
    <n v="57.48"/>
    <n v="9070"/>
    <n v="34725"/>
    <n v="25655"/>
  </r>
  <r>
    <x v="7"/>
    <x v="4"/>
    <x v="2"/>
    <x v="10"/>
    <n v="94"/>
    <n v="736.3"/>
    <n v="0"/>
    <n v="0"/>
    <n v="0"/>
    <n v="0"/>
    <n v="7.8329787234042545"/>
    <m/>
    <n v="6163"/>
    <n v="14850"/>
    <n v="8687"/>
  </r>
  <r>
    <x v="7"/>
    <x v="4"/>
    <x v="2"/>
    <x v="11"/>
    <n v="25"/>
    <n v="95"/>
    <n v="0"/>
    <n v="0"/>
    <n v="0"/>
    <n v="0"/>
    <n v="3.8"/>
    <m/>
    <n v="5890"/>
    <n v="20850"/>
    <n v="14960"/>
  </r>
  <r>
    <x v="7"/>
    <x v="6"/>
    <x v="2"/>
    <x v="12"/>
    <n v="197"/>
    <n v="1588"/>
    <n v="0"/>
    <n v="0"/>
    <n v="0"/>
    <n v="0"/>
    <n v="8.0609137055837561"/>
    <n v="87.83"/>
    <n v="15880"/>
    <n v="55160"/>
    <n v="39280"/>
  </r>
  <r>
    <x v="7"/>
    <x v="6"/>
    <x v="2"/>
    <x v="13"/>
    <n v="227"/>
    <n v="3413"/>
    <n v="0"/>
    <n v="0"/>
    <n v="0"/>
    <n v="0"/>
    <n v="15.035242290748899"/>
    <m/>
    <n v="48420.32"/>
    <n v="68100"/>
    <n v="19679.68"/>
  </r>
  <r>
    <x v="7"/>
    <x v="4"/>
    <x v="2"/>
    <x v="14"/>
    <n v="44"/>
    <n v="4368"/>
    <n v="0"/>
    <n v="0"/>
    <n v="0"/>
    <n v="0"/>
    <n v="99.272727272727266"/>
    <m/>
    <n v="46242"/>
    <n v="57538"/>
    <n v="11296"/>
  </r>
  <r>
    <x v="7"/>
    <x v="5"/>
    <x v="2"/>
    <x v="15"/>
    <n v="202"/>
    <n v="1001"/>
    <n v="0"/>
    <n v="0"/>
    <n v="0"/>
    <n v="0"/>
    <n v="4.9554455445544559"/>
    <m/>
    <n v="10010"/>
    <n v="57400"/>
    <n v="47390"/>
  </r>
  <r>
    <x v="7"/>
    <x v="4"/>
    <x v="2"/>
    <x v="81"/>
    <n v="134"/>
    <n v="3222.1"/>
    <n v="0"/>
    <n v="0"/>
    <n v="0"/>
    <n v="0"/>
    <n v="24.045522388059702"/>
    <m/>
    <n v="8487.1"/>
    <n v="24825"/>
    <n v="16337.9"/>
  </r>
  <r>
    <x v="7"/>
    <x v="5"/>
    <x v="2"/>
    <x v="88"/>
    <n v="171"/>
    <n v="264"/>
    <n v="0"/>
    <n v="0"/>
    <n v="0"/>
    <n v="0"/>
    <n v="1.5438596491228069"/>
    <m/>
    <n v="4585.3599999999997"/>
    <n v="25650"/>
    <n v="21064.639999999999"/>
  </r>
  <r>
    <x v="7"/>
    <x v="4"/>
    <x v="2"/>
    <x v="89"/>
    <n v="36"/>
    <n v="74"/>
    <n v="0"/>
    <n v="0"/>
    <n v="0"/>
    <n v="0"/>
    <n v="2.0555555555555554"/>
    <m/>
    <n v="3200"/>
    <n v="13860"/>
    <n v="10660"/>
  </r>
  <r>
    <x v="7"/>
    <x v="9"/>
    <x v="2"/>
    <x v="90"/>
    <n v="113"/>
    <n v="2486"/>
    <n v="0"/>
    <n v="0"/>
    <n v="0"/>
    <n v="0"/>
    <n v="22"/>
    <m/>
    <n v="18580"/>
    <n v="37800"/>
    <n v="19220"/>
  </r>
  <r>
    <x v="7"/>
    <x v="6"/>
    <x v="2"/>
    <x v="16"/>
    <n v="27"/>
    <n v="280"/>
    <n v="0"/>
    <n v="0"/>
    <n v="0"/>
    <n v="0"/>
    <n v="10.37037037037037"/>
    <m/>
    <n v="2800"/>
    <n v="4500"/>
    <n v="1700"/>
  </r>
  <r>
    <x v="7"/>
    <x v="4"/>
    <x v="2"/>
    <x v="96"/>
    <n v="122"/>
    <n v="917"/>
    <n v="0"/>
    <n v="0"/>
    <n v="0"/>
    <n v="0"/>
    <n v="7.5163934426229506"/>
    <m/>
    <n v="9205"/>
    <n v="30500"/>
    <n v="21295"/>
  </r>
  <r>
    <x v="7"/>
    <x v="9"/>
    <x v="3"/>
    <x v="17"/>
    <n v="162"/>
    <n v="2361"/>
    <n v="9"/>
    <n v="0"/>
    <n v="9"/>
    <n v="0"/>
    <n v="14.574074074074074"/>
    <m/>
    <n v="24495"/>
    <n v="58320"/>
    <n v="33825"/>
  </r>
  <r>
    <x v="7"/>
    <x v="5"/>
    <x v="3"/>
    <x v="18"/>
    <n v="38"/>
    <n v="403"/>
    <n v="50"/>
    <n v="0"/>
    <n v="50"/>
    <n v="0"/>
    <n v="10.605263157894736"/>
    <m/>
    <n v="11580.96"/>
    <n v="9880"/>
    <n v="-1700.9599999999991"/>
  </r>
  <r>
    <x v="7"/>
    <x v="5"/>
    <x v="3"/>
    <x v="41"/>
    <n v="256"/>
    <n v="1874"/>
    <n v="10"/>
    <n v="0"/>
    <n v="10"/>
    <n v="0"/>
    <n v="7.3203125"/>
    <m/>
    <n v="19840"/>
    <n v="99180"/>
    <n v="79340"/>
  </r>
  <r>
    <x v="7"/>
    <x v="5"/>
    <x v="3"/>
    <x v="66"/>
    <n v="239"/>
    <n v="2072"/>
    <n v="30"/>
    <n v="0"/>
    <n v="30"/>
    <n v="0"/>
    <n v="8.6694560669456067"/>
    <m/>
    <n v="23261.66"/>
    <n v="86040"/>
    <n v="62778.34"/>
  </r>
  <r>
    <x v="7"/>
    <x v="4"/>
    <x v="4"/>
    <x v="19"/>
    <n v="81"/>
    <n v="3190"/>
    <n v="0"/>
    <n v="0"/>
    <n v="0"/>
    <n v="0"/>
    <n v="39.382716049382715"/>
    <m/>
    <n v="66728.039999999994"/>
    <n v="109350"/>
    <n v="42621.960000000006"/>
  </r>
  <r>
    <x v="7"/>
    <x v="4"/>
    <x v="2"/>
    <x v="20"/>
    <n v="129"/>
    <n v="918.2"/>
    <n v="0"/>
    <n v="5"/>
    <n v="0"/>
    <n v="0"/>
    <n v="7.1178294573643415"/>
    <m/>
    <n v="9631.98"/>
    <n v="73850"/>
    <n v="64218.020000000004"/>
  </r>
  <r>
    <x v="7"/>
    <x v="9"/>
    <x v="5"/>
    <x v="21"/>
    <n v="82"/>
    <n v="208"/>
    <n v="5"/>
    <n v="0"/>
    <n v="5"/>
    <n v="0"/>
    <n v="2.5365853658536586"/>
    <m/>
    <n v="3803.07"/>
    <m/>
    <n v="-3803.07"/>
  </r>
  <r>
    <x v="7"/>
    <x v="5"/>
    <x v="6"/>
    <x v="22"/>
    <n v="220"/>
    <n v="4212"/>
    <n v="95"/>
    <n v="0"/>
    <n v="95"/>
    <n v="0"/>
    <n v="19.145454545454545"/>
    <m/>
    <n v="49397.8"/>
    <n v="253000"/>
    <n v="203602.2"/>
  </r>
  <r>
    <x v="7"/>
    <x v="5"/>
    <x v="0"/>
    <x v="82"/>
    <n v="196"/>
    <n v="1298"/>
    <n v="5"/>
    <n v="0"/>
    <n v="5"/>
    <n v="0"/>
    <n v="6.6224489795918364"/>
    <m/>
    <n v="6690"/>
    <n v="25480"/>
    <n v="18790"/>
  </r>
  <r>
    <x v="7"/>
    <x v="6"/>
    <x v="7"/>
    <x v="42"/>
    <n v="170.5"/>
    <n v="1485"/>
    <n v="10"/>
    <n v="0"/>
    <n v="10"/>
    <n v="0"/>
    <n v="8.7096774193548381"/>
    <m/>
    <n v="16591.66"/>
    <n v="85250"/>
    <n v="68658.34"/>
  </r>
  <r>
    <x v="7"/>
    <x v="5"/>
    <x v="7"/>
    <x v="91"/>
    <n v="41"/>
    <n v="591"/>
    <n v="0"/>
    <n v="0"/>
    <n v="0"/>
    <n v="0"/>
    <n v="14.414634146341463"/>
    <m/>
    <n v="9465.2000000000007"/>
    <n v="15600"/>
    <n v="6134.7999999999993"/>
  </r>
  <r>
    <x v="7"/>
    <x v="11"/>
    <x v="7"/>
    <x v="23"/>
    <n v="46"/>
    <n v="450"/>
    <n v="0"/>
    <n v="0"/>
    <n v="0"/>
    <n v="0"/>
    <n v="9.7826086956521738"/>
    <m/>
    <n v="21677.599999999999"/>
    <n v="18400"/>
    <n v="-3277.5999999999985"/>
  </r>
  <r>
    <x v="7"/>
    <x v="4"/>
    <x v="7"/>
    <x v="24"/>
    <n v="138.5"/>
    <n v="1779.5"/>
    <n v="9"/>
    <n v="0"/>
    <n v="9"/>
    <n v="0"/>
    <n v="12.848375451263538"/>
    <m/>
    <n v="41850.5"/>
    <n v="70750"/>
    <n v="28899.5"/>
  </r>
  <r>
    <x v="7"/>
    <x v="6"/>
    <x v="7"/>
    <x v="45"/>
    <n v="65"/>
    <n v="849"/>
    <n v="0"/>
    <n v="0"/>
    <n v="0"/>
    <n v="0"/>
    <n v="13.061538461538461"/>
    <m/>
    <n v="21140"/>
    <n v="102000"/>
    <n v="80860"/>
  </r>
  <r>
    <x v="7"/>
    <x v="5"/>
    <x v="8"/>
    <x v="25"/>
    <n v="172"/>
    <n v="2900"/>
    <n v="25"/>
    <n v="0"/>
    <n v="25"/>
    <n v="0"/>
    <n v="16.86046511627907"/>
    <m/>
    <n v="37145.5"/>
    <n v="72240"/>
    <n v="35094.5"/>
  </r>
  <r>
    <x v="7"/>
    <x v="9"/>
    <x v="8"/>
    <x v="26"/>
    <n v="180.5"/>
    <n v="2077"/>
    <n v="14"/>
    <n v="0"/>
    <n v="14"/>
    <n v="0"/>
    <n v="11.506925207756233"/>
    <m/>
    <n v="23295"/>
    <n v="75810"/>
    <n v="52515"/>
  </r>
  <r>
    <x v="7"/>
    <x v="6"/>
    <x v="8"/>
    <x v="73"/>
    <n v="163"/>
    <n v="2958"/>
    <n v="0"/>
    <n v="0"/>
    <n v="0"/>
    <n v="0"/>
    <n v="18.14723926380368"/>
    <m/>
    <n v="30980"/>
    <n v="68460"/>
    <n v="37480"/>
  </r>
  <r>
    <x v="7"/>
    <x v="5"/>
    <x v="8"/>
    <x v="27"/>
    <n v="157"/>
    <n v="4599"/>
    <n v="10"/>
    <n v="0"/>
    <n v="10"/>
    <n v="0"/>
    <n v="29.29299363057325"/>
    <m/>
    <n v="48500.62"/>
    <n v="65940"/>
    <n v="17439.379999999997"/>
  </r>
  <r>
    <x v="7"/>
    <x v="5"/>
    <x v="8"/>
    <x v="28"/>
    <n v="229"/>
    <n v="5003"/>
    <n v="25"/>
    <n v="0"/>
    <n v="25"/>
    <n v="15"/>
    <n v="21.847161572052403"/>
    <m/>
    <n v="55155"/>
    <n v="96180"/>
    <n v="41025"/>
  </r>
  <r>
    <x v="7"/>
    <x v="5"/>
    <x v="8"/>
    <x v="29"/>
    <n v="249"/>
    <n v="5435"/>
    <n v="55"/>
    <n v="0"/>
    <n v="55"/>
    <n v="10"/>
    <n v="21.827309236947791"/>
    <m/>
    <n v="59000"/>
    <n v="104580"/>
    <n v="45580"/>
  </r>
  <r>
    <x v="7"/>
    <x v="5"/>
    <x v="8"/>
    <x v="30"/>
    <n v="237"/>
    <n v="4789"/>
    <n v="35"/>
    <n v="0"/>
    <n v="35"/>
    <n v="0"/>
    <n v="20.206751054852322"/>
    <m/>
    <n v="55257.73"/>
    <n v="99540"/>
    <n v="44282.27"/>
  </r>
  <r>
    <x v="7"/>
    <x v="5"/>
    <x v="8"/>
    <x v="31"/>
    <n v="177"/>
    <n v="5185"/>
    <n v="40"/>
    <n v="0"/>
    <n v="40"/>
    <n v="0"/>
    <n v="29.293785310734464"/>
    <m/>
    <n v="57441.62"/>
    <n v="74340"/>
    <n v="16898.379999999997"/>
  </r>
  <r>
    <x v="7"/>
    <x v="11"/>
    <x v="8"/>
    <x v="32"/>
    <n v="0"/>
    <n v="0"/>
    <n v="0"/>
    <n v="0"/>
    <n v="0"/>
    <n v="30"/>
    <n v="0"/>
    <m/>
    <n v="18250"/>
    <n v="42460"/>
    <n v="24210"/>
  </r>
  <r>
    <x v="7"/>
    <x v="9"/>
    <x v="8"/>
    <x v="74"/>
    <n v="218"/>
    <n v="3522"/>
    <n v="9"/>
    <n v="0"/>
    <n v="9"/>
    <n v="0"/>
    <n v="16.155963302752294"/>
    <m/>
    <n v="34380"/>
    <n v="91560"/>
    <n v="57180"/>
  </r>
  <r>
    <x v="7"/>
    <x v="5"/>
    <x v="8"/>
    <x v="84"/>
    <n v="99"/>
    <n v="1375"/>
    <n v="5"/>
    <n v="0"/>
    <n v="5"/>
    <n v="0"/>
    <n v="13.888888888888889"/>
    <m/>
    <n v="8860"/>
    <n v="21780"/>
    <n v="12920"/>
  </r>
  <r>
    <x v="7"/>
    <x v="6"/>
    <x v="8"/>
    <x v="75"/>
    <n v="161"/>
    <n v="1534"/>
    <n v="15"/>
    <n v="0"/>
    <n v="15"/>
    <n v="0"/>
    <n v="9.5279503105590067"/>
    <m/>
    <n v="18715"/>
    <n v="41250"/>
    <n v="22535"/>
  </r>
  <r>
    <x v="7"/>
    <x v="5"/>
    <x v="8"/>
    <x v="76"/>
    <n v="148"/>
    <n v="2794"/>
    <n v="25"/>
    <n v="0"/>
    <n v="25"/>
    <n v="0"/>
    <n v="18.878378378378379"/>
    <m/>
    <n v="33187.919999999998"/>
    <n v="62160"/>
    <n v="28972.080000000002"/>
  </r>
  <r>
    <x v="7"/>
    <x v="5"/>
    <x v="8"/>
    <x v="77"/>
    <n v="178"/>
    <n v="3077"/>
    <n v="5"/>
    <n v="0"/>
    <n v="5"/>
    <n v="0"/>
    <n v="17.286516853932586"/>
    <m/>
    <n v="32716.73"/>
    <n v="74760"/>
    <n v="42043.270000000004"/>
  </r>
  <r>
    <x v="7"/>
    <x v="5"/>
    <x v="8"/>
    <x v="78"/>
    <n v="244"/>
    <n v="3763"/>
    <n v="10"/>
    <n v="0"/>
    <n v="10"/>
    <n v="0"/>
    <n v="15.422131147540984"/>
    <m/>
    <n v="40913.64"/>
    <n v="102480"/>
    <n v="61566.36"/>
  </r>
  <r>
    <x v="7"/>
    <x v="4"/>
    <x v="8"/>
    <x v="79"/>
    <n v="72"/>
    <n v="542"/>
    <n v="0"/>
    <n v="0"/>
    <n v="0"/>
    <n v="0"/>
    <n v="7.5277777777777777"/>
    <m/>
    <n v="5525"/>
    <n v="15840"/>
    <n v="10315"/>
  </r>
  <r>
    <x v="7"/>
    <x v="4"/>
    <x v="9"/>
    <x v="33"/>
    <n v="284"/>
    <n v="494"/>
    <n v="8"/>
    <n v="0"/>
    <n v="8"/>
    <n v="0"/>
    <n v="1.7394366197183098"/>
    <m/>
    <n v="5100"/>
    <n v="18460"/>
    <n v="13360"/>
  </r>
  <r>
    <x v="7"/>
    <x v="3"/>
    <x v="9"/>
    <x v="34"/>
    <n v="243"/>
    <n v="205.7"/>
    <n v="0"/>
    <m/>
    <n v="0"/>
    <n v="0"/>
    <n v="0.84650205761316866"/>
    <m/>
    <n v="2057"/>
    <n v="15795"/>
    <n v="13738"/>
  </r>
  <r>
    <x v="7"/>
    <x v="6"/>
    <x v="9"/>
    <x v="35"/>
    <n v="252"/>
    <n v="446"/>
    <n v="0"/>
    <n v="0"/>
    <n v="0"/>
    <n v="0"/>
    <n v="1.7698412698412698"/>
    <m/>
    <n v="4460"/>
    <n v="16380"/>
    <n v="11920"/>
  </r>
  <r>
    <x v="7"/>
    <x v="5"/>
    <x v="9"/>
    <x v="36"/>
    <n v="170"/>
    <n v="362"/>
    <n v="0"/>
    <n v="0"/>
    <n v="0"/>
    <n v="9"/>
    <n v="2.1294117647058823"/>
    <m/>
    <n v="3620"/>
    <n v="12220"/>
    <n v="8600"/>
  </r>
  <r>
    <x v="7"/>
    <x v="4"/>
    <x v="10"/>
    <x v="38"/>
    <n v="114"/>
    <n v="471"/>
    <n v="13"/>
    <n v="5"/>
    <n v="13"/>
    <n v="0"/>
    <n v="4.1315789473684212"/>
    <m/>
    <n v="8401.61"/>
    <n v="20520"/>
    <n v="12118.39"/>
  </r>
  <r>
    <x v="7"/>
    <x v="4"/>
    <x v="10"/>
    <x v="39"/>
    <n v="208"/>
    <n v="522.24"/>
    <n v="0"/>
    <m/>
    <n v="0"/>
    <n v="90"/>
    <n v="2.5107692307692306"/>
    <m/>
    <n v="2994.06"/>
    <n v="37440"/>
    <n v="34445.94"/>
  </r>
  <r>
    <x v="7"/>
    <x v="6"/>
    <x v="10"/>
    <x v="43"/>
    <n v="64"/>
    <n v="328"/>
    <n v="10"/>
    <m/>
    <n v="10"/>
    <n v="30"/>
    <n v="5.125"/>
    <m/>
    <n v="7130"/>
    <n v="33120"/>
    <n v="25990"/>
  </r>
  <r>
    <x v="7"/>
    <x v="5"/>
    <x v="11"/>
    <x v="40"/>
    <n v="168"/>
    <n v="327"/>
    <n v="0"/>
    <m/>
    <n v="0"/>
    <n v="0"/>
    <n v="1.9464285714285714"/>
    <m/>
    <n v="3270"/>
    <n v="10920"/>
    <n v="7650"/>
  </r>
  <r>
    <x v="7"/>
    <x v="5"/>
    <x v="11"/>
    <x v="44"/>
    <n v="174"/>
    <n v="365"/>
    <n v="2"/>
    <m/>
    <n v="2"/>
    <n v="5"/>
    <n v="2.0977011494252875"/>
    <m/>
    <n v="3755"/>
    <n v="11310"/>
    <n v="7555"/>
  </r>
  <r>
    <x v="7"/>
    <x v="5"/>
    <x v="12"/>
    <x v="53"/>
    <n v="17"/>
    <n v="196"/>
    <m/>
    <m/>
    <m/>
    <n v="45"/>
    <n v="11.529411764705882"/>
    <m/>
    <n v="1360"/>
    <n v="12400"/>
    <n v="11040"/>
  </r>
  <r>
    <x v="7"/>
    <x v="6"/>
    <x v="12"/>
    <x v="54"/>
    <n v="1"/>
    <n v="107"/>
    <m/>
    <m/>
    <m/>
    <n v="3"/>
    <n v="107"/>
    <m/>
    <n v="1070"/>
    <m/>
    <n v="-1070"/>
  </r>
  <r>
    <x v="7"/>
    <x v="6"/>
    <x v="12"/>
    <x v="80"/>
    <n v="0"/>
    <n v="0"/>
    <m/>
    <m/>
    <m/>
    <m/>
    <n v="0"/>
    <m/>
    <n v="810"/>
    <n v="12400"/>
    <n v="11590"/>
  </r>
  <r>
    <x v="7"/>
    <x v="4"/>
    <x v="12"/>
    <x v="55"/>
    <n v="171"/>
    <n v="105"/>
    <m/>
    <m/>
    <m/>
    <m/>
    <n v="0.61403508771929827"/>
    <m/>
    <n v="1050"/>
    <n v="7800"/>
    <n v="6750"/>
  </r>
  <r>
    <x v="7"/>
    <x v="6"/>
    <x v="12"/>
    <x v="56"/>
    <n v="144"/>
    <n v="267.94"/>
    <m/>
    <m/>
    <m/>
    <m/>
    <n v="1.8606944444444444"/>
    <m/>
    <n v="2679.4"/>
    <n v="5400"/>
    <n v="2720.6"/>
  </r>
  <r>
    <x v="7"/>
    <x v="5"/>
    <x v="12"/>
    <x v="57"/>
    <n v="0"/>
    <n v="309"/>
    <m/>
    <m/>
    <m/>
    <m/>
    <n v="0"/>
    <n v="5.0999999999999996"/>
    <n v="3090"/>
    <n v="9300"/>
    <n v="6210"/>
  </r>
  <r>
    <x v="7"/>
    <x v="4"/>
    <x v="12"/>
    <x v="58"/>
    <n v="260"/>
    <n v="428"/>
    <m/>
    <m/>
    <m/>
    <m/>
    <n v="1.6461538461538461"/>
    <n v="6.81"/>
    <n v="4280"/>
    <n v="9300"/>
    <n v="5020"/>
  </r>
  <r>
    <x v="7"/>
    <x v="5"/>
    <x v="12"/>
    <x v="59"/>
    <n v="26"/>
    <n v="267.12"/>
    <m/>
    <m/>
    <m/>
    <m/>
    <n v="10.273846153846154"/>
    <m/>
    <n v="2942.25"/>
    <n v="7800"/>
    <n v="4857.75"/>
  </r>
  <r>
    <x v="7"/>
    <x v="5"/>
    <x v="12"/>
    <x v="60"/>
    <n v="142"/>
    <n v="394"/>
    <m/>
    <m/>
    <m/>
    <m/>
    <n v="2.7746478873239435"/>
    <m/>
    <n v="1970"/>
    <n v="4686"/>
    <n v="2716"/>
  </r>
  <r>
    <x v="7"/>
    <x v="4"/>
    <x v="12"/>
    <x v="61"/>
    <n v="117"/>
    <n v="50.620000000000005"/>
    <m/>
    <m/>
    <m/>
    <m/>
    <n v="0.43264957264957271"/>
    <m/>
    <n v="506"/>
    <n v="4500"/>
    <n v="3994"/>
  </r>
  <r>
    <x v="7"/>
    <x v="5"/>
    <x v="12"/>
    <x v="62"/>
    <n v="236"/>
    <n v="347"/>
    <m/>
    <m/>
    <m/>
    <m/>
    <n v="1.4703389830508475"/>
    <n v="6.75"/>
    <n v="3110"/>
    <n v="7836"/>
    <n v="4726"/>
  </r>
  <r>
    <x v="7"/>
    <x v="5"/>
    <x v="12"/>
    <x v="63"/>
    <n v="104"/>
    <n v="237"/>
    <m/>
    <m/>
    <m/>
    <m/>
    <n v="2.2788461538461537"/>
    <m/>
    <n v="1960"/>
    <n v="9300"/>
    <n v="7340"/>
  </r>
  <r>
    <x v="7"/>
    <x v="5"/>
    <x v="12"/>
    <x v="64"/>
    <n v="67"/>
    <n v="79"/>
    <m/>
    <m/>
    <m/>
    <m/>
    <n v="1.1791044776119404"/>
    <m/>
    <n v="790"/>
    <n v="2211"/>
    <n v="1421"/>
  </r>
  <r>
    <x v="7"/>
    <x v="6"/>
    <x v="12"/>
    <x v="65"/>
    <n v="308"/>
    <n v="271"/>
    <m/>
    <m/>
    <m/>
    <m/>
    <n v="0.87987012987012991"/>
    <m/>
    <n v="2710"/>
    <n v="15054"/>
    <n v="12344"/>
  </r>
  <r>
    <x v="7"/>
    <x v="6"/>
    <x v="12"/>
    <x v="86"/>
    <n v="0"/>
    <n v="72"/>
    <m/>
    <m/>
    <m/>
    <m/>
    <n v="0"/>
    <m/>
    <n v="720"/>
    <n v="9300"/>
    <n v="8580"/>
  </r>
  <r>
    <x v="7"/>
    <x v="4"/>
    <x v="12"/>
    <x v="97"/>
    <n v="13"/>
    <n v="282"/>
    <m/>
    <m/>
    <m/>
    <m/>
    <n v="21.692307692307693"/>
    <m/>
    <n v="2670"/>
    <n v="7800"/>
    <n v="5130"/>
  </r>
  <r>
    <x v="8"/>
    <x v="6"/>
    <x v="0"/>
    <x v="0"/>
    <n v="0"/>
    <n v="0"/>
    <n v="0"/>
    <n v="0"/>
    <n v="5"/>
    <n v="0"/>
    <n v="0"/>
    <m/>
    <n v="550"/>
    <n v="5600"/>
    <n v="5050"/>
  </r>
  <r>
    <x v="8"/>
    <x v="6"/>
    <x v="1"/>
    <x v="1"/>
    <m/>
    <m/>
    <m/>
    <m/>
    <m/>
    <m/>
    <n v="0"/>
    <m/>
    <n v="1629.17"/>
    <m/>
    <n v="-1629.17"/>
  </r>
  <r>
    <x v="8"/>
    <x v="11"/>
    <x v="1"/>
    <x v="2"/>
    <n v="44"/>
    <n v="475"/>
    <n v="27"/>
    <n v="0"/>
    <n v="0"/>
    <n v="0"/>
    <n v="10.795454545454545"/>
    <m/>
    <n v="5830"/>
    <n v="8800"/>
    <n v="2970"/>
  </r>
  <r>
    <x v="8"/>
    <x v="11"/>
    <x v="1"/>
    <x v="3"/>
    <n v="44"/>
    <n v="177"/>
    <n v="0"/>
    <n v="0"/>
    <n v="0"/>
    <n v="0"/>
    <n v="4.0227272727272725"/>
    <m/>
    <n v="1770"/>
    <n v="13200"/>
    <n v="11430"/>
  </r>
  <r>
    <x v="8"/>
    <x v="6"/>
    <x v="1"/>
    <x v="4"/>
    <n v="100"/>
    <n v="1371"/>
    <n v="10"/>
    <n v="0"/>
    <n v="10"/>
    <n v="0"/>
    <n v="13.71"/>
    <m/>
    <n v="15448.85"/>
    <n v="19800"/>
    <n v="4351.1499999999996"/>
  </r>
  <r>
    <x v="8"/>
    <x v="5"/>
    <x v="1"/>
    <x v="87"/>
    <m/>
    <m/>
    <m/>
    <m/>
    <m/>
    <m/>
    <n v="0"/>
    <m/>
    <n v="200"/>
    <m/>
    <n v="-200"/>
  </r>
  <r>
    <x v="8"/>
    <x v="6"/>
    <x v="1"/>
    <x v="95"/>
    <n v="90"/>
    <n v="1595"/>
    <n v="0"/>
    <n v="0"/>
    <n v="0"/>
    <n v="0"/>
    <n v="17.722222222222221"/>
    <m/>
    <n v="15950"/>
    <n v="18000"/>
    <n v="2050"/>
  </r>
  <r>
    <x v="8"/>
    <x v="13"/>
    <x v="2"/>
    <x v="5"/>
    <n v="228"/>
    <n v="1133"/>
    <n v="0"/>
    <n v="0"/>
    <n v="0"/>
    <n v="0"/>
    <n v="4.9692982456140351"/>
    <m/>
    <n v="33586.089999999997"/>
    <n v="63840"/>
    <n v="30253.910000000003"/>
  </r>
  <r>
    <x v="8"/>
    <x v="5"/>
    <x v="2"/>
    <x v="6"/>
    <n v="240"/>
    <n v="1320"/>
    <n v="0"/>
    <n v="0"/>
    <n v="0"/>
    <n v="0"/>
    <n v="5.5"/>
    <n v="76.515151515151516"/>
    <n v="35932.76"/>
    <n v="67200"/>
    <n v="31267.239999999998"/>
  </r>
  <r>
    <x v="8"/>
    <x v="13"/>
    <x v="2"/>
    <x v="7"/>
    <n v="242"/>
    <n v="2117"/>
    <n v="0"/>
    <n v="0"/>
    <n v="0"/>
    <n v="0"/>
    <n v="8.7479338842975203"/>
    <n v="82.888176638176859"/>
    <n v="21171"/>
    <n v="65240"/>
    <n v="44069"/>
  </r>
  <r>
    <x v="8"/>
    <x v="13"/>
    <x v="2"/>
    <x v="8"/>
    <n v="204"/>
    <n v="1437"/>
    <n v="0"/>
    <n v="0"/>
    <n v="0"/>
    <n v="0"/>
    <n v="7.0441176470588234"/>
    <n v="89.882352941176464"/>
    <n v="14370"/>
    <n v="57120"/>
    <n v="42750"/>
  </r>
  <r>
    <x v="8"/>
    <x v="6"/>
    <x v="2"/>
    <x v="9"/>
    <n v="198.5"/>
    <n v="673"/>
    <n v="0"/>
    <n v="0"/>
    <n v="0"/>
    <n v="0"/>
    <n v="3.3904282115869018"/>
    <n v="1.3508359928544189"/>
    <n v="15942.49"/>
    <n v="29775"/>
    <n v="13832.51"/>
  </r>
  <r>
    <x v="8"/>
    <x v="6"/>
    <x v="2"/>
    <x v="10"/>
    <n v="112"/>
    <n v="712"/>
    <n v="0"/>
    <n v="0"/>
    <n v="0"/>
    <n v="0"/>
    <n v="6.3571428571428568"/>
    <n v="53.787234042553187"/>
    <n v="17087.169999999998"/>
    <n v="16800"/>
    <n v="-287.16999999999825"/>
  </r>
  <r>
    <x v="8"/>
    <x v="6"/>
    <x v="2"/>
    <x v="11"/>
    <n v="144"/>
    <n v="634"/>
    <n v="0"/>
    <n v="0"/>
    <n v="0"/>
    <n v="0"/>
    <n v="4.4027777777777777"/>
    <n v="87.207702888583214"/>
    <n v="16307.17"/>
    <n v="20250"/>
    <n v="3942.83"/>
  </r>
  <r>
    <x v="8"/>
    <x v="6"/>
    <x v="2"/>
    <x v="12"/>
    <n v="194.5"/>
    <n v="1280"/>
    <n v="0"/>
    <n v="0"/>
    <n v="0"/>
    <n v="0"/>
    <n v="6.5809768637532136"/>
    <n v="117.53902662993572"/>
    <n v="12800"/>
    <n v="54460"/>
    <n v="41660"/>
  </r>
  <r>
    <x v="8"/>
    <x v="13"/>
    <x v="2"/>
    <x v="13"/>
    <n v="390"/>
    <n v="4027"/>
    <n v="0"/>
    <n v="0"/>
    <n v="0"/>
    <n v="0"/>
    <n v="10.325641025641026"/>
    <n v="52.188883423512053"/>
    <n v="40270"/>
    <n v="57600"/>
    <n v="17330"/>
  </r>
  <r>
    <x v="8"/>
    <x v="13"/>
    <x v="2"/>
    <x v="14"/>
    <n v="155"/>
    <n v="3267"/>
    <n v="0"/>
    <n v="0"/>
    <n v="0"/>
    <n v="0"/>
    <n v="21.07741935483871"/>
    <n v="85.54"/>
    <n v="77761.789999999994"/>
    <n v="67390"/>
    <n v="-10371.789999999994"/>
  </r>
  <r>
    <x v="8"/>
    <x v="5"/>
    <x v="2"/>
    <x v="15"/>
    <n v="209"/>
    <n v="1074"/>
    <n v="7"/>
    <n v="0"/>
    <n v="0"/>
    <n v="0"/>
    <n v="5.1387559808612444"/>
    <n v="102"/>
    <n v="15583.8"/>
    <n v="58520"/>
    <n v="42936.2"/>
  </r>
  <r>
    <x v="8"/>
    <x v="6"/>
    <x v="2"/>
    <x v="81"/>
    <n v="94"/>
    <n v="486"/>
    <n v="0"/>
    <n v="0"/>
    <n v="0"/>
    <n v="0"/>
    <n v="5.1702127659574471"/>
    <m/>
    <n v="4860"/>
    <n v="14100"/>
    <n v="9240"/>
  </r>
  <r>
    <x v="8"/>
    <x v="5"/>
    <x v="2"/>
    <x v="88"/>
    <n v="161"/>
    <n v="302"/>
    <n v="0"/>
    <n v="0"/>
    <n v="0"/>
    <n v="0"/>
    <n v="1.8757763975155279"/>
    <n v="27.529626253418414"/>
    <n v="4043"/>
    <n v="24150"/>
    <n v="20107"/>
  </r>
  <r>
    <x v="8"/>
    <x v="11"/>
    <x v="2"/>
    <x v="89"/>
    <n v="245"/>
    <n v="363"/>
    <n v="0"/>
    <n v="0"/>
    <n v="0"/>
    <n v="0"/>
    <n v="1.4816326530612245"/>
    <n v="17.443536761172513"/>
    <n v="3630"/>
    <n v="16380"/>
    <n v="12750"/>
  </r>
  <r>
    <x v="8"/>
    <x v="13"/>
    <x v="2"/>
    <x v="90"/>
    <n v="238"/>
    <n v="2735"/>
    <n v="0"/>
    <n v="0"/>
    <n v="0"/>
    <n v="0"/>
    <n v="11.491596638655462"/>
    <n v="65.941536369816447"/>
    <n v="60994.64"/>
    <n v="25200"/>
    <n v="-35794.639999999999"/>
  </r>
  <r>
    <x v="8"/>
    <x v="6"/>
    <x v="2"/>
    <x v="16"/>
    <m/>
    <m/>
    <m/>
    <m/>
    <m/>
    <m/>
    <n v="0"/>
    <m/>
    <n v="2210"/>
    <m/>
    <n v="-2210"/>
  </r>
  <r>
    <x v="8"/>
    <x v="13"/>
    <x v="3"/>
    <x v="17"/>
    <n v="210"/>
    <n v="2417"/>
    <n v="10"/>
    <n v="0"/>
    <n v="5"/>
    <n v="8"/>
    <n v="11.509523809523809"/>
    <m/>
    <n v="36753.040000000001"/>
    <n v="75600"/>
    <n v="38846.959999999999"/>
  </r>
  <r>
    <x v="8"/>
    <x v="5"/>
    <x v="3"/>
    <x v="18"/>
    <n v="231"/>
    <n v="2243"/>
    <n v="5"/>
    <n v="0"/>
    <n v="0"/>
    <n v="0"/>
    <n v="9.7099567099567103"/>
    <m/>
    <n v="22958.86"/>
    <n v="87780"/>
    <n v="64821.14"/>
  </r>
  <r>
    <x v="8"/>
    <x v="5"/>
    <x v="3"/>
    <x v="41"/>
    <n v="206"/>
    <n v="1841"/>
    <n v="30"/>
    <n v="0"/>
    <n v="0"/>
    <n v="15"/>
    <n v="8.9368932038834945"/>
    <m/>
    <n v="20951.3"/>
    <n v="79040"/>
    <n v="58088.7"/>
  </r>
  <r>
    <x v="8"/>
    <x v="5"/>
    <x v="3"/>
    <x v="66"/>
    <n v="230"/>
    <n v="2139"/>
    <n v="0"/>
    <n v="0"/>
    <n v="15"/>
    <n v="0"/>
    <n v="9.3000000000000007"/>
    <m/>
    <n v="22205.83"/>
    <n v="82080"/>
    <n v="59874.17"/>
  </r>
  <r>
    <x v="8"/>
    <x v="6"/>
    <x v="4"/>
    <x v="19"/>
    <n v="174"/>
    <n v="7612"/>
    <n v="45"/>
    <n v="0"/>
    <n v="75"/>
    <n v="0"/>
    <n v="43.747126436781606"/>
    <m/>
    <n v="12993.17"/>
    <n v="234900"/>
    <n v="221906.83"/>
  </r>
  <r>
    <x v="8"/>
    <x v="14"/>
    <x v="4"/>
    <x v="67"/>
    <n v="79"/>
    <n v="0"/>
    <n v="0"/>
    <n v="0"/>
    <n v="0"/>
    <n v="0"/>
    <n v="0"/>
    <m/>
    <n v="36494.46"/>
    <n v="106650"/>
    <n v="70155.540000000008"/>
  </r>
  <r>
    <x v="8"/>
    <x v="6"/>
    <x v="2"/>
    <x v="20"/>
    <n v="100"/>
    <n v="1155"/>
    <n v="0"/>
    <n v="0"/>
    <n v="0"/>
    <n v="0"/>
    <n v="11.55"/>
    <n v="44.52"/>
    <n v="9560"/>
    <n v="29050"/>
    <n v="19490"/>
  </r>
  <r>
    <x v="8"/>
    <x v="13"/>
    <x v="5"/>
    <x v="21"/>
    <n v="142"/>
    <n v="1313"/>
    <n v="74"/>
    <n v="0"/>
    <n v="0"/>
    <n v="24"/>
    <n v="9.2464788732394361"/>
    <m/>
    <n v="8271.92"/>
    <n v="102950"/>
    <n v="94678.080000000002"/>
  </r>
  <r>
    <x v="8"/>
    <x v="5"/>
    <x v="6"/>
    <x v="22"/>
    <n v="234.5"/>
    <n v="5136"/>
    <n v="60"/>
    <n v="0"/>
    <n v="50"/>
    <n v="15"/>
    <n v="21.901918976545844"/>
    <m/>
    <n v="71103.13"/>
    <n v="269675"/>
    <n v="198571.87"/>
  </r>
  <r>
    <x v="8"/>
    <x v="14"/>
    <x v="0"/>
    <x v="82"/>
    <n v="52"/>
    <n v="0"/>
    <n v="0"/>
    <n v="0"/>
    <n v="0"/>
    <n v="0"/>
    <n v="0"/>
    <m/>
    <n v="633.30999999999995"/>
    <n v="6760"/>
    <n v="6126.6900000000005"/>
  </r>
  <r>
    <x v="8"/>
    <x v="6"/>
    <x v="7"/>
    <x v="42"/>
    <n v="118.5"/>
    <n v="1522"/>
    <n v="5"/>
    <n v="0"/>
    <n v="15"/>
    <n v="0"/>
    <n v="12.843881856540085"/>
    <m/>
    <n v="17049.11"/>
    <n v="55250"/>
    <n v="38200.89"/>
  </r>
  <r>
    <x v="8"/>
    <x v="5"/>
    <x v="7"/>
    <x v="91"/>
    <n v="25"/>
    <n v="512"/>
    <n v="5"/>
    <n v="0"/>
    <n v="25"/>
    <n v="0"/>
    <n v="20.48"/>
    <m/>
    <n v="15188.96"/>
    <n v="10000"/>
    <n v="-5188.9599999999991"/>
  </r>
  <r>
    <x v="8"/>
    <x v="6"/>
    <x v="7"/>
    <x v="23"/>
    <n v="198"/>
    <n v="2466"/>
    <n v="32"/>
    <n v="0"/>
    <n v="5"/>
    <n v="0"/>
    <n v="12.454545454545455"/>
    <m/>
    <n v="39652.32"/>
    <n v="79200"/>
    <n v="39547.68"/>
  </r>
  <r>
    <x v="8"/>
    <x v="6"/>
    <x v="7"/>
    <x v="24"/>
    <n v="225.5"/>
    <n v="4806"/>
    <n v="25"/>
    <n v="0"/>
    <n v="10"/>
    <n v="0"/>
    <n v="21.312638580931264"/>
    <m/>
    <n v="63997.08"/>
    <n v="112750"/>
    <n v="48752.92"/>
  </r>
  <r>
    <x v="8"/>
    <x v="11"/>
    <x v="7"/>
    <x v="45"/>
    <n v="195.5"/>
    <n v="1990"/>
    <n v="42"/>
    <n v="0"/>
    <n v="10"/>
    <n v="0"/>
    <n v="10.179028132992327"/>
    <m/>
    <n v="35481.269999999997"/>
    <n v="92250"/>
    <n v="56768.73"/>
  </r>
  <r>
    <x v="8"/>
    <x v="5"/>
    <x v="8"/>
    <x v="25"/>
    <n v="224"/>
    <n v="3134.38"/>
    <n v="32"/>
    <n v="0"/>
    <n v="35"/>
    <n v="5"/>
    <n v="13.992767857142857"/>
    <m/>
    <n v="59264.62"/>
    <n v="94080"/>
    <n v="34815.379999999997"/>
  </r>
  <r>
    <x v="8"/>
    <x v="13"/>
    <x v="8"/>
    <x v="26"/>
    <n v="215"/>
    <n v="2758"/>
    <n v="25"/>
    <n v="0"/>
    <n v="45"/>
    <n v="5"/>
    <n v="12.827906976744186"/>
    <m/>
    <n v="51266.89"/>
    <n v="90300"/>
    <n v="39033.11"/>
  </r>
  <r>
    <x v="8"/>
    <x v="6"/>
    <x v="8"/>
    <x v="73"/>
    <n v="112.5"/>
    <n v="2095"/>
    <n v="0"/>
    <n v="0"/>
    <n v="40"/>
    <n v="0"/>
    <n v="18.622222222222224"/>
    <m/>
    <n v="69432"/>
    <n v="47250"/>
    <n v="-22182"/>
  </r>
  <r>
    <x v="8"/>
    <x v="5"/>
    <x v="8"/>
    <x v="27"/>
    <n v="157"/>
    <n v="3900"/>
    <n v="35"/>
    <n v="0"/>
    <n v="90"/>
    <n v="30"/>
    <n v="24.840764331210192"/>
    <m/>
    <n v="76097.3"/>
    <n v="65940"/>
    <n v="-10157.300000000003"/>
  </r>
  <r>
    <x v="8"/>
    <x v="5"/>
    <x v="8"/>
    <x v="28"/>
    <n v="186"/>
    <n v="4543"/>
    <n v="35"/>
    <n v="0"/>
    <n v="25"/>
    <n v="25"/>
    <n v="24.4247311827957"/>
    <m/>
    <n v="69252.31"/>
    <n v="78120"/>
    <n v="8867.6900000000023"/>
  </r>
  <r>
    <x v="8"/>
    <x v="5"/>
    <x v="8"/>
    <x v="29"/>
    <n v="233"/>
    <n v="5345"/>
    <n v="65"/>
    <n v="0"/>
    <n v="0"/>
    <n v="30"/>
    <n v="22.93991416309013"/>
    <m/>
    <n v="85668.66"/>
    <n v="97860"/>
    <n v="12191.339999999997"/>
  </r>
  <r>
    <x v="8"/>
    <x v="5"/>
    <x v="8"/>
    <x v="30"/>
    <n v="229"/>
    <n v="4354"/>
    <n v="5"/>
    <n v="0"/>
    <n v="30"/>
    <n v="35"/>
    <n v="19.013100436681224"/>
    <m/>
    <n v="66707.31"/>
    <n v="93660"/>
    <n v="26952.690000000002"/>
  </r>
  <r>
    <x v="8"/>
    <x v="5"/>
    <x v="8"/>
    <x v="31"/>
    <n v="213"/>
    <n v="7073"/>
    <n v="55"/>
    <n v="0"/>
    <n v="55"/>
    <n v="20"/>
    <n v="33.206572769953048"/>
    <m/>
    <n v="97610.64"/>
    <n v="89460"/>
    <n v="-8150.6399999999994"/>
  </r>
  <r>
    <x v="8"/>
    <x v="11"/>
    <x v="8"/>
    <x v="32"/>
    <n v="110"/>
    <n v="1031"/>
    <n v="0"/>
    <n v="0"/>
    <n v="40"/>
    <n v="0"/>
    <n v="9.372727272727273"/>
    <m/>
    <n v="12168.33"/>
    <n v="21120"/>
    <n v="8951.67"/>
  </r>
  <r>
    <x v="8"/>
    <x v="13"/>
    <x v="8"/>
    <x v="74"/>
    <n v="174"/>
    <n v="2860"/>
    <n v="42"/>
    <n v="0"/>
    <n v="25"/>
    <n v="40"/>
    <n v="16.436781609195403"/>
    <m/>
    <n v="32555"/>
    <n v="73080"/>
    <n v="40525"/>
  </r>
  <r>
    <x v="8"/>
    <x v="5"/>
    <x v="8"/>
    <x v="84"/>
    <n v="39"/>
    <n v="1364"/>
    <n v="15"/>
    <n v="0"/>
    <n v="35"/>
    <n v="15"/>
    <n v="34.974358974358971"/>
    <m/>
    <n v="16273.32"/>
    <n v="9680"/>
    <n v="-6593.32"/>
  </r>
  <r>
    <x v="8"/>
    <x v="6"/>
    <x v="8"/>
    <x v="75"/>
    <n v="159"/>
    <n v="1545"/>
    <n v="20"/>
    <n v="0"/>
    <n v="0"/>
    <n v="0"/>
    <n v="9.7169811320754711"/>
    <m/>
    <n v="16520.03"/>
    <n v="34320"/>
    <n v="17799.97"/>
  </r>
  <r>
    <x v="8"/>
    <x v="5"/>
    <x v="8"/>
    <x v="76"/>
    <n v="131"/>
    <n v="2496"/>
    <n v="25"/>
    <n v="0"/>
    <n v="15"/>
    <n v="5"/>
    <n v="19.053435114503817"/>
    <m/>
    <n v="28750.33"/>
    <n v="51240"/>
    <n v="22489.67"/>
  </r>
  <r>
    <x v="8"/>
    <x v="5"/>
    <x v="8"/>
    <x v="77"/>
    <n v="171"/>
    <n v="2789"/>
    <n v="25"/>
    <n v="0"/>
    <n v="10"/>
    <n v="30"/>
    <n v="16.309941520467838"/>
    <m/>
    <n v="36789.69"/>
    <n v="71820"/>
    <n v="35030.31"/>
  </r>
  <r>
    <x v="8"/>
    <x v="5"/>
    <x v="8"/>
    <x v="78"/>
    <n v="238"/>
    <n v="3503"/>
    <n v="25"/>
    <n v="0"/>
    <n v="5"/>
    <n v="15"/>
    <n v="14.718487394957982"/>
    <m/>
    <n v="36561.65"/>
    <n v="99960"/>
    <n v="63398.35"/>
  </r>
  <r>
    <x v="8"/>
    <x v="13"/>
    <x v="9"/>
    <x v="33"/>
    <n v="252"/>
    <n v="316"/>
    <n v="20"/>
    <n v="0"/>
    <n v="0"/>
    <n v="0"/>
    <n v="1.253968253968254"/>
    <n v="12.02"/>
    <n v="3904.2"/>
    <n v="16380"/>
    <n v="12475.8"/>
  </r>
  <r>
    <x v="8"/>
    <x v="3"/>
    <x v="9"/>
    <x v="34"/>
    <n v="89"/>
    <n v="129"/>
    <m/>
    <m/>
    <m/>
    <m/>
    <n v="1.449438202247191"/>
    <n v="13.8"/>
    <n v="1080"/>
    <n v="5785"/>
    <n v="4705"/>
  </r>
  <r>
    <x v="8"/>
    <x v="6"/>
    <x v="9"/>
    <x v="35"/>
    <n v="261"/>
    <n v="550"/>
    <n v="0"/>
    <n v="0"/>
    <n v="0"/>
    <n v="0"/>
    <n v="2.1072796934865901"/>
    <n v="11.8"/>
    <n v="5500"/>
    <n v="16965"/>
    <n v="11465"/>
  </r>
  <r>
    <x v="8"/>
    <x v="5"/>
    <x v="9"/>
    <x v="36"/>
    <n v="214"/>
    <n v="272"/>
    <n v="0"/>
    <n v="0"/>
    <n v="0"/>
    <n v="0"/>
    <n v="1.2710280373831775"/>
    <n v="13.8"/>
    <n v="2720"/>
    <n v="13910"/>
    <n v="11190"/>
  </r>
  <r>
    <x v="8"/>
    <x v="14"/>
    <x v="0"/>
    <x v="85"/>
    <m/>
    <m/>
    <m/>
    <m/>
    <m/>
    <m/>
    <n v="0"/>
    <m/>
    <m/>
    <m/>
    <n v="0"/>
  </r>
  <r>
    <x v="8"/>
    <x v="11"/>
    <x v="10"/>
    <x v="38"/>
    <n v="138"/>
    <n v="694"/>
    <n v="0"/>
    <n v="0"/>
    <n v="0"/>
    <n v="0"/>
    <n v="5.0289855072463769"/>
    <m/>
    <n v="7371.73"/>
    <n v="22680"/>
    <n v="15308.27"/>
  </r>
  <r>
    <x v="8"/>
    <x v="11"/>
    <x v="10"/>
    <x v="39"/>
    <n v="69"/>
    <n v="402"/>
    <n v="0"/>
    <n v="0"/>
    <n v="0"/>
    <n v="0"/>
    <n v="5.8260869565217392"/>
    <m/>
    <n v="6244.79"/>
    <m/>
    <n v="-6244.79"/>
  </r>
  <r>
    <x v="8"/>
    <x v="11"/>
    <x v="10"/>
    <x v="43"/>
    <m/>
    <m/>
    <m/>
    <m/>
    <m/>
    <m/>
    <n v="0"/>
    <m/>
    <n v="1010.18"/>
    <n v="25020"/>
    <n v="24009.82"/>
  </r>
  <r>
    <x v="8"/>
    <x v="5"/>
    <x v="11"/>
    <x v="40"/>
    <n v="167"/>
    <n v="286"/>
    <n v="5"/>
    <n v="0"/>
    <n v="0"/>
    <n v="0"/>
    <n v="1.7125748502994012"/>
    <m/>
    <n v="3071.05"/>
    <n v="10855"/>
    <n v="7783.95"/>
  </r>
  <r>
    <x v="8"/>
    <x v="5"/>
    <x v="11"/>
    <x v="44"/>
    <n v="166"/>
    <n v="186"/>
    <n v="0"/>
    <n v="0"/>
    <n v="0"/>
    <n v="0"/>
    <n v="1.1204819277108433"/>
    <m/>
    <n v="1860"/>
    <n v="10790"/>
    <n v="8930"/>
  </r>
  <r>
    <x v="8"/>
    <x v="11"/>
    <x v="11"/>
    <x v="98"/>
    <n v="45"/>
    <n v="50"/>
    <n v="0"/>
    <n v="0"/>
    <n v="0"/>
    <n v="0"/>
    <n v="1.1111111111111112"/>
    <m/>
    <n v="500"/>
    <m/>
    <n v="-500"/>
  </r>
  <r>
    <x v="8"/>
    <x v="5"/>
    <x v="12"/>
    <x v="53"/>
    <n v="0"/>
    <n v="279"/>
    <n v="0"/>
    <n v="0"/>
    <n v="0"/>
    <n v="0"/>
    <n v="0"/>
    <m/>
    <n v="2790"/>
    <n v="10400"/>
    <n v="7610"/>
  </r>
  <r>
    <x v="8"/>
    <x v="6"/>
    <x v="12"/>
    <x v="54"/>
    <n v="0"/>
    <n v="58"/>
    <n v="0"/>
    <n v="0"/>
    <n v="0"/>
    <n v="0"/>
    <n v="0"/>
    <m/>
    <n v="8469.68"/>
    <n v="10400"/>
    <n v="1930.3199999999997"/>
  </r>
  <r>
    <x v="8"/>
    <x v="5"/>
    <x v="12"/>
    <x v="80"/>
    <n v="0"/>
    <n v="37"/>
    <n v="0"/>
    <n v="0"/>
    <n v="0"/>
    <n v="0"/>
    <n v="0"/>
    <m/>
    <n v="10614"/>
    <n v="10400"/>
    <n v="-214"/>
  </r>
  <r>
    <x v="8"/>
    <x v="14"/>
    <x v="12"/>
    <x v="55"/>
    <n v="0"/>
    <n v="39.57"/>
    <n v="0"/>
    <n v="0"/>
    <n v="0"/>
    <n v="0"/>
    <n v="0"/>
    <m/>
    <n v="3497.82"/>
    <m/>
    <n v="-3497.82"/>
  </r>
  <r>
    <x v="8"/>
    <x v="11"/>
    <x v="12"/>
    <x v="92"/>
    <n v="0"/>
    <n v="127"/>
    <n v="0"/>
    <n v="0"/>
    <n v="0"/>
    <n v="0"/>
    <n v="0"/>
    <n v="8.4949832775919738"/>
    <n v="1270"/>
    <n v="7800"/>
    <n v="6530"/>
  </r>
  <r>
    <x v="8"/>
    <x v="6"/>
    <x v="12"/>
    <x v="56"/>
    <n v="252"/>
    <n v="324"/>
    <n v="0"/>
    <n v="0"/>
    <n v="0"/>
    <n v="0"/>
    <n v="1.2857142857142858"/>
    <n v="5.7633084029916413"/>
    <n v="3456.66"/>
    <n v="8400"/>
    <n v="4943.34"/>
  </r>
  <r>
    <x v="8"/>
    <x v="5"/>
    <x v="12"/>
    <x v="57"/>
    <n v="0"/>
    <n v="318"/>
    <n v="0"/>
    <n v="0"/>
    <n v="0"/>
    <n v="0"/>
    <n v="0"/>
    <n v="7.0044052863436121"/>
    <n v="4215.04"/>
    <n v="7800"/>
    <n v="3584.96"/>
  </r>
  <r>
    <x v="8"/>
    <x v="13"/>
    <x v="12"/>
    <x v="58"/>
    <n v="264"/>
    <n v="378"/>
    <n v="0"/>
    <n v="0"/>
    <n v="0"/>
    <n v="0"/>
    <n v="1.4318181818181819"/>
    <n v="5.1730998806207724"/>
    <n v="3996.66"/>
    <n v="8700"/>
    <n v="4703.34"/>
  </r>
  <r>
    <x v="8"/>
    <x v="5"/>
    <x v="12"/>
    <x v="59"/>
    <n v="0"/>
    <n v="232"/>
    <n v="0"/>
    <n v="0"/>
    <n v="0"/>
    <n v="0"/>
    <n v="0"/>
    <n v="6.2"/>
    <n v="2528.33"/>
    <n v="7800"/>
    <n v="5271.67"/>
  </r>
  <r>
    <x v="8"/>
    <x v="14"/>
    <x v="12"/>
    <x v="60"/>
    <n v="181"/>
    <n v="87.19"/>
    <n v="1"/>
    <n v="0"/>
    <n v="0"/>
    <n v="0"/>
    <n v="0.48171270718232045"/>
    <m/>
    <n v="909.21"/>
    <n v="5973"/>
    <n v="5063.79"/>
  </r>
  <r>
    <x v="8"/>
    <x v="6"/>
    <x v="12"/>
    <x v="61"/>
    <n v="0"/>
    <n v="0"/>
    <n v="0"/>
    <n v="0"/>
    <n v="0"/>
    <n v="0"/>
    <n v="0"/>
    <m/>
    <m/>
    <m/>
    <n v="0"/>
  </r>
  <r>
    <x v="8"/>
    <x v="5"/>
    <x v="12"/>
    <x v="62"/>
    <n v="228"/>
    <n v="247"/>
    <n v="0"/>
    <n v="0"/>
    <n v="0"/>
    <n v="0"/>
    <n v="1.0833333333333333"/>
    <n v="7.3753359211704987"/>
    <n v="3865.04"/>
    <n v="7547.4"/>
    <n v="3682.3599999999997"/>
  </r>
  <r>
    <x v="8"/>
    <x v="5"/>
    <x v="12"/>
    <x v="63"/>
    <n v="197"/>
    <n v="150"/>
    <n v="0"/>
    <n v="0"/>
    <n v="0"/>
    <n v="0"/>
    <n v="0.76142131979695427"/>
    <n v="7.3"/>
    <n v="2535.04"/>
    <n v="8700"/>
    <n v="6164.96"/>
  </r>
  <r>
    <x v="8"/>
    <x v="5"/>
    <x v="12"/>
    <x v="64"/>
    <n v="125"/>
    <n v="102"/>
    <n v="0"/>
    <n v="0"/>
    <n v="0"/>
    <n v="0"/>
    <n v="0.81599999999999995"/>
    <m/>
    <n v="3921.82"/>
    <n v="5256"/>
    <n v="1334.1799999999998"/>
  </r>
  <r>
    <x v="8"/>
    <x v="6"/>
    <x v="12"/>
    <x v="65"/>
    <n v="312"/>
    <n v="384"/>
    <n v="0"/>
    <n v="0"/>
    <n v="0"/>
    <n v="0"/>
    <n v="1.2307692307692308"/>
    <n v="5.4314197318666206"/>
    <n v="7776.86"/>
    <n v="11496"/>
    <n v="3719.1400000000003"/>
  </r>
  <r>
    <x v="8"/>
    <x v="5"/>
    <x v="12"/>
    <x v="86"/>
    <n v="0"/>
    <n v="16"/>
    <n v="0"/>
    <n v="0"/>
    <n v="0"/>
    <n v="0"/>
    <n v="0"/>
    <m/>
    <n v="160"/>
    <n v="8700"/>
    <n v="8540"/>
  </r>
  <r>
    <x v="8"/>
    <x v="6"/>
    <x v="12"/>
    <x v="97"/>
    <n v="0"/>
    <n v="260"/>
    <n v="0"/>
    <n v="0"/>
    <n v="0"/>
    <n v="0"/>
    <n v="0"/>
    <n v="4.9530007230657986"/>
    <n v="2580"/>
    <n v="7800"/>
    <n v="5220"/>
  </r>
  <r>
    <x v="8"/>
    <x v="8"/>
    <x v="12"/>
    <x v="99"/>
    <m/>
    <m/>
    <m/>
    <m/>
    <m/>
    <m/>
    <n v="0"/>
    <m/>
    <m/>
    <n v="7800"/>
    <n v="7800"/>
  </r>
  <r>
    <x v="9"/>
    <x v="15"/>
    <x v="0"/>
    <x v="0"/>
    <n v="0"/>
    <n v="0"/>
    <n v="0"/>
    <n v="0"/>
    <n v="0"/>
    <n v="0"/>
    <n v="0"/>
    <m/>
    <n v="800"/>
    <n v="11440"/>
    <n v="10640"/>
  </r>
  <r>
    <x v="9"/>
    <x v="15"/>
    <x v="1"/>
    <x v="1"/>
    <n v="0"/>
    <n v="0"/>
    <n v="0"/>
    <n v="0"/>
    <n v="0"/>
    <n v="0"/>
    <n v="0"/>
    <m/>
    <m/>
    <m/>
    <n v="0"/>
  </r>
  <r>
    <x v="9"/>
    <x v="11"/>
    <x v="1"/>
    <x v="2"/>
    <n v="0"/>
    <n v="0"/>
    <n v="0"/>
    <n v="0"/>
    <n v="0"/>
    <n v="0"/>
    <n v="0"/>
    <m/>
    <n v="49.48"/>
    <n v="0"/>
    <n v="-49.48"/>
  </r>
  <r>
    <x v="9"/>
    <x v="6"/>
    <x v="1"/>
    <x v="3"/>
    <n v="52"/>
    <n v="125"/>
    <n v="5"/>
    <n v="0"/>
    <n v="0"/>
    <n v="2"/>
    <n v="2.4038461538461537"/>
    <m/>
    <n v="1450"/>
    <n v="7500"/>
    <n v="6050"/>
  </r>
  <r>
    <x v="9"/>
    <x v="6"/>
    <x v="1"/>
    <x v="4"/>
    <n v="63"/>
    <n v="850"/>
    <n v="25"/>
    <n v="0"/>
    <n v="5"/>
    <n v="14"/>
    <n v="13.492063492063492"/>
    <m/>
    <n v="18628.599999999999"/>
    <n v="12200"/>
    <n v="-6428.5999999999985"/>
  </r>
  <r>
    <x v="9"/>
    <x v="5"/>
    <x v="1"/>
    <x v="87"/>
    <n v="0"/>
    <n v="0"/>
    <n v="0"/>
    <n v="0"/>
    <n v="0"/>
    <n v="0"/>
    <n v="0"/>
    <m/>
    <n v="400"/>
    <n v="0"/>
    <n v="-400"/>
  </r>
  <r>
    <x v="9"/>
    <x v="6"/>
    <x v="1"/>
    <x v="95"/>
    <n v="132"/>
    <n v="1929"/>
    <n v="0"/>
    <n v="0"/>
    <n v="0"/>
    <n v="0"/>
    <n v="14.613636363636363"/>
    <m/>
    <n v="19290"/>
    <n v="26400"/>
    <n v="7110"/>
  </r>
  <r>
    <x v="9"/>
    <x v="5"/>
    <x v="2"/>
    <x v="5"/>
    <n v="215"/>
    <n v="846"/>
    <n v="45"/>
    <n v="0"/>
    <n v="0"/>
    <n v="0"/>
    <n v="3.9348837209302325"/>
    <n v="157.24907063197026"/>
    <n v="34752.03"/>
    <n v="60200"/>
    <n v="25447.97"/>
  </r>
  <r>
    <x v="9"/>
    <x v="5"/>
    <x v="2"/>
    <x v="6"/>
    <n v="203.5"/>
    <n v="826"/>
    <n v="0"/>
    <n v="0"/>
    <n v="0"/>
    <n v="0"/>
    <n v="4.058968058968059"/>
    <n v="91.982182628062361"/>
    <n v="29932.76"/>
    <n v="56980"/>
    <n v="27047.24"/>
  </r>
  <r>
    <x v="9"/>
    <x v="5"/>
    <x v="2"/>
    <x v="7"/>
    <n v="222.5"/>
    <n v="1306"/>
    <n v="5"/>
    <n v="0"/>
    <n v="5"/>
    <n v="0"/>
    <n v="5.8696629213483149"/>
    <n v="182.65734265734267"/>
    <n v="13435"/>
    <n v="62300"/>
    <n v="48865"/>
  </r>
  <r>
    <x v="9"/>
    <x v="5"/>
    <x v="2"/>
    <x v="8"/>
    <n v="214.5"/>
    <n v="2688.15"/>
    <n v="0"/>
    <n v="0"/>
    <n v="5"/>
    <n v="0"/>
    <n v="12.532167832167833"/>
    <n v="130.42940320232896"/>
    <n v="27057"/>
    <n v="60060"/>
    <n v="33003"/>
  </r>
  <r>
    <x v="9"/>
    <x v="6"/>
    <x v="2"/>
    <x v="9"/>
    <n v="175"/>
    <n v="919"/>
    <n v="0"/>
    <n v="0"/>
    <n v="0"/>
    <n v="0"/>
    <n v="5.2514285714285718"/>
    <n v="36.730615507593924"/>
    <n v="20869.11"/>
    <n v="25350"/>
    <n v="4480.8899999999994"/>
  </r>
  <r>
    <x v="9"/>
    <x v="6"/>
    <x v="2"/>
    <x v="10"/>
    <n v="86"/>
    <n v="765"/>
    <n v="0"/>
    <n v="0"/>
    <n v="25"/>
    <n v="5"/>
    <n v="8.895348837209303"/>
    <n v="45.589988081048865"/>
    <n v="18492.169999999998"/>
    <n v="5700"/>
    <n v="-12792.169999999998"/>
  </r>
  <r>
    <x v="9"/>
    <x v="5"/>
    <x v="2"/>
    <x v="11"/>
    <n v="72"/>
    <n v="617"/>
    <n v="20"/>
    <n v="0"/>
    <n v="0"/>
    <n v="0"/>
    <n v="8.5694444444444446"/>
    <n v="46.460843373493979"/>
    <n v="16937.169999999998"/>
    <n v="9450"/>
    <n v="-7487.1699999999983"/>
  </r>
  <r>
    <x v="9"/>
    <x v="6"/>
    <x v="2"/>
    <x v="12"/>
    <n v="97"/>
    <n v="1102"/>
    <n v="0"/>
    <n v="0"/>
    <n v="0"/>
    <n v="3"/>
    <n v="11.360824742268042"/>
    <n v="208.71212121212119"/>
    <n v="11020"/>
    <n v="27160"/>
    <n v="16140"/>
  </r>
  <r>
    <x v="9"/>
    <x v="5"/>
    <x v="2"/>
    <x v="13"/>
    <n v="194.5"/>
    <n v="3027"/>
    <n v="0"/>
    <n v="0"/>
    <n v="0"/>
    <n v="0"/>
    <n v="15.562982005141388"/>
    <n v="235.56420233463035"/>
    <n v="37301.54"/>
    <n v="58350"/>
    <n v="21048.46"/>
  </r>
  <r>
    <x v="9"/>
    <x v="6"/>
    <x v="2"/>
    <x v="14"/>
    <n v="160"/>
    <n v="4688"/>
    <n v="0"/>
    <n v="0"/>
    <n v="0"/>
    <n v="1"/>
    <n v="29.3"/>
    <n v="53.891251868030807"/>
    <n v="97377.63"/>
    <n v="107600"/>
    <n v="10222.369999999995"/>
  </r>
  <r>
    <x v="9"/>
    <x v="5"/>
    <x v="2"/>
    <x v="15"/>
    <n v="199"/>
    <n v="758.1"/>
    <n v="3"/>
    <n v="0"/>
    <n v="20"/>
    <n v="0"/>
    <n v="3.8095477386934675"/>
    <n v="128.92857142857144"/>
    <n v="17227.39"/>
    <n v="55720"/>
    <n v="38492.61"/>
  </r>
  <r>
    <x v="9"/>
    <x v="6"/>
    <x v="2"/>
    <x v="81"/>
    <n v="64"/>
    <n v="356"/>
    <n v="0"/>
    <n v="0"/>
    <n v="0"/>
    <n v="5"/>
    <n v="5.5625"/>
    <n v="76.231263383297645"/>
    <n v="4130"/>
    <n v="9600"/>
    <n v="5470"/>
  </r>
  <r>
    <x v="9"/>
    <x v="5"/>
    <x v="2"/>
    <x v="88"/>
    <n v="148"/>
    <n v="231"/>
    <n v="0"/>
    <n v="0"/>
    <n v="0"/>
    <n v="0"/>
    <n v="1.5608108108108107"/>
    <m/>
    <n v="2310"/>
    <n v="22200"/>
    <n v="19890"/>
  </r>
  <r>
    <x v="9"/>
    <x v="5"/>
    <x v="2"/>
    <x v="89"/>
    <n v="114"/>
    <n v="396"/>
    <n v="0"/>
    <n v="0"/>
    <n v="0"/>
    <n v="0"/>
    <n v="3.4736842105263159"/>
    <n v="20.722135007849293"/>
    <n v="3960"/>
    <n v="7070"/>
    <n v="3110"/>
  </r>
  <r>
    <x v="9"/>
    <x v="11"/>
    <x v="2"/>
    <x v="90"/>
    <n v="250"/>
    <n v="3430"/>
    <n v="0"/>
    <n v="0"/>
    <n v="0"/>
    <n v="0"/>
    <n v="13.72"/>
    <n v="65.563116446211481"/>
    <n v="74640.639999999999"/>
    <n v="59850"/>
    <n v="-14790.64"/>
  </r>
  <r>
    <x v="9"/>
    <x v="11"/>
    <x v="2"/>
    <x v="16"/>
    <n v="0"/>
    <n v="468"/>
    <n v="0"/>
    <n v="0"/>
    <n v="0"/>
    <n v="0"/>
    <n v="0"/>
    <n v="176.60377358490567"/>
    <n v="4680"/>
    <n v="8625"/>
    <n v="3945"/>
  </r>
  <r>
    <x v="9"/>
    <x v="8"/>
    <x v="13"/>
    <x v="96"/>
    <n v="0"/>
    <n v="0"/>
    <n v="0"/>
    <n v="0"/>
    <n v="0"/>
    <n v="0"/>
    <n v="0"/>
    <m/>
    <m/>
    <n v="51625"/>
    <n v="51625"/>
  </r>
  <r>
    <x v="9"/>
    <x v="9"/>
    <x v="3"/>
    <x v="17"/>
    <n v="204"/>
    <n v="2655"/>
    <n v="5"/>
    <n v="0"/>
    <n v="5"/>
    <n v="4"/>
    <n v="13.014705882352942"/>
    <m/>
    <n v="27065"/>
    <n v="73440"/>
    <n v="46375"/>
  </r>
  <r>
    <x v="9"/>
    <x v="5"/>
    <x v="3"/>
    <x v="18"/>
    <n v="141"/>
    <n v="1565.1100000000001"/>
    <n v="0"/>
    <n v="0"/>
    <n v="0"/>
    <n v="0"/>
    <n v="11.100070921985816"/>
    <m/>
    <n v="25434.28"/>
    <n v="53580"/>
    <n v="28145.72"/>
  </r>
  <r>
    <x v="9"/>
    <x v="5"/>
    <x v="3"/>
    <x v="41"/>
    <n v="141.5"/>
    <n v="1363"/>
    <n v="10"/>
    <n v="0"/>
    <n v="5"/>
    <n v="0"/>
    <n v="9.6325088339222606"/>
    <m/>
    <n v="14205"/>
    <n v="53770"/>
    <n v="39565"/>
  </r>
  <r>
    <x v="9"/>
    <x v="5"/>
    <x v="3"/>
    <x v="66"/>
    <n v="220.5"/>
    <n v="1794"/>
    <n v="25"/>
    <n v="0"/>
    <n v="0"/>
    <n v="0"/>
    <n v="8.1360544217687067"/>
    <m/>
    <n v="19210.830000000002"/>
    <n v="76500"/>
    <n v="57289.17"/>
  </r>
  <r>
    <x v="9"/>
    <x v="9"/>
    <x v="4"/>
    <x v="19"/>
    <n v="39"/>
    <n v="1640"/>
    <n v="5"/>
    <n v="0"/>
    <n v="0"/>
    <n v="15"/>
    <n v="42.051282051282051"/>
    <m/>
    <n v="11935"/>
    <n v="52650"/>
    <n v="40715"/>
  </r>
  <r>
    <x v="9"/>
    <x v="10"/>
    <x v="4"/>
    <x v="67"/>
    <n v="0"/>
    <n v="0"/>
    <n v="0"/>
    <n v="0"/>
    <n v="0"/>
    <n v="0"/>
    <n v="0"/>
    <m/>
    <n v="4334.67"/>
    <n v="393205.03"/>
    <n v="388870.36000000004"/>
  </r>
  <r>
    <x v="9"/>
    <x v="6"/>
    <x v="2"/>
    <x v="20"/>
    <n v="84"/>
    <n v="862"/>
    <n v="5"/>
    <n v="0"/>
    <n v="0"/>
    <n v="8"/>
    <n v="10.261904761904763"/>
    <n v="88.501026694045166"/>
    <n v="8438.33"/>
    <n v="23100"/>
    <n v="14661.67"/>
  </r>
  <r>
    <x v="9"/>
    <x v="9"/>
    <x v="5"/>
    <x v="21"/>
    <n v="112"/>
    <n v="900"/>
    <n v="70"/>
    <n v="0"/>
    <n v="0"/>
    <n v="3"/>
    <n v="8.0357142857142865"/>
    <m/>
    <n v="2905"/>
    <n v="81200"/>
    <n v="78295"/>
  </r>
  <r>
    <x v="9"/>
    <x v="5"/>
    <x v="6"/>
    <x v="22"/>
    <n v="109.5"/>
    <n v="2407"/>
    <n v="30"/>
    <n v="60"/>
    <n v="25"/>
    <n v="0"/>
    <n v="21.981735159817351"/>
    <m/>
    <n v="30817.4"/>
    <n v="125925"/>
    <n v="95107.6"/>
  </r>
  <r>
    <x v="9"/>
    <x v="10"/>
    <x v="0"/>
    <x v="82"/>
    <n v="5"/>
    <n v="25"/>
    <n v="5"/>
    <n v="0"/>
    <n v="0"/>
    <n v="0"/>
    <n v="5"/>
    <m/>
    <n v="450"/>
    <n v="650"/>
    <n v="200"/>
  </r>
  <r>
    <x v="9"/>
    <x v="11"/>
    <x v="7"/>
    <x v="42"/>
    <n v="108"/>
    <n v="1438"/>
    <n v="5"/>
    <n v="0"/>
    <n v="10"/>
    <n v="0"/>
    <n v="13.314814814814815"/>
    <m/>
    <n v="13280"/>
    <n v="54000"/>
    <n v="40720"/>
  </r>
  <r>
    <x v="9"/>
    <x v="5"/>
    <x v="7"/>
    <x v="91"/>
    <n v="60"/>
    <n v="1195"/>
    <n v="0"/>
    <n v="0"/>
    <n v="35"/>
    <n v="0"/>
    <n v="19.916666666666668"/>
    <m/>
    <n v="15437.8"/>
    <n v="22800"/>
    <n v="7362.2000000000007"/>
  </r>
  <r>
    <x v="9"/>
    <x v="6"/>
    <x v="7"/>
    <x v="23"/>
    <n v="176.5"/>
    <n v="2094"/>
    <n v="35"/>
    <n v="0"/>
    <n v="15"/>
    <n v="5"/>
    <n v="11.864022662889518"/>
    <m/>
    <n v="64651.53"/>
    <n v="70600"/>
    <n v="5948.4700000000012"/>
  </r>
  <r>
    <x v="9"/>
    <x v="6"/>
    <x v="7"/>
    <x v="24"/>
    <n v="135"/>
    <n v="2511"/>
    <n v="0"/>
    <n v="0"/>
    <n v="80"/>
    <n v="7"/>
    <n v="18.600000000000001"/>
    <m/>
    <n v="41111.269999999997"/>
    <n v="67500"/>
    <n v="26388.730000000003"/>
  </r>
  <r>
    <x v="9"/>
    <x v="5"/>
    <x v="7"/>
    <x v="45"/>
    <n v="85"/>
    <n v="1009"/>
    <n v="4"/>
    <n v="40"/>
    <n v="20"/>
    <n v="0"/>
    <n v="11.870588235294118"/>
    <m/>
    <n v="28234.6"/>
    <n v="42500"/>
    <n v="14265.400000000001"/>
  </r>
  <r>
    <x v="9"/>
    <x v="5"/>
    <x v="8"/>
    <x v="25"/>
    <n v="158"/>
    <n v="1880"/>
    <n v="0"/>
    <n v="0"/>
    <n v="40"/>
    <n v="0"/>
    <n v="11.898734177215189"/>
    <m/>
    <n v="42513.94"/>
    <n v="66360"/>
    <n v="23846.059999999998"/>
  </r>
  <r>
    <x v="9"/>
    <x v="9"/>
    <x v="8"/>
    <x v="26"/>
    <n v="189"/>
    <n v="1776"/>
    <n v="25"/>
    <n v="0"/>
    <n v="60"/>
    <n v="4"/>
    <n v="9.3968253968253972"/>
    <m/>
    <n v="43130.64"/>
    <n v="79380"/>
    <n v="36249.360000000001"/>
  </r>
  <r>
    <x v="9"/>
    <x v="6"/>
    <x v="8"/>
    <x v="73"/>
    <n v="204"/>
    <n v="3288"/>
    <n v="4"/>
    <n v="0"/>
    <n v="10"/>
    <n v="6"/>
    <n v="16.117647058823529"/>
    <m/>
    <n v="33530"/>
    <n v="85680"/>
    <n v="52150"/>
  </r>
  <r>
    <x v="9"/>
    <x v="5"/>
    <x v="8"/>
    <x v="27"/>
    <n v="198.5"/>
    <n v="4674"/>
    <n v="10"/>
    <n v="0"/>
    <n v="55"/>
    <n v="45"/>
    <n v="23.546599496221663"/>
    <m/>
    <n v="74412.27"/>
    <n v="83370"/>
    <n v="8957.7299999999959"/>
  </r>
  <r>
    <x v="9"/>
    <x v="5"/>
    <x v="8"/>
    <x v="28"/>
    <n v="194.5"/>
    <n v="4840"/>
    <n v="10"/>
    <n v="0"/>
    <n v="20"/>
    <n v="45"/>
    <n v="24.884318766066837"/>
    <m/>
    <n v="73313.97"/>
    <n v="81690"/>
    <n v="8376.0299999999988"/>
  </r>
  <r>
    <x v="9"/>
    <x v="5"/>
    <x v="8"/>
    <x v="29"/>
    <n v="208.5"/>
    <n v="4704"/>
    <n v="45"/>
    <n v="0"/>
    <n v="40"/>
    <n v="25"/>
    <n v="22.561151079136689"/>
    <m/>
    <n v="416203.65"/>
    <n v="87570"/>
    <n v="-328633.65000000002"/>
  </r>
  <r>
    <x v="9"/>
    <x v="5"/>
    <x v="8"/>
    <x v="30"/>
    <n v="167.5"/>
    <n v="3310"/>
    <n v="35"/>
    <n v="0"/>
    <n v="25"/>
    <n v="25"/>
    <n v="19.761194029850746"/>
    <m/>
    <n v="59111.46"/>
    <n v="70350"/>
    <n v="11238.54"/>
  </r>
  <r>
    <x v="9"/>
    <x v="5"/>
    <x v="8"/>
    <x v="31"/>
    <n v="142"/>
    <n v="4882"/>
    <n v="5"/>
    <n v="0"/>
    <n v="75"/>
    <n v="20"/>
    <n v="34.380281690140848"/>
    <m/>
    <n v="73087.3"/>
    <n v="59640"/>
    <n v="-13447.300000000003"/>
  </r>
  <r>
    <x v="9"/>
    <x v="11"/>
    <x v="8"/>
    <x v="32"/>
    <n v="71"/>
    <n v="690"/>
    <n v="0"/>
    <n v="0"/>
    <n v="75"/>
    <n v="0"/>
    <n v="9.71830985915493"/>
    <m/>
    <n v="9525"/>
    <n v="15620"/>
    <n v="6095"/>
  </r>
  <r>
    <x v="9"/>
    <x v="5"/>
    <x v="8"/>
    <x v="74"/>
    <n v="166.5"/>
    <n v="3171"/>
    <n v="5"/>
    <n v="0"/>
    <n v="10"/>
    <n v="13"/>
    <n v="19.045045045045047"/>
    <m/>
    <n v="32715"/>
    <n v="69930"/>
    <n v="37215"/>
  </r>
  <r>
    <x v="9"/>
    <x v="5"/>
    <x v="8"/>
    <x v="84"/>
    <n v="35"/>
    <n v="429"/>
    <n v="0"/>
    <n v="0"/>
    <n v="0"/>
    <n v="5"/>
    <n v="12.257142857142858"/>
    <m/>
    <n v="9516.65"/>
    <n v="7700"/>
    <n v="-1816.6499999999996"/>
  </r>
  <r>
    <x v="9"/>
    <x v="6"/>
    <x v="8"/>
    <x v="75"/>
    <n v="97"/>
    <n v="1252"/>
    <n v="5"/>
    <n v="0"/>
    <n v="15"/>
    <n v="7"/>
    <n v="12.907216494845361"/>
    <m/>
    <n v="10595"/>
    <n v="26620"/>
    <n v="16025"/>
  </r>
  <r>
    <x v="9"/>
    <x v="5"/>
    <x v="8"/>
    <x v="76"/>
    <n v="166"/>
    <n v="3030"/>
    <n v="5"/>
    <n v="0"/>
    <n v="0"/>
    <n v="20"/>
    <n v="18.253012048192772"/>
    <m/>
    <n v="31200"/>
    <n v="69720"/>
    <n v="38520"/>
  </r>
  <r>
    <x v="9"/>
    <x v="5"/>
    <x v="8"/>
    <x v="77"/>
    <n v="222.5"/>
    <n v="3557"/>
    <n v="25"/>
    <n v="0"/>
    <n v="5"/>
    <n v="25"/>
    <n v="15.986516853932585"/>
    <m/>
    <n v="37620"/>
    <n v="93450"/>
    <n v="55830"/>
  </r>
  <r>
    <x v="9"/>
    <x v="5"/>
    <x v="8"/>
    <x v="78"/>
    <n v="206"/>
    <n v="2723"/>
    <n v="10"/>
    <n v="0"/>
    <n v="0"/>
    <n v="15"/>
    <n v="13.218446601941748"/>
    <m/>
    <n v="28521.65"/>
    <n v="86520"/>
    <n v="57998.35"/>
  </r>
  <r>
    <x v="9"/>
    <x v="9"/>
    <x v="9"/>
    <x v="33"/>
    <n v="252"/>
    <n v="380"/>
    <n v="15"/>
    <n v="0"/>
    <n v="0"/>
    <n v="0"/>
    <n v="1.5079365079365079"/>
    <n v="12.790306294177045"/>
    <n v="4400"/>
    <n v="16380"/>
    <n v="11980"/>
  </r>
  <r>
    <x v="9"/>
    <x v="11"/>
    <x v="9"/>
    <x v="34"/>
    <n v="144"/>
    <n v="220"/>
    <n v="0"/>
    <n v="0"/>
    <n v="0"/>
    <n v="0"/>
    <n v="1.5277777777777777"/>
    <m/>
    <n v="2200"/>
    <n v="9360"/>
    <n v="7160"/>
  </r>
  <r>
    <x v="9"/>
    <x v="6"/>
    <x v="9"/>
    <x v="35"/>
    <n v="261"/>
    <n v="480"/>
    <n v="0"/>
    <n v="0"/>
    <n v="0"/>
    <n v="0"/>
    <n v="1.8390804597701149"/>
    <m/>
    <n v="4800"/>
    <n v="16965"/>
    <n v="12165"/>
  </r>
  <r>
    <x v="9"/>
    <x v="5"/>
    <x v="9"/>
    <x v="36"/>
    <n v="125"/>
    <n v="504.93"/>
    <n v="0"/>
    <n v="0"/>
    <n v="0"/>
    <n v="0"/>
    <n v="4.0394399999999999"/>
    <n v="10.406636438582028"/>
    <n v="5049"/>
    <n v="8125"/>
    <n v="3076"/>
  </r>
  <r>
    <x v="9"/>
    <x v="5"/>
    <x v="0"/>
    <x v="85"/>
    <n v="0"/>
    <n v="0"/>
    <n v="0"/>
    <n v="0"/>
    <n v="0"/>
    <n v="0"/>
    <n v="0"/>
    <m/>
    <m/>
    <m/>
    <n v="0"/>
  </r>
  <r>
    <x v="9"/>
    <x v="11"/>
    <x v="10"/>
    <x v="38"/>
    <n v="76"/>
    <n v="455"/>
    <n v="0"/>
    <n v="0"/>
    <n v="0"/>
    <n v="0"/>
    <n v="5.9868421052631575"/>
    <m/>
    <n v="4550"/>
    <n v="13680"/>
    <n v="9130"/>
  </r>
  <r>
    <x v="9"/>
    <x v="6"/>
    <x v="10"/>
    <x v="39"/>
    <n v="52"/>
    <n v="623"/>
    <n v="20"/>
    <n v="0"/>
    <n v="20"/>
    <n v="6"/>
    <n v="11.98076923076923"/>
    <m/>
    <n v="7530"/>
    <n v="8370"/>
    <n v="840"/>
  </r>
  <r>
    <x v="9"/>
    <x v="15"/>
    <x v="10"/>
    <x v="43"/>
    <n v="0"/>
    <n v="0"/>
    <n v="0"/>
    <n v="0"/>
    <n v="0"/>
    <n v="0"/>
    <n v="0"/>
    <m/>
    <n v="1275"/>
    <n v="21600"/>
    <n v="20325"/>
  </r>
  <r>
    <x v="9"/>
    <x v="5"/>
    <x v="11"/>
    <x v="40"/>
    <n v="150"/>
    <n v="315"/>
    <n v="15"/>
    <n v="0"/>
    <n v="0"/>
    <n v="0"/>
    <n v="2.1"/>
    <m/>
    <n v="3941.66"/>
    <n v="9750"/>
    <n v="5808.34"/>
  </r>
  <r>
    <x v="9"/>
    <x v="5"/>
    <x v="11"/>
    <x v="44"/>
    <n v="150"/>
    <n v="89"/>
    <n v="6"/>
    <n v="0"/>
    <n v="0"/>
    <n v="0"/>
    <n v="0.59333333333333338"/>
    <m/>
    <n v="1396.66"/>
    <n v="9750"/>
    <n v="8353.34"/>
  </r>
  <r>
    <x v="9"/>
    <x v="6"/>
    <x v="11"/>
    <x v="98"/>
    <n v="198"/>
    <n v="289"/>
    <n v="25"/>
    <n v="0"/>
    <n v="0"/>
    <n v="0"/>
    <n v="1.4595959595959596"/>
    <m/>
    <n v="2890"/>
    <n v="11700"/>
    <n v="8810"/>
  </r>
  <r>
    <x v="9"/>
    <x v="5"/>
    <x v="12"/>
    <x v="53"/>
    <n v="0"/>
    <n v="87"/>
    <n v="0"/>
    <n v="0"/>
    <n v="0"/>
    <n v="0"/>
    <n v="0"/>
    <m/>
    <n v="870"/>
    <n v="9600"/>
    <n v="8730"/>
  </r>
  <r>
    <x v="9"/>
    <x v="16"/>
    <x v="12"/>
    <x v="54"/>
    <n v="0"/>
    <n v="0"/>
    <n v="0"/>
    <n v="0"/>
    <n v="0"/>
    <n v="0"/>
    <n v="0"/>
    <m/>
    <n v="7889.68"/>
    <n v="9600"/>
    <n v="1710.3199999999997"/>
  </r>
  <r>
    <x v="9"/>
    <x v="11"/>
    <x v="12"/>
    <x v="80"/>
    <n v="0"/>
    <n v="36"/>
    <n v="0"/>
    <n v="0"/>
    <n v="0"/>
    <n v="0"/>
    <n v="0"/>
    <m/>
    <n v="16937.32"/>
    <n v="9600"/>
    <n v="-7337.32"/>
  </r>
  <r>
    <x v="9"/>
    <x v="11"/>
    <x v="12"/>
    <x v="55"/>
    <n v="180"/>
    <n v="139"/>
    <n v="0"/>
    <n v="0"/>
    <n v="0"/>
    <n v="0"/>
    <n v="0.77222222222222225"/>
    <n v="7.808988764044944"/>
    <n v="4291.82"/>
    <n v="6000"/>
    <n v="1708.1800000000003"/>
  </r>
  <r>
    <x v="9"/>
    <x v="16"/>
    <x v="12"/>
    <x v="92"/>
    <n v="0"/>
    <n v="0"/>
    <n v="0"/>
    <n v="0"/>
    <n v="0"/>
    <n v="0"/>
    <n v="0"/>
    <m/>
    <m/>
    <n v="7200"/>
    <n v="7200"/>
  </r>
  <r>
    <x v="9"/>
    <x v="6"/>
    <x v="12"/>
    <x v="56"/>
    <n v="185"/>
    <n v="278"/>
    <n v="0"/>
    <n v="0"/>
    <n v="0"/>
    <n v="0"/>
    <n v="1.5027027027027027"/>
    <n v="5.3328217916746592"/>
    <n v="3394.26"/>
    <n v="7362"/>
    <n v="3967.74"/>
  </r>
  <r>
    <x v="9"/>
    <x v="5"/>
    <x v="12"/>
    <x v="57"/>
    <n v="0"/>
    <n v="325"/>
    <n v="0"/>
    <n v="0"/>
    <n v="0"/>
    <n v="0"/>
    <n v="0"/>
    <n v="6.9862424763542572"/>
    <n v="3280.93"/>
    <n v="7800"/>
    <n v="4519.07"/>
  </r>
  <r>
    <x v="9"/>
    <x v="6"/>
    <x v="12"/>
    <x v="58"/>
    <n v="189"/>
    <n v="343"/>
    <n v="0"/>
    <n v="0"/>
    <n v="0"/>
    <n v="0"/>
    <n v="1.8148148148148149"/>
    <m/>
    <n v="3430"/>
    <n v="7800"/>
    <n v="4370"/>
  </r>
  <r>
    <x v="9"/>
    <x v="5"/>
    <x v="12"/>
    <x v="59"/>
    <n v="0"/>
    <n v="127"/>
    <n v="0"/>
    <n v="0"/>
    <n v="0"/>
    <n v="0"/>
    <n v="0"/>
    <m/>
    <n v="2398.3200000000002"/>
    <n v="7500"/>
    <n v="5101.68"/>
  </r>
  <r>
    <x v="9"/>
    <x v="10"/>
    <x v="12"/>
    <x v="60"/>
    <n v="184"/>
    <n v="144.97999999999999"/>
    <n v="0"/>
    <n v="0"/>
    <n v="0"/>
    <n v="0"/>
    <n v="0.78793478260869565"/>
    <m/>
    <n v="1450"/>
    <n v="6072"/>
    <n v="4622"/>
  </r>
  <r>
    <x v="9"/>
    <x v="6"/>
    <x v="12"/>
    <x v="61"/>
    <n v="100"/>
    <n v="188"/>
    <n v="0"/>
    <n v="0"/>
    <n v="0"/>
    <n v="0"/>
    <n v="1.88"/>
    <m/>
    <n v="1090"/>
    <n v="3300"/>
    <n v="2210"/>
  </r>
  <r>
    <x v="9"/>
    <x v="5"/>
    <x v="12"/>
    <x v="62"/>
    <n v="204"/>
    <n v="245"/>
    <n v="0"/>
    <n v="0"/>
    <n v="0"/>
    <n v="0"/>
    <n v="1.2009803921568627"/>
    <n v="6.0196560196560194"/>
    <n v="2100"/>
    <n v="6749.4"/>
    <n v="4649.3999999999996"/>
  </r>
  <r>
    <x v="9"/>
    <x v="5"/>
    <x v="12"/>
    <x v="63"/>
    <n v="184"/>
    <n v="159.53"/>
    <n v="0"/>
    <n v="0"/>
    <n v="0"/>
    <n v="0"/>
    <n v="0.86701086956521745"/>
    <n v="8.004515805318615"/>
    <n v="1781.66"/>
    <n v="7800"/>
    <n v="6018.34"/>
  </r>
  <r>
    <x v="9"/>
    <x v="5"/>
    <x v="12"/>
    <x v="64"/>
    <n v="118"/>
    <n v="159"/>
    <n v="0"/>
    <n v="0"/>
    <n v="0"/>
    <n v="0"/>
    <n v="1.347457627118644"/>
    <n v="5.6785714285714288"/>
    <n v="4491.82"/>
    <n v="11694"/>
    <n v="7202.18"/>
  </r>
  <r>
    <x v="9"/>
    <x v="6"/>
    <x v="12"/>
    <x v="65"/>
    <n v="154"/>
    <n v="251"/>
    <n v="0"/>
    <n v="0"/>
    <n v="0"/>
    <n v="0"/>
    <n v="1.6298701298701299"/>
    <n v="7.0525428491149205"/>
    <n v="5981.82"/>
    <n v="5196"/>
    <n v="-785.81999999999971"/>
  </r>
  <r>
    <x v="9"/>
    <x v="5"/>
    <x v="12"/>
    <x v="86"/>
    <n v="0"/>
    <n v="210"/>
    <n v="0"/>
    <n v="0"/>
    <n v="0"/>
    <n v="0"/>
    <n v="0"/>
    <m/>
    <n v="2383.33"/>
    <n v="7800"/>
    <n v="5416.67"/>
  </r>
  <r>
    <x v="9"/>
    <x v="11"/>
    <x v="12"/>
    <x v="97"/>
    <n v="0"/>
    <n v="247"/>
    <n v="0"/>
    <n v="0"/>
    <n v="0"/>
    <n v="0"/>
    <n v="0"/>
    <n v="5.6560567895580487"/>
    <n v="2860"/>
    <n v="7800"/>
    <n v="4940"/>
  </r>
  <r>
    <x v="9"/>
    <x v="16"/>
    <x v="12"/>
    <x v="99"/>
    <n v="0"/>
    <n v="0"/>
    <n v="0"/>
    <n v="0"/>
    <n v="0"/>
    <n v="0"/>
    <n v="0"/>
    <m/>
    <m/>
    <n v="7200"/>
    <n v="7200"/>
  </r>
  <r>
    <x v="9"/>
    <x v="17"/>
    <x v="13"/>
    <x v="100"/>
    <n v="0"/>
    <n v="0"/>
    <n v="0"/>
    <n v="0"/>
    <n v="0"/>
    <n v="0"/>
    <n v="0"/>
    <m/>
    <n v="1295.06"/>
    <n v="1867.71"/>
    <n v="572.650000000000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7B3486-0929-4537-B522-D9E911D7232D}" name="Tableau croisé dynamique1" cacheId="1" applyNumberFormats="0" applyBorderFormats="0" applyFontFormats="0" applyPatternFormats="0" applyAlignmentFormats="0" applyWidthHeightFormats="1" dataCaption="Valeurs" updatedVersion="6" minRefreshableVersion="5" useAutoFormatting="1" itemPrintTitles="1" createdVersion="6" indent="0" outline="1" outlineData="1" multipleFieldFilters="0" chartFormat="3">
  <location ref="A3:C105" firstHeaderRow="0" firstDataRow="1" firstDataCol="1"/>
  <pivotFields count="16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20">
        <item x="16"/>
        <item x="12"/>
        <item m="1" x="18"/>
        <item x="0"/>
        <item x="3"/>
        <item x="1"/>
        <item x="4"/>
        <item x="6"/>
        <item x="5"/>
        <item x="11"/>
        <item x="13"/>
        <item x="14"/>
        <item x="2"/>
        <item x="7"/>
        <item x="9"/>
        <item x="10"/>
        <item x="15"/>
        <item x="17"/>
        <item x="8"/>
        <item t="default"/>
      </items>
    </pivotField>
    <pivotField showAll="0">
      <items count="17">
        <item m="1" x="14"/>
        <item x="0"/>
        <item x="6"/>
        <item x="2"/>
        <item x="3"/>
        <item x="1"/>
        <item x="4"/>
        <item x="5"/>
        <item x="7"/>
        <item x="8"/>
        <item x="9"/>
        <item m="1" x="15"/>
        <item x="10"/>
        <item x="11"/>
        <item x="12"/>
        <item x="13"/>
        <item t="default"/>
      </items>
    </pivotField>
    <pivotField axis="axisRow" showAll="0" sortType="ascending">
      <items count="110">
        <item x="0"/>
        <item x="93"/>
        <item x="94"/>
        <item x="1"/>
        <item x="2"/>
        <item x="3"/>
        <item x="4"/>
        <item x="87"/>
        <item x="95"/>
        <item x="5"/>
        <item x="6"/>
        <item x="7"/>
        <item x="8"/>
        <item x="9"/>
        <item x="10"/>
        <item x="11"/>
        <item x="12"/>
        <item x="13"/>
        <item x="14"/>
        <item x="15"/>
        <item x="81"/>
        <item x="88"/>
        <item x="89"/>
        <item x="90"/>
        <item x="16"/>
        <item x="96"/>
        <item x="17"/>
        <item x="18"/>
        <item x="41"/>
        <item x="66"/>
        <item m="1" x="103"/>
        <item x="19"/>
        <item x="67"/>
        <item m="1" x="105"/>
        <item m="1" x="101"/>
        <item x="20"/>
        <item x="21"/>
        <item x="22"/>
        <item x="82"/>
        <item m="1" x="108"/>
        <item x="42"/>
        <item x="91"/>
        <item x="23"/>
        <item x="24"/>
        <item x="45"/>
        <item m="1" x="104"/>
        <item m="1" x="102"/>
        <item x="46"/>
        <item x="68"/>
        <item x="47"/>
        <item x="48"/>
        <item x="69"/>
        <item x="49"/>
        <item x="50"/>
        <item x="51"/>
        <item x="52"/>
        <item x="70"/>
        <item x="71"/>
        <item x="83"/>
        <item x="72"/>
        <item x="25"/>
        <item x="26"/>
        <item x="73"/>
        <item x="27"/>
        <item x="28"/>
        <item x="29"/>
        <item x="30"/>
        <item x="31"/>
        <item x="32"/>
        <item x="74"/>
        <item x="84"/>
        <item x="75"/>
        <item x="76"/>
        <item x="77"/>
        <item x="78"/>
        <item x="79"/>
        <item x="33"/>
        <item x="34"/>
        <item x="35"/>
        <item x="36"/>
        <item x="37"/>
        <item x="85"/>
        <item x="38"/>
        <item x="39"/>
        <item x="43"/>
        <item x="40"/>
        <item x="44"/>
        <item x="98"/>
        <item x="53"/>
        <item m="1" x="107"/>
        <item m="1" x="106"/>
        <item x="54"/>
        <item x="80"/>
        <item x="55"/>
        <item x="92"/>
        <item x="56"/>
        <item x="57"/>
        <item x="58"/>
        <item x="59"/>
        <item x="60"/>
        <item x="61"/>
        <item x="62"/>
        <item x="63"/>
        <item x="64"/>
        <item x="65"/>
        <item x="86"/>
        <item x="97"/>
        <item x="99"/>
        <item x="10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3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1"/>
    </i>
    <i>
      <x v="32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Fields count="1">
    <field x="-2"/>
  </colFields>
  <colItems count="2">
    <i>
      <x/>
    </i>
    <i i="1">
      <x v="1"/>
    </i>
  </colItems>
  <dataFields count="2">
    <dataField name="Moyenne de Cons Gasoil /100 km" fld="11" subtotal="average" baseField="12" baseItem="1" numFmtId="165"/>
    <dataField name="Moyenne de Cons Gasoil/H" fld="10" subtotal="average" baseField="0" baseItem="0" numFmtId="165"/>
  </dataField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6B88E3-DD02-455A-93D5-ECAA606CBAFD}" name="Tableau croisé dynamique7" cacheId="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AN3:AO14" firstHeaderRow="1" firstDataRow="1" firstDataCol="1"/>
  <pivotFields count="16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20">
        <item x="16"/>
        <item x="12"/>
        <item m="1" x="18"/>
        <item x="0"/>
        <item x="3"/>
        <item x="1"/>
        <item x="4"/>
        <item x="6"/>
        <item x="5"/>
        <item x="11"/>
        <item x="13"/>
        <item x="14"/>
        <item x="2"/>
        <item x="7"/>
        <item x="9"/>
        <item x="10"/>
        <item x="15"/>
        <item x="17"/>
        <item x="8"/>
        <item t="default"/>
      </items>
    </pivotField>
    <pivotField showAll="0">
      <items count="17">
        <item m="1" x="14"/>
        <item x="0"/>
        <item x="6"/>
        <item x="2"/>
        <item x="3"/>
        <item x="1"/>
        <item x="4"/>
        <item x="5"/>
        <item x="7"/>
        <item x="8"/>
        <item x="9"/>
        <item m="1" x="15"/>
        <item x="10"/>
        <item x="11"/>
        <item x="12"/>
        <item x="13"/>
        <item t="default"/>
      </items>
    </pivotField>
    <pivotField showAll="0">
      <items count="110">
        <item x="0"/>
        <item x="93"/>
        <item x="94"/>
        <item x="1"/>
        <item x="2"/>
        <item x="3"/>
        <item x="4"/>
        <item x="87"/>
        <item x="95"/>
        <item x="5"/>
        <item x="6"/>
        <item x="7"/>
        <item x="8"/>
        <item x="9"/>
        <item x="10"/>
        <item x="11"/>
        <item x="12"/>
        <item x="13"/>
        <item x="14"/>
        <item x="15"/>
        <item x="81"/>
        <item x="88"/>
        <item x="89"/>
        <item x="90"/>
        <item x="16"/>
        <item x="96"/>
        <item x="17"/>
        <item x="18"/>
        <item x="41"/>
        <item x="66"/>
        <item m="1" x="103"/>
        <item x="19"/>
        <item x="67"/>
        <item m="1" x="105"/>
        <item m="1" x="101"/>
        <item x="20"/>
        <item x="21"/>
        <item x="22"/>
        <item x="82"/>
        <item m="1" x="108"/>
        <item x="42"/>
        <item x="91"/>
        <item x="23"/>
        <item x="24"/>
        <item x="45"/>
        <item m="1" x="104"/>
        <item m="1" x="102"/>
        <item x="46"/>
        <item x="68"/>
        <item x="47"/>
        <item x="48"/>
        <item x="69"/>
        <item x="49"/>
        <item x="50"/>
        <item x="51"/>
        <item x="52"/>
        <item x="70"/>
        <item x="71"/>
        <item x="83"/>
        <item x="72"/>
        <item x="25"/>
        <item x="26"/>
        <item x="73"/>
        <item x="27"/>
        <item x="28"/>
        <item x="29"/>
        <item x="30"/>
        <item x="31"/>
        <item x="32"/>
        <item x="74"/>
        <item x="84"/>
        <item x="75"/>
        <item x="76"/>
        <item x="77"/>
        <item x="78"/>
        <item x="79"/>
        <item x="33"/>
        <item x="34"/>
        <item x="35"/>
        <item x="36"/>
        <item x="37"/>
        <item x="85"/>
        <item x="38"/>
        <item x="39"/>
        <item x="43"/>
        <item x="40"/>
        <item x="44"/>
        <item x="98"/>
        <item x="53"/>
        <item m="1" x="107"/>
        <item m="1" x="106"/>
        <item x="54"/>
        <item x="80"/>
        <item x="55"/>
        <item x="92"/>
        <item x="56"/>
        <item x="57"/>
        <item x="58"/>
        <item x="59"/>
        <item x="60"/>
        <item x="61"/>
        <item x="62"/>
        <item x="63"/>
        <item x="64"/>
        <item x="65"/>
        <item x="86"/>
        <item x="97"/>
        <item x="99"/>
        <item x="10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5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me de Marge" fld="14" baseField="0" baseItem="0" numFmtId="165"/>
  </dataFields>
  <chartFormats count="1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5" count="1" selected="0">
            <x v="6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5" count="1" selected="0">
            <x v="7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5" count="1" selected="0">
            <x v="8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5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6D37D4-DF07-4DC5-B3BF-27705BA6B0A6}" name="Tableau croisé dynamique6" cacheId="1" applyNumberFormats="0" applyBorderFormats="0" applyFontFormats="0" applyPatternFormats="0" applyAlignmentFormats="0" applyWidthHeightFormats="1" dataCaption="Valeurs" updatedVersion="6" minRefreshableVersion="5" useAutoFormatting="1" itemPrintTitles="1" createdVersion="6" indent="0" outline="1" outlineData="1" multipleFieldFilters="0" chartFormat="3">
  <location ref="AH3:AI105" firstHeaderRow="1" firstDataRow="1" firstDataCol="1"/>
  <pivotFields count="16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20">
        <item x="16"/>
        <item x="12"/>
        <item m="1" x="18"/>
        <item x="0"/>
        <item x="3"/>
        <item x="1"/>
        <item x="4"/>
        <item x="6"/>
        <item x="5"/>
        <item x="11"/>
        <item x="13"/>
        <item x="14"/>
        <item x="2"/>
        <item x="7"/>
        <item x="9"/>
        <item x="10"/>
        <item x="15"/>
        <item x="17"/>
        <item x="8"/>
        <item t="default"/>
      </items>
    </pivotField>
    <pivotField showAll="0">
      <items count="17">
        <item m="1" x="14"/>
        <item x="0"/>
        <item x="6"/>
        <item x="2"/>
        <item x="3"/>
        <item x="1"/>
        <item x="4"/>
        <item x="5"/>
        <item x="7"/>
        <item x="8"/>
        <item x="9"/>
        <item m="1" x="15"/>
        <item x="10"/>
        <item x="11"/>
        <item x="12"/>
        <item x="13"/>
        <item t="default"/>
      </items>
    </pivotField>
    <pivotField axis="axisRow" showAll="0">
      <items count="110">
        <item x="0"/>
        <item x="9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81"/>
        <item x="16"/>
        <item x="96"/>
        <item x="17"/>
        <item x="18"/>
        <item x="41"/>
        <item x="66"/>
        <item x="19"/>
        <item x="67"/>
        <item x="20"/>
        <item x="21"/>
        <item x="22"/>
        <item x="82"/>
        <item m="1" x="108"/>
        <item x="42"/>
        <item x="91"/>
        <item x="23"/>
        <item x="24"/>
        <item x="45"/>
        <item x="46"/>
        <item x="68"/>
        <item x="47"/>
        <item x="48"/>
        <item x="69"/>
        <item x="49"/>
        <item x="50"/>
        <item x="51"/>
        <item x="52"/>
        <item x="70"/>
        <item x="71"/>
        <item x="83"/>
        <item x="72"/>
        <item x="25"/>
        <item x="26"/>
        <item x="73"/>
        <item x="27"/>
        <item x="28"/>
        <item x="29"/>
        <item x="30"/>
        <item x="31"/>
        <item x="32"/>
        <item x="74"/>
        <item x="84"/>
        <item x="75"/>
        <item x="76"/>
        <item x="77"/>
        <item x="78"/>
        <item x="79"/>
        <item x="33"/>
        <item x="34"/>
        <item x="35"/>
        <item x="36"/>
        <item x="37"/>
        <item x="85"/>
        <item x="38"/>
        <item x="39"/>
        <item x="43"/>
        <item x="40"/>
        <item x="44"/>
        <item x="53"/>
        <item m="1" x="107"/>
        <item m="1" x="106"/>
        <item x="54"/>
        <item x="80"/>
        <item x="55"/>
        <item x="56"/>
        <item x="57"/>
        <item x="58"/>
        <item x="59"/>
        <item x="60"/>
        <item x="61"/>
        <item x="62"/>
        <item x="63"/>
        <item x="64"/>
        <item x="65"/>
        <item x="86"/>
        <item x="100"/>
        <item x="89"/>
        <item x="88"/>
        <item x="87"/>
        <item x="90"/>
        <item x="92"/>
        <item x="94"/>
        <item x="95"/>
        <item m="1" x="103"/>
        <item m="1" x="101"/>
        <item x="97"/>
        <item m="1" x="102"/>
        <item m="1" x="104"/>
        <item m="1" x="105"/>
        <item x="98"/>
        <item x="99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3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3"/>
    </i>
    <i>
      <x v="107"/>
    </i>
    <i>
      <x v="108"/>
    </i>
    <i t="grand">
      <x/>
    </i>
  </rowItems>
  <colItems count="1">
    <i/>
  </colItems>
  <dataFields count="1">
    <dataField name="Somme de Quantité (H)" fld="4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67FD99-B894-4314-A029-548799825FD5}" name="Tableau croisé dynamique5" cacheId="1" applyNumberFormats="0" applyBorderFormats="0" applyFontFormats="0" applyPatternFormats="0" applyAlignmentFormats="0" applyWidthHeightFormats="1" dataCaption="Valeurs" updatedVersion="6" minRefreshableVersion="5" useAutoFormatting="1" itemPrintTitles="1" createdVersion="6" indent="0" outline="1" outlineData="1" multipleFieldFilters="0">
  <location ref="T3:AC105" firstHeaderRow="0" firstDataRow="1" firstDataCol="1"/>
  <pivotFields count="16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20">
        <item x="16"/>
        <item x="12"/>
        <item m="1" x="18"/>
        <item x="0"/>
        <item x="3"/>
        <item x="1"/>
        <item x="4"/>
        <item x="6"/>
        <item x="5"/>
        <item x="11"/>
        <item x="13"/>
        <item x="14"/>
        <item x="2"/>
        <item x="7"/>
        <item x="9"/>
        <item x="10"/>
        <item x="15"/>
        <item x="17"/>
        <item x="8"/>
        <item t="default"/>
      </items>
    </pivotField>
    <pivotField showAll="0">
      <items count="17">
        <item m="1" x="14"/>
        <item x="0"/>
        <item x="6"/>
        <item x="2"/>
        <item x="3"/>
        <item x="1"/>
        <item x="4"/>
        <item x="5"/>
        <item x="7"/>
        <item x="8"/>
        <item x="9"/>
        <item m="1" x="15"/>
        <item x="10"/>
        <item x="11"/>
        <item x="12"/>
        <item x="13"/>
        <item t="default"/>
      </items>
    </pivotField>
    <pivotField axis="axisRow" showAll="0" sortType="ascending">
      <items count="110">
        <item x="0"/>
        <item x="93"/>
        <item x="94"/>
        <item x="1"/>
        <item x="2"/>
        <item x="3"/>
        <item x="4"/>
        <item x="87"/>
        <item x="95"/>
        <item x="5"/>
        <item x="6"/>
        <item x="7"/>
        <item x="8"/>
        <item x="9"/>
        <item x="10"/>
        <item x="11"/>
        <item x="12"/>
        <item x="13"/>
        <item x="14"/>
        <item x="15"/>
        <item x="81"/>
        <item x="88"/>
        <item x="89"/>
        <item x="90"/>
        <item x="16"/>
        <item x="96"/>
        <item x="17"/>
        <item x="18"/>
        <item x="41"/>
        <item x="66"/>
        <item m="1" x="103"/>
        <item x="19"/>
        <item x="67"/>
        <item m="1" x="105"/>
        <item m="1" x="101"/>
        <item x="20"/>
        <item x="21"/>
        <item x="22"/>
        <item x="82"/>
        <item m="1" x="108"/>
        <item x="42"/>
        <item x="91"/>
        <item x="23"/>
        <item x="24"/>
        <item x="45"/>
        <item m="1" x="104"/>
        <item m="1" x="102"/>
        <item x="46"/>
        <item x="68"/>
        <item x="47"/>
        <item x="48"/>
        <item x="69"/>
        <item x="49"/>
        <item x="50"/>
        <item x="51"/>
        <item x="52"/>
        <item x="70"/>
        <item x="71"/>
        <item x="83"/>
        <item x="72"/>
        <item x="25"/>
        <item x="26"/>
        <item x="73"/>
        <item x="27"/>
        <item x="28"/>
        <item x="29"/>
        <item x="30"/>
        <item x="31"/>
        <item x="32"/>
        <item x="74"/>
        <item x="84"/>
        <item x="75"/>
        <item x="76"/>
        <item x="77"/>
        <item x="78"/>
        <item x="79"/>
        <item x="33"/>
        <item x="34"/>
        <item x="35"/>
        <item x="36"/>
        <item x="37"/>
        <item x="85"/>
        <item x="38"/>
        <item x="39"/>
        <item x="43"/>
        <item x="40"/>
        <item x="44"/>
        <item x="98"/>
        <item x="53"/>
        <item m="1" x="107"/>
        <item m="1" x="106"/>
        <item x="54"/>
        <item x="80"/>
        <item x="55"/>
        <item x="92"/>
        <item x="56"/>
        <item x="57"/>
        <item x="58"/>
        <item x="59"/>
        <item x="60"/>
        <item x="61"/>
        <item x="62"/>
        <item x="63"/>
        <item x="64"/>
        <item x="65"/>
        <item x="86"/>
        <item x="97"/>
        <item x="99"/>
        <item x="10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 defaultSubtotal="0"/>
  </pivotFields>
  <rowFields count="1">
    <field x="3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1"/>
    </i>
    <i>
      <x v="32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omme de Quantité (H)" fld="4" baseField="0" baseItem="0"/>
    <dataField name="Somme de Gasoil (L)" fld="5" baseField="0" baseItem="0"/>
    <dataField name="Somme de Huile 15/40(L)" fld="6" baseField="0" baseItem="0"/>
    <dataField name="Somme de Huile 90 (L)" fld="7" baseField="0" baseItem="0"/>
    <dataField name="Somme de Huile 10 (L)" fld="8" baseField="0" baseItem="0"/>
    <dataField name="Somme de Graisse (kg)" fld="9" baseField="0" baseItem="0"/>
    <dataField name="Somme de Marge" fld="14" baseField="0" baseItem="0" numFmtId="165"/>
    <dataField name="Somme de  les Charges" fld="12" baseField="0" baseItem="0"/>
    <dataField name="Somme de Productivité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C41F51-8AF7-4FF0-A28A-AA4698541E02}" name="Tableau croisé dynamique3" cacheId="1" applyNumberFormats="0" applyBorderFormats="0" applyFontFormats="0" applyPatternFormats="0" applyAlignmentFormats="0" applyWidthHeightFormats="1" dataCaption="Valeurs" updatedVersion="6" minRefreshableVersion="5" useAutoFormatting="1" itemPrintTitles="1" createdVersion="6" indent="0" outline="1" outlineData="1" multipleFieldFilters="0" chartFormat="3">
  <location ref="N3:O5" firstHeaderRow="1" firstDataRow="1" firstDataCol="1"/>
  <pivotFields count="16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20">
        <item x="16"/>
        <item x="12"/>
        <item m="1" x="18"/>
        <item x="0"/>
        <item x="3"/>
        <item x="1"/>
        <item x="4"/>
        <item x="6"/>
        <item x="5"/>
        <item x="11"/>
        <item x="13"/>
        <item x="14"/>
        <item x="2"/>
        <item x="7"/>
        <item x="9"/>
        <item x="10"/>
        <item x="15"/>
        <item x="17"/>
        <item x="8"/>
        <item t="default"/>
      </items>
    </pivotField>
    <pivotField showAll="0">
      <items count="17">
        <item m="1" x="14"/>
        <item x="0"/>
        <item x="6"/>
        <item x="2"/>
        <item x="3"/>
        <item x="1"/>
        <item x="4"/>
        <item x="5"/>
        <item x="7"/>
        <item x="8"/>
        <item x="9"/>
        <item m="1" x="15"/>
        <item x="10"/>
        <item x="11"/>
        <item x="12"/>
        <item x="13"/>
        <item t="default"/>
      </items>
    </pivotField>
    <pivotField showAll="0">
      <items count="110">
        <item x="0"/>
        <item x="93"/>
        <item x="94"/>
        <item x="1"/>
        <item x="2"/>
        <item x="3"/>
        <item x="4"/>
        <item x="87"/>
        <item x="95"/>
        <item x="5"/>
        <item x="6"/>
        <item x="7"/>
        <item x="8"/>
        <item x="9"/>
        <item x="10"/>
        <item x="11"/>
        <item x="12"/>
        <item x="13"/>
        <item x="14"/>
        <item x="15"/>
        <item x="81"/>
        <item x="88"/>
        <item x="89"/>
        <item x="90"/>
        <item x="16"/>
        <item x="96"/>
        <item x="17"/>
        <item x="18"/>
        <item x="41"/>
        <item x="66"/>
        <item m="1" x="103"/>
        <item x="19"/>
        <item x="67"/>
        <item m="1" x="105"/>
        <item m="1" x="101"/>
        <item x="20"/>
        <item x="21"/>
        <item x="22"/>
        <item x="82"/>
        <item m="1" x="108"/>
        <item x="42"/>
        <item x="91"/>
        <item x="23"/>
        <item x="24"/>
        <item x="45"/>
        <item m="1" x="104"/>
        <item m="1" x="102"/>
        <item x="46"/>
        <item x="68"/>
        <item x="47"/>
        <item x="48"/>
        <item x="69"/>
        <item x="49"/>
        <item x="50"/>
        <item x="51"/>
        <item x="52"/>
        <item x="70"/>
        <item x="71"/>
        <item x="83"/>
        <item x="72"/>
        <item x="25"/>
        <item x="26"/>
        <item x="73"/>
        <item x="27"/>
        <item x="28"/>
        <item x="29"/>
        <item x="30"/>
        <item x="31"/>
        <item x="32"/>
        <item x="74"/>
        <item x="84"/>
        <item x="75"/>
        <item x="76"/>
        <item x="77"/>
        <item x="78"/>
        <item x="79"/>
        <item x="33"/>
        <item x="34"/>
        <item x="35"/>
        <item x="36"/>
        <item x="37"/>
        <item x="85"/>
        <item x="38"/>
        <item x="39"/>
        <item x="43"/>
        <item x="40"/>
        <item x="44"/>
        <item x="98"/>
        <item x="53"/>
        <item m="1" x="107"/>
        <item m="1" x="106"/>
        <item x="54"/>
        <item x="80"/>
        <item x="55"/>
        <item x="92"/>
        <item x="56"/>
        <item x="57"/>
        <item x="58"/>
        <item x="59"/>
        <item x="60"/>
        <item x="61"/>
        <item x="62"/>
        <item x="63"/>
        <item x="64"/>
        <item x="65"/>
        <item x="86"/>
        <item x="97"/>
        <item x="99"/>
        <item x="10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5"/>
  </rowFields>
  <rowItems count="2">
    <i>
      <x v="5"/>
    </i>
    <i t="grand">
      <x/>
    </i>
  </rowItems>
  <colItems count="1">
    <i/>
  </colItems>
  <dataFields count="1">
    <dataField name="Somme de Marge" fld="14" baseField="0" baseItem="0" numFmtId="165"/>
  </dataFields>
  <pivotTableStyleInfo name="PivotStyleLight16" showRowHeaders="1" showColHeaders="1" showRowStripes="0" showColStripes="0" showLastColumn="1"/>
  <filters count="1">
    <filter fld="0" type="dateBetween" evalOrder="-1" id="378" name="Date">
      <autoFilter ref="A1">
        <filterColumn colId="0">
          <customFilters and="1">
            <customFilter operator="greaterThanOrEqual" val="44317"/>
            <customFilter operator="lessThanOrEqual" val="443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FAC913-60FB-4C26-B0DD-3543CDFE2EEB}" name="Tableau croisé dynamique2" cacheId="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G3:I14" firstHeaderRow="0" firstDataRow="1" firstDataCol="1"/>
  <pivotFields count="16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20">
        <item x="16"/>
        <item x="12"/>
        <item m="1" x="18"/>
        <item x="0"/>
        <item x="3"/>
        <item x="1"/>
        <item x="4"/>
        <item x="6"/>
        <item x="5"/>
        <item x="11"/>
        <item x="13"/>
        <item x="14"/>
        <item x="2"/>
        <item x="7"/>
        <item x="9"/>
        <item x="10"/>
        <item x="15"/>
        <item x="17"/>
        <item x="8"/>
        <item t="default"/>
      </items>
    </pivotField>
    <pivotField showAll="0">
      <items count="17">
        <item m="1" x="14"/>
        <item x="0"/>
        <item x="6"/>
        <item x="2"/>
        <item x="3"/>
        <item x="1"/>
        <item x="4"/>
        <item x="5"/>
        <item x="7"/>
        <item x="8"/>
        <item x="9"/>
        <item m="1" x="15"/>
        <item x="10"/>
        <item x="11"/>
        <item x="12"/>
        <item x="13"/>
        <item t="default"/>
      </items>
    </pivotField>
    <pivotField showAll="0">
      <items count="110">
        <item x="0"/>
        <item x="93"/>
        <item x="94"/>
        <item x="1"/>
        <item x="2"/>
        <item x="3"/>
        <item x="4"/>
        <item x="87"/>
        <item x="95"/>
        <item x="5"/>
        <item x="6"/>
        <item x="7"/>
        <item x="8"/>
        <item x="9"/>
        <item x="10"/>
        <item x="11"/>
        <item x="12"/>
        <item x="13"/>
        <item x="14"/>
        <item x="15"/>
        <item x="81"/>
        <item x="88"/>
        <item x="89"/>
        <item x="90"/>
        <item x="16"/>
        <item x="96"/>
        <item x="17"/>
        <item x="18"/>
        <item x="41"/>
        <item x="66"/>
        <item m="1" x="103"/>
        <item x="19"/>
        <item x="67"/>
        <item m="1" x="105"/>
        <item m="1" x="101"/>
        <item x="20"/>
        <item x="21"/>
        <item x="22"/>
        <item x="82"/>
        <item m="1" x="108"/>
        <item x="42"/>
        <item x="91"/>
        <item x="23"/>
        <item x="24"/>
        <item x="45"/>
        <item m="1" x="104"/>
        <item m="1" x="102"/>
        <item x="46"/>
        <item x="68"/>
        <item x="47"/>
        <item x="48"/>
        <item x="69"/>
        <item x="49"/>
        <item x="50"/>
        <item x="51"/>
        <item x="52"/>
        <item x="70"/>
        <item x="71"/>
        <item x="83"/>
        <item x="72"/>
        <item x="25"/>
        <item x="26"/>
        <item x="73"/>
        <item x="27"/>
        <item x="28"/>
        <item x="29"/>
        <item x="30"/>
        <item x="31"/>
        <item x="32"/>
        <item x="74"/>
        <item x="84"/>
        <item x="75"/>
        <item x="76"/>
        <item x="77"/>
        <item x="78"/>
        <item x="79"/>
        <item x="33"/>
        <item x="34"/>
        <item x="35"/>
        <item x="36"/>
        <item x="37"/>
        <item x="85"/>
        <item x="38"/>
        <item x="39"/>
        <item x="43"/>
        <item x="40"/>
        <item x="44"/>
        <item x="98"/>
        <item x="53"/>
        <item m="1" x="107"/>
        <item m="1" x="106"/>
        <item x="54"/>
        <item x="80"/>
        <item x="55"/>
        <item x="92"/>
        <item x="56"/>
        <item x="57"/>
        <item x="58"/>
        <item x="59"/>
        <item x="60"/>
        <item x="61"/>
        <item x="62"/>
        <item x="63"/>
        <item x="64"/>
        <item x="65"/>
        <item x="86"/>
        <item x="97"/>
        <item x="99"/>
        <item x="10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5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Moyenne de Cons Gasoil /100 km" fld="11" subtotal="average" baseField="12" baseItem="2" numFmtId="165"/>
    <dataField name="Moyenne de Cons Gasoil/H" fld="10" subtotal="average" baseField="12" baseItem="3" numFmtId="165"/>
  </dataFields>
  <chartFormats count="9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5" count="1" selected="0">
            <x v="7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5" count="1" selected="0">
            <x v="8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5" count="1" selected="0">
            <x v="9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Chantier" xr10:uid="{013ADB7D-E63F-4A4E-B673-E860194F83B4}" sourceName="Chantier">
  <pivotTables>
    <pivotTable tabId="6" name="Tableau croisé dynamique5"/>
    <pivotTable tabId="6" name="Tableau croisé dynamique1"/>
    <pivotTable tabId="6" name="Tableau croisé dynamique2"/>
    <pivotTable tabId="6" name="Tableau croisé dynamique3"/>
    <pivotTable tabId="6" name="Tableau croisé dynamique6"/>
    <pivotTable tabId="6" name="Tableau croisé dynamique7"/>
  </pivotTables>
  <data>
    <tabular pivotCacheId="1298383697">
      <items count="19">
        <i x="16" s="1"/>
        <i x="12" s="1"/>
        <i x="0" s="1"/>
        <i x="3" s="1"/>
        <i x="1" s="1"/>
        <i x="4" s="1"/>
        <i x="6" s="1"/>
        <i x="5" s="1"/>
        <i x="11" s="1"/>
        <i x="13" s="1"/>
        <i x="14" s="1"/>
        <i x="2" s="1"/>
        <i x="7" s="1"/>
        <i x="9" s="1"/>
        <i x="10" s="1"/>
        <i x="15" s="1"/>
        <i x="17" s="1"/>
        <i x="8" s="1"/>
        <i x="18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Type" xr10:uid="{2157ED62-5070-4205-A059-B130B5C39CB5}" sourceName="Type">
  <pivotTables>
    <pivotTable tabId="6" name="Tableau croisé dynamique5"/>
    <pivotTable tabId="6" name="Tableau croisé dynamique1"/>
    <pivotTable tabId="6" name="Tableau croisé dynamique2"/>
    <pivotTable tabId="6" name="Tableau croisé dynamique3"/>
    <pivotTable tabId="6" name="Tableau croisé dynamique6"/>
    <pivotTable tabId="6" name="Tableau croisé dynamique7"/>
  </pivotTables>
  <data>
    <tabular pivotCacheId="1298383697">
      <items count="16">
        <i x="0" s="1"/>
        <i x="6" s="1"/>
        <i x="2" s="1"/>
        <i x="3" s="1"/>
        <i x="1" s="1"/>
        <i x="4" s="1"/>
        <i x="5" s="1"/>
        <i x="7" s="1"/>
        <i x="8" s="1"/>
        <i x="9" s="1"/>
        <i x="10" s="1"/>
        <i x="11" s="1"/>
        <i x="12" s="1"/>
        <i x="13" s="1"/>
        <i x="14" s="1" nd="1"/>
        <i x="15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Code" xr10:uid="{CB744356-804C-440A-AA4F-FC230C09733F}" sourceName="Code">
  <pivotTables>
    <pivotTable tabId="6" name="Tableau croisé dynamique5"/>
    <pivotTable tabId="6" name="Tableau croisé dynamique1"/>
    <pivotTable tabId="6" name="Tableau croisé dynamique2"/>
    <pivotTable tabId="6" name="Tableau croisé dynamique3"/>
    <pivotTable tabId="6" name="Tableau croisé dynamique6"/>
    <pivotTable tabId="6" name="Tableau croisé dynamique7"/>
  </pivotTables>
  <data>
    <tabular pivotCacheId="1298383697">
      <items count="109">
        <i x="0" s="1"/>
        <i x="93" s="1"/>
        <i x="94" s="1"/>
        <i x="1" s="1"/>
        <i x="2" s="1"/>
        <i x="3" s="1"/>
        <i x="4" s="1"/>
        <i x="87" s="1"/>
        <i x="95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81" s="1"/>
        <i x="88" s="1"/>
        <i x="89" s="1"/>
        <i x="90" s="1"/>
        <i x="16" s="1"/>
        <i x="96" s="1"/>
        <i x="17" s="1"/>
        <i x="18" s="1"/>
        <i x="41" s="1"/>
        <i x="66" s="1"/>
        <i x="19" s="1"/>
        <i x="67" s="1"/>
        <i x="20" s="1"/>
        <i x="21" s="1"/>
        <i x="22" s="1"/>
        <i x="82" s="1"/>
        <i x="42" s="1"/>
        <i x="91" s="1"/>
        <i x="23" s="1"/>
        <i x="24" s="1"/>
        <i x="45" s="1"/>
        <i x="46" s="1"/>
        <i x="68" s="1"/>
        <i x="47" s="1"/>
        <i x="48" s="1"/>
        <i x="69" s="1"/>
        <i x="49" s="1"/>
        <i x="50" s="1"/>
        <i x="51" s="1"/>
        <i x="52" s="1"/>
        <i x="70" s="1"/>
        <i x="71" s="1"/>
        <i x="83" s="1"/>
        <i x="72" s="1"/>
        <i x="25" s="1"/>
        <i x="26" s="1"/>
        <i x="73" s="1"/>
        <i x="27" s="1"/>
        <i x="28" s="1"/>
        <i x="29" s="1"/>
        <i x="30" s="1"/>
        <i x="31" s="1"/>
        <i x="32" s="1"/>
        <i x="74" s="1"/>
        <i x="84" s="1"/>
        <i x="75" s="1"/>
        <i x="76" s="1"/>
        <i x="77" s="1"/>
        <i x="78" s="1"/>
        <i x="79" s="1"/>
        <i x="33" s="1"/>
        <i x="34" s="1"/>
        <i x="35" s="1"/>
        <i x="36" s="1"/>
        <i x="37" s="1"/>
        <i x="85" s="1"/>
        <i x="38" s="1"/>
        <i x="39" s="1"/>
        <i x="43" s="1"/>
        <i x="40" s="1"/>
        <i x="44" s="1"/>
        <i x="98" s="1"/>
        <i x="53" s="1"/>
        <i x="54" s="1"/>
        <i x="80" s="1"/>
        <i x="55" s="1"/>
        <i x="92" s="1"/>
        <i x="56" s="1"/>
        <i x="57" s="1"/>
        <i x="58" s="1"/>
        <i x="59" s="1"/>
        <i x="60" s="1"/>
        <i x="61" s="1"/>
        <i x="62" s="1"/>
        <i x="63" s="1"/>
        <i x="64" s="1"/>
        <i x="65" s="1"/>
        <i x="86" s="1"/>
        <i x="97" s="1"/>
        <i x="99" s="1"/>
        <i x="100" s="1"/>
        <i x="103" s="1" nd="1"/>
        <i x="105" s="1" nd="1"/>
        <i x="101" s="1" nd="1"/>
        <i x="108" s="1" nd="1"/>
        <i x="104" s="1" nd="1"/>
        <i x="102" s="1" nd="1"/>
        <i x="107" s="1" nd="1"/>
        <i x="106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hantier 1" xr10:uid="{1A83447A-52C0-41D9-9E74-B6FEDB15339F}" cache="Segment_Chantier" caption="Chantier" columnCount="4" rowHeight="241300"/>
  <slicer name="Type 1" xr10:uid="{A36DAD63-60B6-4B3D-8B3D-2E509A85AF94}" cache="Segment_Type" caption="Type" columnCount="2" style="SlicerStyleLight4" rowHeight="241300"/>
  <slicer name="Code 1" xr10:uid="{6B8433E8-C4EB-4672-B989-B06C7159FDFF}" cache="Segment_Code" caption="Code" columnCount="3" style="SlicerStyleDark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E80253-40CD-4990-AC62-2ACF0623F2ED}" name="Tableau1" displayName="Tableau1" ref="A2:O845" headerRowDxfId="48" headerRowBorderDxfId="47" tableBorderDxfId="46" headerRowCellStyle="Insatisfaisant">
  <autoFilter ref="A2:O845" xr:uid="{5241EAB6-EDE2-4B56-A647-561E4374ABBF}">
    <filterColumn colId="0">
      <filters>
        <dateGroupItem year="2021" month="10" dateTimeGrouping="month"/>
      </filters>
    </filterColumn>
  </autoFilter>
  <sortState xmlns:xlrd2="http://schemas.microsoft.com/office/spreadsheetml/2017/richdata2" ref="A3:O761">
    <sortCondition ref="A2:A761"/>
  </sortState>
  <tableColumns count="15">
    <tableColumn id="1" xr3:uid="{3D09E4E2-7FCE-4109-B47F-012DC95B9DD2}" name="Date" totalsRowLabel="Total" dataDxfId="45"/>
    <tableColumn id="2" xr3:uid="{73C8822C-AA70-4976-B20B-C1BFA8BC41DE}" name="Chantier"/>
    <tableColumn id="3" xr3:uid="{DB7FF04B-E66B-4175-B77D-F5AC40FABD5F}" name="Type"/>
    <tableColumn id="4" xr3:uid="{DC1FDE57-F33B-4078-B854-9A630478C69E}" name="Code"/>
    <tableColumn id="5" xr3:uid="{74769886-932B-4F2E-8FF7-281329018127}" name="Quantité (H)"/>
    <tableColumn id="6" xr3:uid="{7C64B7E3-63F8-4539-AD66-E36A14ADC978}" name="Gasoil (L)"/>
    <tableColumn id="7" xr3:uid="{92E2DDEF-B2D5-4625-A6EE-047409AD559C}" name="Huile 15/40(L)"/>
    <tableColumn id="8" xr3:uid="{66A91DD4-336E-4839-90E9-1398B1D01971}" name="Huile 90 (L)"/>
    <tableColumn id="9" xr3:uid="{6172FE0E-021A-4466-9163-48EDC82E6C88}" name="Huile 10 (L)"/>
    <tableColumn id="10" xr3:uid="{C64FBE3C-5749-4FA4-A464-3119CB1536F0}" name="Graisse (kg)" totalsRowFunction="sum"/>
    <tableColumn id="11" xr3:uid="{1933C2EC-07BC-4E8C-BCB2-6DAA95924D4A}" name="Cons Gasoil/H" dataDxfId="44" dataCellStyle="Milliers">
      <calculatedColumnFormula>IF(Tableau1[[#This Row],[Quantité (H)]]=0,0,Tableau1[[#This Row],[Gasoil (L)]]/Tableau1[[#This Row],[Quantité (H)]])</calculatedColumnFormula>
    </tableColumn>
    <tableColumn id="12" xr3:uid="{6424C5E4-93C7-4EA5-B114-10062E15F55D}" name="Cons Gasoil /100 km" dataCellStyle="Milliers"/>
    <tableColumn id="13" xr3:uid="{0BDF2FB6-CAE0-4D84-8C98-36E1C74DCF41}" name=" les Charges" dataDxfId="43" dataCellStyle="Milliers"/>
    <tableColumn id="14" xr3:uid="{D23F24E7-ADC0-4131-9DB2-39BFA64F5EBB}" name="Productivité" dataDxfId="42" dataCellStyle="Milliers"/>
    <tableColumn id="15" xr3:uid="{D1697E41-BEDB-43E1-B954-238211E83E4B}" name="Marge" dataDxfId="41" dataCellStyle="Milliers">
      <calculatedColumnFormula>Tableau1[[#This Row],[Productivité]]-Tableau1[[#This Row],[ les Charges]]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FD5DF6-236E-4818-8105-AB412CFB6E76}" name="Tableau2" displayName="Tableau2" ref="A1:H92" totalsRowShown="0">
  <autoFilter ref="A1:H92" xr:uid="{684330C8-3395-476F-A2E3-FFAF701444B2}"/>
  <sortState xmlns:xlrd2="http://schemas.microsoft.com/office/spreadsheetml/2017/richdata2" ref="A2:H92">
    <sortCondition descending="1" ref="C2:C92"/>
  </sortState>
  <tableColumns count="8">
    <tableColumn id="1" xr3:uid="{180BCC8E-C180-4127-B9D9-0793187DB06A}" name="Date" dataDxfId="40"/>
    <tableColumn id="2" xr3:uid="{415EDDAC-9D3A-4849-AAC6-ECEFCD78B3F1}" name="Type" dataDxfId="39"/>
    <tableColumn id="3" xr3:uid="{F9B3C047-988F-400E-9DB9-5AFCB13229FF}" name="Materièl" dataDxfId="38"/>
    <tableColumn id="8" xr3:uid="{EE58D8F3-EA01-4B1A-8B09-BF16B96ADDCE}" name="Gasoil" dataDxfId="37">
      <calculatedColumnFormula>+SUMIF($M$5:$M$92,Tableau2[[#This Row],[Materièl]],$N$5:$N$92)</calculatedColumnFormula>
    </tableColumn>
    <tableColumn id="4" xr3:uid="{165F306E-816B-4F58-BF9F-968DD09F0476}" name="km depart" dataDxfId="36"/>
    <tableColumn id="5" xr3:uid="{BCED289C-ACBC-4350-8214-A2FFCAFD1038}" name="km final" dataDxfId="35" dataCellStyle="Milliers"/>
    <tableColumn id="6" xr3:uid="{B1ABB1EC-E89B-4974-BAAF-E97CB0C21326}" name="distace " dataDxfId="34" dataCellStyle="Milliers">
      <calculatedColumnFormula>Tableau2[[#This Row],[km final]]-Tableau2[[#This Row],[km depart]]</calculatedColumnFormula>
    </tableColumn>
    <tableColumn id="7" xr3:uid="{C21234C8-DC72-4ABC-82B7-21B927174875}" name="Consommation" dataDxfId="33">
      <calculatedColumnFormula>Tableau2[[#This Row],[Gasoil]]/(Tableau2[[#This Row],[distace ]]*0.01)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BE18A2F-2F5E-402F-81E8-ED14028F4435}" name="Tableau4" displayName="Tableau4" ref="A2:J124" totalsRowShown="0">
  <autoFilter ref="A2:J124" xr:uid="{FD35E00C-7482-40B4-A4E3-83974E9E0494}"/>
  <sortState xmlns:xlrd2="http://schemas.microsoft.com/office/spreadsheetml/2017/richdata2" ref="A3:J124">
    <sortCondition sortBy="cellColor" ref="E2:E124" dxfId="25"/>
  </sortState>
  <tableColumns count="10">
    <tableColumn id="1" xr3:uid="{437D70C9-9F75-4385-ADF7-2674252A8595}" name="Colonne1"/>
    <tableColumn id="2" xr3:uid="{C3576A6A-B585-47E8-9D76-398EA69F2A3B}" name="Code"/>
    <tableColumn id="3" xr3:uid="{515A258E-D1F7-4586-B1CB-9D04DF784DFA}" name="Type"/>
    <tableColumn id="4" xr3:uid="{AF2412FB-9E3F-4519-BB4C-980E60D86C26}" name="Les heures (H)"/>
    <tableColumn id="5" xr3:uid="{8FBC286C-1470-4CA9-A4D5-99C6E218A814}" name="Km H (Dist)"/>
    <tableColumn id="6" xr3:uid="{6548FB9E-8B4F-4319-A095-BA9ED5A82AE1}" name="Gasoil (L)"/>
    <tableColumn id="7" xr3:uid="{28E82785-C574-4D5B-8063-FC34977AF0C2}" name="Huile 15/40(L)"/>
    <tableColumn id="8" xr3:uid="{493C7898-5537-4BC9-8E69-AB96EAB478FC}" name="Huile 90 (L)"/>
    <tableColumn id="9" xr3:uid="{1E00EF3A-49BA-469C-8E4B-2D71604AFC0C}" name="Huile 10 (L)"/>
    <tableColumn id="10" xr3:uid="{D8C7B9E4-573B-44A0-B8DC-52686DB07B2D}" name="Graisse (kg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7122156-3D9A-4644-BC1E-E6AB928112BA}" name="Tableau5" displayName="Tableau5" ref="O2:AB86" totalsRowShown="0" dataDxfId="24">
  <autoFilter ref="O2:AB86" xr:uid="{94CD457F-0127-4E44-B60F-34F69FA25FC1}"/>
  <sortState xmlns:xlrd2="http://schemas.microsoft.com/office/spreadsheetml/2017/richdata2" ref="O3:AB85">
    <sortCondition ref="Q2:Q85"/>
  </sortState>
  <tableColumns count="14">
    <tableColumn id="1" xr3:uid="{86355FE3-CE2F-4C35-B037-53CC22463B11}" name="Chantier" dataDxfId="23"/>
    <tableColumn id="11" xr3:uid="{28A86144-1CBF-4342-8785-7455BDC608FD}" name="Type" dataDxfId="22"/>
    <tableColumn id="2" xr3:uid="{E5608EB0-E027-4DFC-8C5B-F145D465E166}" name="Code" dataDxfId="21"/>
    <tableColumn id="4" xr3:uid="{116877E3-8F9A-48E9-9EC7-543A939BABD7}" name="Quantité (H)" dataDxfId="20">
      <calculatedColumnFormula>SUMIF(Tableau4[Code],Tableau5[[#This Row],[Code]],Tableau4[Les heures (H)])</calculatedColumnFormula>
    </tableColumn>
    <tableColumn id="6" xr3:uid="{1AF6E6DA-9027-495C-8A01-8C930632408F}" name="Gasoil (L)" dataDxfId="19">
      <calculatedColumnFormula>SUMIF(Tableau4[Code],Tableau5[[#This Row],[Code]],Tableau4[Gasoil (L)])</calculatedColumnFormula>
    </tableColumn>
    <tableColumn id="7" xr3:uid="{D2889099-ADA2-4577-B34B-A299151B2295}" name="Huile 15/40(L)" dataDxfId="18">
      <calculatedColumnFormula>SUMIF(Tableau4[Code],Tableau5[[#This Row],[Code]],Tableau4[Huile 15/40(L)])</calculatedColumnFormula>
    </tableColumn>
    <tableColumn id="8" xr3:uid="{014CC4A7-4D82-416A-B98B-56E2C5BB99A4}" name="Huile 90 (L)" dataDxfId="17">
      <calculatedColumnFormula>SUMIF(Tableau4[Code],Tableau5[[#This Row],[Code]],Tableau4[Huile 90 (L)])</calculatedColumnFormula>
    </tableColumn>
    <tableColumn id="9" xr3:uid="{F2667FE2-D936-492C-97D4-1CBA6D506593}" name="Huile 10 (L)" dataDxfId="16">
      <calculatedColumnFormula>SUMIF(Tableau4[Code],Tableau5[[#This Row],[Code]],Tableau4[Huile 10 (L)])</calculatedColumnFormula>
    </tableColumn>
    <tableColumn id="10" xr3:uid="{A3BB77B6-CAC0-43CB-9615-8EA9629E8208}" name="Graisse (kg)" dataDxfId="15">
      <calculatedColumnFormula>SUMIF(Tableau4[Code],Tableau5[[#This Row],[Code]],Tableau4[Graisse (kg)])</calculatedColumnFormula>
    </tableColumn>
    <tableColumn id="12" xr3:uid="{5CF6114D-00FA-421D-AD85-1EF637536C3E}" name="Cons Gasoil/H" dataDxfId="14" dataCellStyle="Milliers">
      <calculatedColumnFormula>Tableau5[[#This Row],[Gasoil (L)]]/Tableau5[[#This Row],[Quantité (H)]]</calculatedColumnFormula>
    </tableColumn>
    <tableColumn id="13" xr3:uid="{CF0FD26F-2432-4CA1-8774-BB3B0DBD561A}" name="Cons Gasoil /100 km" dataDxfId="13" dataCellStyle="Milliers">
      <calculatedColumnFormula>Tableau5[[#This Row],[Gasoil (L)]]/SUMIF(Tableau4[Code],Tableau5[[#This Row],[Code]],Tableau4[Km H (Dist)])*100</calculatedColumnFormula>
    </tableColumn>
    <tableColumn id="14" xr3:uid="{0E4C5BAF-6603-4F24-8867-9CA081CB0B84}" name=" les Charges" dataDxfId="12"/>
    <tableColumn id="15" xr3:uid="{284341DB-A773-4903-9D72-9A2A1DAD98E3}" name="Productivité" dataDxfId="11"/>
    <tableColumn id="16" xr3:uid="{3C250522-3E4C-4DC3-A5A6-9BFE5CF9095D}" name="Marge" dataDxfId="10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1D7873-A93F-4CDD-A157-EEA57EA05701}" name="Tableau3" displayName="Tableau3" ref="A1:F329" totalsRowShown="0" headerRowDxfId="9" dataDxfId="7" headerRowBorderDxfId="8" tableBorderDxfId="6" headerRowCellStyle="Milliers" dataCellStyle="Milliers">
  <autoFilter ref="A1:F329" xr:uid="{EFE98E4D-F05A-4E76-B57F-C984A609DD40}"/>
  <sortState xmlns:xlrd2="http://schemas.microsoft.com/office/spreadsheetml/2017/richdata2" ref="A2:F329">
    <sortCondition ref="A258:A329"/>
  </sortState>
  <tableColumns count="6">
    <tableColumn id="1" xr3:uid="{38DD8778-D91F-4882-B332-98303F1C8F08}" name="Date" dataDxfId="5"/>
    <tableColumn id="2" xr3:uid="{1793421A-E9C3-4C31-9543-8418DDFA1FFE}" name="Code" dataDxfId="4"/>
    <tableColumn id="3" xr3:uid="{0BD7B7C0-8C92-46F2-95D8-1CEBFFA7FB11}" name="Type" dataDxfId="3"/>
    <tableColumn id="4" xr3:uid="{38EA7055-3FC8-4EA0-9E4E-4D172AEA66FB}" name="Charges" dataDxfId="2" dataCellStyle="Milliers"/>
    <tableColumn id="5" xr3:uid="{A6323467-2B9C-4C86-A04C-FD5AC087CF44}" name="Produit" dataDxfId="1" dataCellStyle="Milliers"/>
    <tableColumn id="6" xr3:uid="{CE0729CC-B86F-4CBF-A864-2300D84560BA}" name="Marge" dataDxfId="0" dataCellStyle="Milliers">
      <calculatedColumnFormula>Tableau3[[#This Row],[Produit]]-Tableau3[[#This Row],[Charges]]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Date" xr10:uid="{1E97955D-C983-4C3C-A8A6-6330D6F6D266}" sourceName="Date">
  <pivotTables>
    <pivotTable tabId="6" name="Tableau croisé dynamique1"/>
    <pivotTable tabId="6" name="Tableau croisé dynamique6"/>
    <pivotTable tabId="6" name="Tableau croisé dynamique5"/>
  </pivotTables>
  <state minimalRefreshVersion="6" lastRefreshVersion="6" pivotCacheId="1298383697" filterType="unknown">
    <bounds startDate="2021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1" xr10:uid="{DE6CF810-5185-40AE-AD01-3315D37BB5DA}" cache="ChronologieNative_Date" caption="Date" level="2" selectionLevel="2" scrollPosition="2021-05-2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microsoft.com/office/2011/relationships/timeline" Target="../timelines/timelin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16FC3-C379-4135-9F3E-17518B60992F}">
  <dimension ref="A3:AO105"/>
  <sheetViews>
    <sheetView topLeftCell="T1" workbookViewId="0">
      <selection activeCell="Z3" sqref="Z3"/>
    </sheetView>
  </sheetViews>
  <sheetFormatPr baseColWidth="10" defaultRowHeight="15" x14ac:dyDescent="0.25"/>
  <cols>
    <col min="1" max="1" width="21" bestFit="1" customWidth="1"/>
    <col min="2" max="2" width="30.85546875" bestFit="1" customWidth="1"/>
    <col min="3" max="3" width="25.42578125" bestFit="1" customWidth="1"/>
    <col min="7" max="7" width="21" bestFit="1" customWidth="1"/>
    <col min="8" max="8" width="30.85546875" bestFit="1" customWidth="1"/>
    <col min="9" max="9" width="25.42578125" bestFit="1" customWidth="1"/>
    <col min="14" max="14" width="21" bestFit="1" customWidth="1"/>
    <col min="15" max="16" width="16.7109375" bestFit="1" customWidth="1"/>
    <col min="17" max="17" width="21" bestFit="1" customWidth="1"/>
    <col min="18" max="18" width="16.7109375" bestFit="1" customWidth="1"/>
    <col min="20" max="20" width="21" bestFit="1" customWidth="1"/>
    <col min="21" max="21" width="22.140625" bestFit="1" customWidth="1"/>
    <col min="22" max="22" width="19.28515625" bestFit="1" customWidth="1"/>
    <col min="23" max="23" width="23.42578125" bestFit="1" customWidth="1"/>
    <col min="24" max="25" width="20.85546875" bestFit="1" customWidth="1"/>
    <col min="26" max="26" width="21.5703125" bestFit="1" customWidth="1"/>
    <col min="27" max="27" width="16.7109375" bestFit="1" customWidth="1"/>
    <col min="28" max="28" width="21.5703125" bestFit="1" customWidth="1"/>
    <col min="29" max="29" width="22" bestFit="1" customWidth="1"/>
    <col min="34" max="34" width="21" bestFit="1" customWidth="1"/>
    <col min="35" max="35" width="22.140625" bestFit="1" customWidth="1"/>
    <col min="40" max="40" width="21" bestFit="1" customWidth="1"/>
    <col min="41" max="41" width="16.7109375" bestFit="1" customWidth="1"/>
  </cols>
  <sheetData>
    <row r="3" spans="1:41" x14ac:dyDescent="0.25">
      <c r="A3" s="32" t="s">
        <v>108</v>
      </c>
      <c r="B3" s="65" t="s">
        <v>139</v>
      </c>
      <c r="C3" s="65" t="s">
        <v>141</v>
      </c>
      <c r="G3" s="32" t="s">
        <v>108</v>
      </c>
      <c r="H3" s="65" t="s">
        <v>139</v>
      </c>
      <c r="I3" s="65" t="s">
        <v>141</v>
      </c>
      <c r="N3" s="32" t="s">
        <v>108</v>
      </c>
      <c r="O3" t="s">
        <v>111</v>
      </c>
      <c r="T3" s="32" t="s">
        <v>108</v>
      </c>
      <c r="U3" s="65" t="s">
        <v>142</v>
      </c>
      <c r="V3" s="65" t="s">
        <v>110</v>
      </c>
      <c r="W3" s="65" t="s">
        <v>143</v>
      </c>
      <c r="X3" s="65" t="s">
        <v>144</v>
      </c>
      <c r="Y3" s="65" t="s">
        <v>145</v>
      </c>
      <c r="Z3" s="65" t="s">
        <v>146</v>
      </c>
      <c r="AA3" s="65" t="s">
        <v>111</v>
      </c>
      <c r="AB3" s="65" t="s">
        <v>184</v>
      </c>
      <c r="AC3" s="65" t="s">
        <v>185</v>
      </c>
      <c r="AH3" s="32" t="s">
        <v>108</v>
      </c>
      <c r="AI3" t="s">
        <v>142</v>
      </c>
      <c r="AN3" s="32" t="s">
        <v>108</v>
      </c>
      <c r="AO3" t="s">
        <v>111</v>
      </c>
    </row>
    <row r="4" spans="1:41" x14ac:dyDescent="0.25">
      <c r="A4" s="33" t="s">
        <v>31</v>
      </c>
      <c r="B4" s="35">
        <v>0</v>
      </c>
      <c r="C4" s="35">
        <v>4.0230963045912649</v>
      </c>
      <c r="G4" s="33" t="s">
        <v>186</v>
      </c>
      <c r="H4" s="35">
        <v>110.31143361662033</v>
      </c>
      <c r="I4" s="35">
        <v>13.444664071987997</v>
      </c>
      <c r="N4" s="33" t="s">
        <v>152</v>
      </c>
      <c r="O4" s="35">
        <v>1915152.2100000007</v>
      </c>
      <c r="T4" s="33" t="s">
        <v>31</v>
      </c>
      <c r="U4" s="34">
        <v>74</v>
      </c>
      <c r="V4" s="34">
        <v>598</v>
      </c>
      <c r="W4" s="34">
        <v>5</v>
      </c>
      <c r="X4" s="34">
        <v>0</v>
      </c>
      <c r="Y4" s="34">
        <v>65</v>
      </c>
      <c r="Z4" s="34">
        <v>0</v>
      </c>
      <c r="AA4" s="35">
        <v>13469.485555555555</v>
      </c>
      <c r="AB4" s="34">
        <v>16271.625555555554</v>
      </c>
      <c r="AC4" s="34">
        <v>29741.111111111109</v>
      </c>
      <c r="AH4" s="33" t="s">
        <v>31</v>
      </c>
      <c r="AI4" s="34">
        <v>74</v>
      </c>
      <c r="AN4" s="33" t="s">
        <v>186</v>
      </c>
      <c r="AO4" s="35">
        <v>39727.345555555345</v>
      </c>
    </row>
    <row r="5" spans="1:41" x14ac:dyDescent="0.25">
      <c r="A5" s="33" t="s">
        <v>32</v>
      </c>
      <c r="B5" s="35">
        <v>0</v>
      </c>
      <c r="C5" s="35">
        <v>0</v>
      </c>
      <c r="G5" s="33" t="s">
        <v>187</v>
      </c>
      <c r="H5" s="35">
        <v>65.929835772698624</v>
      </c>
      <c r="I5" s="35">
        <v>9.7042481513336281</v>
      </c>
      <c r="N5" s="33" t="s">
        <v>109</v>
      </c>
      <c r="O5" s="35">
        <v>1915152.2100000007</v>
      </c>
      <c r="T5" s="33" t="s">
        <v>32</v>
      </c>
      <c r="U5" s="34">
        <v>0</v>
      </c>
      <c r="V5" s="34">
        <v>40</v>
      </c>
      <c r="W5" s="34">
        <v>0</v>
      </c>
      <c r="X5" s="34">
        <v>0</v>
      </c>
      <c r="Y5" s="34">
        <v>0</v>
      </c>
      <c r="Z5" s="34">
        <v>0</v>
      </c>
      <c r="AA5" s="35">
        <v>0</v>
      </c>
      <c r="AB5" s="34"/>
      <c r="AC5" s="34"/>
      <c r="AH5" s="33" t="s">
        <v>32</v>
      </c>
      <c r="AI5" s="34">
        <v>0</v>
      </c>
      <c r="AN5" s="33" t="s">
        <v>187</v>
      </c>
      <c r="AO5" s="35">
        <v>642673.66666666628</v>
      </c>
    </row>
    <row r="6" spans="1:41" x14ac:dyDescent="0.25">
      <c r="A6" s="33" t="s">
        <v>154</v>
      </c>
      <c r="B6" s="35">
        <v>0</v>
      </c>
      <c r="C6" s="35">
        <v>0</v>
      </c>
      <c r="G6" s="33" t="s">
        <v>188</v>
      </c>
      <c r="H6" s="35">
        <v>27.865558157735965</v>
      </c>
      <c r="I6" s="35">
        <v>7.4515667772025242</v>
      </c>
      <c r="T6" s="33" t="s">
        <v>154</v>
      </c>
      <c r="U6" s="34">
        <v>0</v>
      </c>
      <c r="V6" s="34">
        <v>20</v>
      </c>
      <c r="W6" s="34">
        <v>0</v>
      </c>
      <c r="X6" s="34">
        <v>0</v>
      </c>
      <c r="Y6" s="34">
        <v>0</v>
      </c>
      <c r="Z6" s="34">
        <v>0</v>
      </c>
      <c r="AA6" s="35">
        <v>0</v>
      </c>
      <c r="AB6" s="34"/>
      <c r="AC6" s="34"/>
      <c r="AH6" s="33" t="s">
        <v>16</v>
      </c>
      <c r="AI6" s="34">
        <v>474</v>
      </c>
      <c r="AN6" s="33" t="s">
        <v>188</v>
      </c>
      <c r="AO6" s="35">
        <v>626178.31999999995</v>
      </c>
    </row>
    <row r="7" spans="1:41" x14ac:dyDescent="0.25">
      <c r="A7" s="33" t="s">
        <v>16</v>
      </c>
      <c r="B7" s="35">
        <v>14.487030411449016</v>
      </c>
      <c r="C7" s="35">
        <v>7.8991456561631992</v>
      </c>
      <c r="G7" s="33" t="s">
        <v>189</v>
      </c>
      <c r="H7" s="35">
        <v>30.22203135911133</v>
      </c>
      <c r="I7" s="35">
        <v>8.6931729597833218</v>
      </c>
      <c r="T7" s="33" t="s">
        <v>16</v>
      </c>
      <c r="U7" s="34">
        <v>474</v>
      </c>
      <c r="V7" s="34">
        <v>4199</v>
      </c>
      <c r="W7" s="34">
        <v>40</v>
      </c>
      <c r="X7" s="34">
        <v>0</v>
      </c>
      <c r="Y7" s="34">
        <v>21</v>
      </c>
      <c r="Z7" s="34">
        <v>0</v>
      </c>
      <c r="AA7" s="35">
        <v>39875.56</v>
      </c>
      <c r="AB7" s="34">
        <v>65257.773333333331</v>
      </c>
      <c r="AC7" s="34">
        <v>105133.33333333333</v>
      </c>
      <c r="AH7" s="33" t="s">
        <v>17</v>
      </c>
      <c r="AI7" s="34">
        <v>478</v>
      </c>
      <c r="AN7" s="33" t="s">
        <v>189</v>
      </c>
      <c r="AO7" s="35">
        <v>1573126.1500000004</v>
      </c>
    </row>
    <row r="8" spans="1:41" x14ac:dyDescent="0.25">
      <c r="A8" s="33" t="s">
        <v>17</v>
      </c>
      <c r="B8" s="35">
        <v>1.5556421243994285</v>
      </c>
      <c r="C8" s="35">
        <v>10.840037605138223</v>
      </c>
      <c r="G8" s="33" t="s">
        <v>152</v>
      </c>
      <c r="H8" s="35">
        <v>30.662351891734819</v>
      </c>
      <c r="I8" s="35">
        <v>7.0199651572160526</v>
      </c>
      <c r="T8" s="33" t="s">
        <v>17</v>
      </c>
      <c r="U8" s="34">
        <v>478</v>
      </c>
      <c r="V8" s="34">
        <v>3815</v>
      </c>
      <c r="W8" s="34">
        <v>90</v>
      </c>
      <c r="X8" s="34">
        <v>0</v>
      </c>
      <c r="Y8" s="34">
        <v>5</v>
      </c>
      <c r="Z8" s="34">
        <v>4</v>
      </c>
      <c r="AA8" s="35">
        <v>56505.921111111107</v>
      </c>
      <c r="AB8" s="34">
        <v>49960.745555555557</v>
      </c>
      <c r="AC8" s="34">
        <v>106466.66666666667</v>
      </c>
      <c r="AH8" s="33" t="s">
        <v>18</v>
      </c>
      <c r="AI8" s="34">
        <v>335</v>
      </c>
      <c r="AN8" s="33" t="s">
        <v>152</v>
      </c>
      <c r="AO8" s="35">
        <v>1915152.21</v>
      </c>
    </row>
    <row r="9" spans="1:41" x14ac:dyDescent="0.25">
      <c r="A9" s="33" t="s">
        <v>18</v>
      </c>
      <c r="B9" s="35">
        <v>0</v>
      </c>
      <c r="C9" s="35">
        <v>7.4961602718081384</v>
      </c>
      <c r="G9" s="33" t="s">
        <v>153</v>
      </c>
      <c r="H9" s="35">
        <v>11.80636133308248</v>
      </c>
      <c r="I9" s="35">
        <v>10.935587576871001</v>
      </c>
      <c r="T9" s="33" t="s">
        <v>18</v>
      </c>
      <c r="U9" s="34">
        <v>335</v>
      </c>
      <c r="V9" s="34">
        <v>1805</v>
      </c>
      <c r="W9" s="34">
        <v>20</v>
      </c>
      <c r="X9" s="34">
        <v>0</v>
      </c>
      <c r="Y9" s="34">
        <v>36</v>
      </c>
      <c r="Z9" s="34">
        <v>2</v>
      </c>
      <c r="AA9" s="35">
        <v>47908.92</v>
      </c>
      <c r="AB9" s="34">
        <v>16891.080000000002</v>
      </c>
      <c r="AC9" s="34">
        <v>64800</v>
      </c>
      <c r="AH9" s="33" t="s">
        <v>19</v>
      </c>
      <c r="AI9" s="34">
        <v>1076.5</v>
      </c>
      <c r="AN9" s="33" t="s">
        <v>153</v>
      </c>
      <c r="AO9" s="35">
        <v>1698739.7699999998</v>
      </c>
    </row>
    <row r="10" spans="1:41" x14ac:dyDescent="0.25">
      <c r="A10" s="33" t="s">
        <v>19</v>
      </c>
      <c r="B10" s="35">
        <v>15.78586497890293</v>
      </c>
      <c r="C10" s="35">
        <v>8.6842345911429675</v>
      </c>
      <c r="G10" s="33" t="s">
        <v>162</v>
      </c>
      <c r="H10" s="35">
        <v>11.971429118143343</v>
      </c>
      <c r="I10" s="35">
        <v>9.9723035488966207</v>
      </c>
      <c r="T10" s="33" t="s">
        <v>19</v>
      </c>
      <c r="U10" s="34">
        <v>1076.5</v>
      </c>
      <c r="V10" s="34">
        <v>7481</v>
      </c>
      <c r="W10" s="34">
        <v>101</v>
      </c>
      <c r="X10" s="34">
        <v>0</v>
      </c>
      <c r="Y10" s="34">
        <v>105</v>
      </c>
      <c r="Z10" s="34">
        <v>36</v>
      </c>
      <c r="AA10" s="35">
        <v>22178.796666666669</v>
      </c>
      <c r="AB10" s="34">
        <v>114021.20333333334</v>
      </c>
      <c r="AC10" s="34">
        <v>136200</v>
      </c>
      <c r="AH10" s="33" t="s">
        <v>44</v>
      </c>
      <c r="AI10" s="34">
        <v>3021.5</v>
      </c>
      <c r="AN10" s="33" t="s">
        <v>162</v>
      </c>
      <c r="AO10" s="35">
        <v>1075217.9200000002</v>
      </c>
    </row>
    <row r="11" spans="1:41" x14ac:dyDescent="0.25">
      <c r="A11" s="33" t="s">
        <v>150</v>
      </c>
      <c r="B11" s="35">
        <v>0</v>
      </c>
      <c r="C11" s="35">
        <v>2.5</v>
      </c>
      <c r="G11" s="33" t="s">
        <v>172</v>
      </c>
      <c r="H11" s="35">
        <v>32.793999999999997</v>
      </c>
      <c r="I11" s="35">
        <v>11.671064195395839</v>
      </c>
      <c r="T11" s="33" t="s">
        <v>150</v>
      </c>
      <c r="U11" s="34">
        <v>1</v>
      </c>
      <c r="V11" s="34">
        <v>10</v>
      </c>
      <c r="W11" s="34">
        <v>0</v>
      </c>
      <c r="X11" s="34">
        <v>0</v>
      </c>
      <c r="Y11" s="34">
        <v>0</v>
      </c>
      <c r="Z11" s="34">
        <v>0</v>
      </c>
      <c r="AA11" s="35">
        <v>-1297.75</v>
      </c>
      <c r="AB11" s="34">
        <v>1297.75</v>
      </c>
      <c r="AC11" s="34">
        <v>0</v>
      </c>
      <c r="AH11" s="33" t="s">
        <v>45</v>
      </c>
      <c r="AI11" s="34">
        <v>2794</v>
      </c>
      <c r="AN11" s="33" t="s">
        <v>172</v>
      </c>
      <c r="AO11" s="35">
        <v>1981939.57</v>
      </c>
    </row>
    <row r="12" spans="1:41" x14ac:dyDescent="0.25">
      <c r="A12" s="33" t="s">
        <v>156</v>
      </c>
      <c r="B12" s="35">
        <v>0</v>
      </c>
      <c r="C12" s="35">
        <v>11.540104997341839</v>
      </c>
      <c r="G12" s="33" t="s">
        <v>180</v>
      </c>
      <c r="H12" s="35">
        <v>37.535170988148202</v>
      </c>
      <c r="I12" s="35">
        <v>8.18778686507099</v>
      </c>
      <c r="T12" s="33" t="s">
        <v>156</v>
      </c>
      <c r="U12" s="34">
        <v>324</v>
      </c>
      <c r="V12" s="34">
        <v>4240</v>
      </c>
      <c r="W12" s="34">
        <v>4</v>
      </c>
      <c r="X12" s="34">
        <v>0</v>
      </c>
      <c r="Y12" s="34">
        <v>4</v>
      </c>
      <c r="Z12" s="34">
        <v>0</v>
      </c>
      <c r="AA12" s="35">
        <v>20259.900000000001</v>
      </c>
      <c r="AB12" s="34">
        <v>45940.1</v>
      </c>
      <c r="AC12" s="34">
        <v>66200</v>
      </c>
      <c r="AH12" s="33" t="s">
        <v>46</v>
      </c>
      <c r="AI12" s="34">
        <v>2781</v>
      </c>
      <c r="AN12" s="33" t="s">
        <v>180</v>
      </c>
      <c r="AO12" s="35">
        <v>1720619.5199999996</v>
      </c>
    </row>
    <row r="13" spans="1:41" x14ac:dyDescent="0.25">
      <c r="A13" s="33" t="s">
        <v>44</v>
      </c>
      <c r="B13" s="35">
        <v>53.608759740089788</v>
      </c>
      <c r="C13" s="35">
        <v>6.2428709208683566</v>
      </c>
      <c r="G13" s="33" t="s">
        <v>200</v>
      </c>
      <c r="H13" s="35">
        <v>70.059740257636747</v>
      </c>
      <c r="I13" s="35">
        <v>8.0419295115706877</v>
      </c>
      <c r="T13" s="33" t="s">
        <v>44</v>
      </c>
      <c r="U13" s="34">
        <v>3021.5</v>
      </c>
      <c r="V13" s="34">
        <v>10184</v>
      </c>
      <c r="W13" s="34">
        <v>45</v>
      </c>
      <c r="X13" s="34">
        <v>0</v>
      </c>
      <c r="Y13" s="34">
        <v>0</v>
      </c>
      <c r="Z13" s="34">
        <v>7.5</v>
      </c>
      <c r="AA13" s="35">
        <v>281244.34000000003</v>
      </c>
      <c r="AB13" s="34">
        <v>238284.54888888891</v>
      </c>
      <c r="AC13" s="34">
        <v>519528.88888888888</v>
      </c>
      <c r="AH13" s="33" t="s">
        <v>47</v>
      </c>
      <c r="AI13" s="34">
        <v>2171</v>
      </c>
      <c r="AN13" s="33" t="s">
        <v>200</v>
      </c>
      <c r="AO13" s="35">
        <v>1342815.04</v>
      </c>
    </row>
    <row r="14" spans="1:41" x14ac:dyDescent="0.25">
      <c r="A14" s="33" t="s">
        <v>45</v>
      </c>
      <c r="B14" s="35">
        <v>38.025669499237395</v>
      </c>
      <c r="C14" s="35">
        <v>3.872954019214514</v>
      </c>
      <c r="G14" s="33" t="s">
        <v>109</v>
      </c>
      <c r="H14" s="35">
        <v>35.407968738557422</v>
      </c>
      <c r="I14" s="35">
        <v>9.2954082115702246</v>
      </c>
      <c r="T14" s="33" t="s">
        <v>45</v>
      </c>
      <c r="U14" s="34">
        <v>2794</v>
      </c>
      <c r="V14" s="34">
        <v>10691</v>
      </c>
      <c r="W14" s="34">
        <v>0</v>
      </c>
      <c r="X14" s="34">
        <v>0</v>
      </c>
      <c r="Y14" s="34">
        <v>0</v>
      </c>
      <c r="Z14" s="34">
        <v>3</v>
      </c>
      <c r="AA14" s="35">
        <v>370083.94666666666</v>
      </c>
      <c r="AB14" s="34">
        <v>309480.49777777778</v>
      </c>
      <c r="AC14" s="34">
        <v>679564.4444444445</v>
      </c>
      <c r="AH14" s="33" t="s">
        <v>48</v>
      </c>
      <c r="AI14" s="34">
        <v>1689</v>
      </c>
      <c r="AN14" s="33" t="s">
        <v>109</v>
      </c>
      <c r="AO14" s="35">
        <v>12616189.512222219</v>
      </c>
    </row>
    <row r="15" spans="1:41" x14ac:dyDescent="0.25">
      <c r="A15" s="33" t="s">
        <v>46</v>
      </c>
      <c r="B15" s="35">
        <v>68.609561042897653</v>
      </c>
      <c r="C15" s="35">
        <v>7.8573422123188665</v>
      </c>
      <c r="T15" s="33" t="s">
        <v>46</v>
      </c>
      <c r="U15" s="34">
        <v>2781</v>
      </c>
      <c r="V15" s="34">
        <v>17647</v>
      </c>
      <c r="W15" s="34">
        <v>5</v>
      </c>
      <c r="X15" s="34">
        <v>0</v>
      </c>
      <c r="Y15" s="34">
        <v>5</v>
      </c>
      <c r="Z15" s="34">
        <v>10.5</v>
      </c>
      <c r="AA15" s="35">
        <v>330428.63555555558</v>
      </c>
      <c r="AB15" s="34">
        <v>202329.14222222223</v>
      </c>
      <c r="AC15" s="34">
        <v>532757.77777777775</v>
      </c>
      <c r="AH15" s="33" t="s">
        <v>49</v>
      </c>
      <c r="AI15" s="34">
        <v>1030</v>
      </c>
    </row>
    <row r="16" spans="1:41" x14ac:dyDescent="0.25">
      <c r="A16" s="33" t="s">
        <v>47</v>
      </c>
      <c r="B16" s="35">
        <v>66.619617110214548</v>
      </c>
      <c r="C16" s="35">
        <v>6.3792986342333426</v>
      </c>
      <c r="T16" s="33" t="s">
        <v>47</v>
      </c>
      <c r="U16" s="34">
        <v>2171</v>
      </c>
      <c r="V16" s="34">
        <v>14454.37</v>
      </c>
      <c r="W16" s="34">
        <v>0</v>
      </c>
      <c r="X16" s="34">
        <v>0</v>
      </c>
      <c r="Y16" s="34">
        <v>5</v>
      </c>
      <c r="Z16" s="34">
        <v>0</v>
      </c>
      <c r="AA16" s="35">
        <v>458644.68</v>
      </c>
      <c r="AB16" s="34">
        <v>191225.09777777779</v>
      </c>
      <c r="AC16" s="34">
        <v>649869.77777777775</v>
      </c>
      <c r="AH16" s="33" t="s">
        <v>50</v>
      </c>
      <c r="AI16" s="34">
        <v>1435.5</v>
      </c>
    </row>
    <row r="17" spans="1:35" x14ac:dyDescent="0.25">
      <c r="A17" s="33" t="s">
        <v>48</v>
      </c>
      <c r="B17" s="35">
        <v>61.172447883872344</v>
      </c>
      <c r="C17" s="35">
        <v>6.873584116075043</v>
      </c>
      <c r="T17" s="33" t="s">
        <v>48</v>
      </c>
      <c r="U17" s="34">
        <v>1689</v>
      </c>
      <c r="V17" s="34">
        <v>6394.49</v>
      </c>
      <c r="W17" s="34">
        <v>0</v>
      </c>
      <c r="X17" s="34">
        <v>0</v>
      </c>
      <c r="Y17" s="34">
        <v>11</v>
      </c>
      <c r="Z17" s="34">
        <v>2</v>
      </c>
      <c r="AA17" s="35">
        <v>116232.83888888887</v>
      </c>
      <c r="AB17" s="34">
        <v>139861.60555555558</v>
      </c>
      <c r="AC17" s="34">
        <v>256094.44444444444</v>
      </c>
      <c r="AH17" s="33" t="s">
        <v>54</v>
      </c>
      <c r="AI17" s="34">
        <v>1593.5</v>
      </c>
    </row>
    <row r="18" spans="1:35" x14ac:dyDescent="0.25">
      <c r="A18" s="33" t="s">
        <v>49</v>
      </c>
      <c r="B18" s="35">
        <v>71.143035704983632</v>
      </c>
      <c r="C18" s="35">
        <v>19.300131204358745</v>
      </c>
      <c r="T18" s="33" t="s">
        <v>49</v>
      </c>
      <c r="U18" s="34">
        <v>1030</v>
      </c>
      <c r="V18" s="34">
        <v>6854.3</v>
      </c>
      <c r="W18" s="34">
        <v>0</v>
      </c>
      <c r="X18" s="34">
        <v>0</v>
      </c>
      <c r="Y18" s="34">
        <v>82</v>
      </c>
      <c r="Z18" s="34">
        <v>5</v>
      </c>
      <c r="AA18" s="35">
        <v>-37541.17555555555</v>
      </c>
      <c r="AB18" s="34">
        <v>183882.84222222219</v>
      </c>
      <c r="AC18" s="34">
        <v>146341.66666666666</v>
      </c>
      <c r="AH18" s="33" t="s">
        <v>56</v>
      </c>
      <c r="AI18" s="34">
        <v>2655.5</v>
      </c>
    </row>
    <row r="19" spans="1:35" x14ac:dyDescent="0.25">
      <c r="A19" s="33" t="s">
        <v>50</v>
      </c>
      <c r="B19" s="35">
        <v>38.926137095209441</v>
      </c>
      <c r="C19" s="35">
        <v>3.5203782826392445</v>
      </c>
      <c r="T19" s="33" t="s">
        <v>50</v>
      </c>
      <c r="U19" s="34">
        <v>1435.5</v>
      </c>
      <c r="V19" s="34">
        <v>4487</v>
      </c>
      <c r="W19" s="34">
        <v>20</v>
      </c>
      <c r="X19" s="34">
        <v>0</v>
      </c>
      <c r="Y19" s="34">
        <v>0</v>
      </c>
      <c r="Z19" s="34">
        <v>0</v>
      </c>
      <c r="AA19" s="35">
        <v>102093.26999999999</v>
      </c>
      <c r="AB19" s="34">
        <v>113167.84111111111</v>
      </c>
      <c r="AC19" s="34">
        <v>215261.11111111112</v>
      </c>
      <c r="AH19" s="33" t="s">
        <v>57</v>
      </c>
      <c r="AI19" s="34">
        <v>1748</v>
      </c>
    </row>
    <row r="20" spans="1:35" x14ac:dyDescent="0.25">
      <c r="A20" s="33" t="s">
        <v>54</v>
      </c>
      <c r="B20" s="35">
        <v>51.322446422114872</v>
      </c>
      <c r="C20" s="35">
        <v>5.1903754590185374</v>
      </c>
      <c r="T20" s="33" t="s">
        <v>54</v>
      </c>
      <c r="U20" s="34">
        <v>1593.5</v>
      </c>
      <c r="V20" s="34">
        <v>9680.39</v>
      </c>
      <c r="W20" s="34">
        <v>0</v>
      </c>
      <c r="X20" s="34">
        <v>20</v>
      </c>
      <c r="Y20" s="34">
        <v>221</v>
      </c>
      <c r="Z20" s="34">
        <v>23</v>
      </c>
      <c r="AA20" s="35">
        <v>253051.33333333331</v>
      </c>
      <c r="AB20" s="34">
        <v>188708.66666666669</v>
      </c>
      <c r="AC20" s="34">
        <v>441760</v>
      </c>
      <c r="AH20" s="33" t="s">
        <v>55</v>
      </c>
      <c r="AI20" s="34">
        <v>2656</v>
      </c>
    </row>
    <row r="21" spans="1:35" x14ac:dyDescent="0.25">
      <c r="A21" s="33" t="s">
        <v>56</v>
      </c>
      <c r="B21" s="35">
        <v>59.489097773480687</v>
      </c>
      <c r="C21" s="35">
        <v>24.049887619544641</v>
      </c>
      <c r="T21" s="33" t="s">
        <v>56</v>
      </c>
      <c r="U21" s="34">
        <v>2655.5</v>
      </c>
      <c r="V21" s="34">
        <v>25119.3</v>
      </c>
      <c r="W21" s="34">
        <v>0</v>
      </c>
      <c r="X21" s="34">
        <v>0</v>
      </c>
      <c r="Y21" s="34">
        <v>0</v>
      </c>
      <c r="Z21" s="34">
        <v>4</v>
      </c>
      <c r="AA21" s="35">
        <v>73419.385555555549</v>
      </c>
      <c r="AB21" s="34">
        <v>308047.28111111111</v>
      </c>
      <c r="AC21" s="34">
        <v>381466.66666666669</v>
      </c>
      <c r="AH21" s="33" t="s">
        <v>134</v>
      </c>
      <c r="AI21" s="34">
        <v>463</v>
      </c>
    </row>
    <row r="22" spans="1:35" x14ac:dyDescent="0.25">
      <c r="A22" s="33" t="s">
        <v>57</v>
      </c>
      <c r="B22" s="35">
        <v>53.651645529555417</v>
      </c>
      <c r="C22" s="35">
        <v>15.242747271110522</v>
      </c>
      <c r="T22" s="33" t="s">
        <v>57</v>
      </c>
      <c r="U22" s="34">
        <v>1748</v>
      </c>
      <c r="V22" s="34">
        <v>35712.699999999997</v>
      </c>
      <c r="W22" s="34">
        <v>5</v>
      </c>
      <c r="X22" s="34">
        <v>0</v>
      </c>
      <c r="Y22" s="34">
        <v>25</v>
      </c>
      <c r="Z22" s="34">
        <v>2</v>
      </c>
      <c r="AA22" s="35">
        <v>-179461.3444444444</v>
      </c>
      <c r="AB22" s="34">
        <v>728207.12222222227</v>
      </c>
      <c r="AC22" s="34">
        <v>548745.77777777775</v>
      </c>
      <c r="AH22" s="33" t="s">
        <v>52</v>
      </c>
      <c r="AI22" s="34">
        <v>486.5</v>
      </c>
    </row>
    <row r="23" spans="1:35" x14ac:dyDescent="0.25">
      <c r="A23" s="33" t="s">
        <v>55</v>
      </c>
      <c r="B23" s="35">
        <v>45.819505828721155</v>
      </c>
      <c r="C23" s="35">
        <v>4.9109687414416152</v>
      </c>
      <c r="T23" s="33" t="s">
        <v>55</v>
      </c>
      <c r="U23" s="34">
        <v>2656</v>
      </c>
      <c r="V23" s="34">
        <v>10850.7</v>
      </c>
      <c r="W23" s="34">
        <v>10</v>
      </c>
      <c r="X23" s="34">
        <v>0</v>
      </c>
      <c r="Y23" s="34">
        <v>45</v>
      </c>
      <c r="Z23" s="34">
        <v>5</v>
      </c>
      <c r="AA23" s="35">
        <v>422831.79888888885</v>
      </c>
      <c r="AB23" s="34">
        <v>170724.28111111111</v>
      </c>
      <c r="AC23" s="34">
        <v>593556.08000000007</v>
      </c>
      <c r="AH23" s="33" t="s">
        <v>53</v>
      </c>
      <c r="AI23" s="34">
        <v>122</v>
      </c>
    </row>
    <row r="24" spans="1:35" x14ac:dyDescent="0.25">
      <c r="A24" s="33" t="s">
        <v>134</v>
      </c>
      <c r="B24" s="35">
        <v>65.558004794791216</v>
      </c>
      <c r="C24" s="35">
        <v>8.3590231242200179</v>
      </c>
      <c r="T24" s="33" t="s">
        <v>134</v>
      </c>
      <c r="U24" s="34">
        <v>463</v>
      </c>
      <c r="V24" s="34">
        <v>5234.1000000000004</v>
      </c>
      <c r="W24" s="34">
        <v>17</v>
      </c>
      <c r="X24" s="34">
        <v>0</v>
      </c>
      <c r="Y24" s="34">
        <v>50</v>
      </c>
      <c r="Z24" s="34">
        <v>7</v>
      </c>
      <c r="AA24" s="35">
        <v>40504.020000000004</v>
      </c>
      <c r="AB24" s="34">
        <v>34605.93</v>
      </c>
      <c r="AC24" s="34">
        <v>75109.95</v>
      </c>
      <c r="AH24" s="33" t="s">
        <v>28</v>
      </c>
      <c r="AI24" s="34">
        <v>1999.7</v>
      </c>
    </row>
    <row r="25" spans="1:35" x14ac:dyDescent="0.25">
      <c r="A25" s="33" t="s">
        <v>149</v>
      </c>
      <c r="B25" s="35">
        <v>32.642483127556709</v>
      </c>
      <c r="C25" s="35">
        <v>1.8120258794263371</v>
      </c>
      <c r="T25" s="33" t="s">
        <v>149</v>
      </c>
      <c r="U25" s="34">
        <v>656</v>
      </c>
      <c r="V25" s="34">
        <v>1080</v>
      </c>
      <c r="W25" s="34">
        <v>0</v>
      </c>
      <c r="X25" s="34">
        <v>0</v>
      </c>
      <c r="Y25" s="34">
        <v>0</v>
      </c>
      <c r="Z25" s="34">
        <v>0</v>
      </c>
      <c r="AA25" s="35">
        <v>83085.570000000007</v>
      </c>
      <c r="AB25" s="34">
        <v>15314.43</v>
      </c>
      <c r="AC25" s="34">
        <v>98400</v>
      </c>
      <c r="AH25" s="33" t="s">
        <v>29</v>
      </c>
      <c r="AI25" s="34">
        <v>1567</v>
      </c>
    </row>
    <row r="26" spans="1:35" x14ac:dyDescent="0.25">
      <c r="A26" s="33" t="s">
        <v>148</v>
      </c>
      <c r="B26" s="35">
        <v>14.097888530490749</v>
      </c>
      <c r="C26" s="35">
        <v>5.8855078171619528</v>
      </c>
      <c r="T26" s="33" t="s">
        <v>148</v>
      </c>
      <c r="U26" s="34">
        <v>421</v>
      </c>
      <c r="V26" s="34">
        <v>1054</v>
      </c>
      <c r="W26" s="34">
        <v>0</v>
      </c>
      <c r="X26" s="34">
        <v>0</v>
      </c>
      <c r="Y26" s="34">
        <v>0</v>
      </c>
      <c r="Z26" s="34">
        <v>0</v>
      </c>
      <c r="AA26" s="35">
        <v>25180</v>
      </c>
      <c r="AB26" s="34">
        <v>12130</v>
      </c>
      <c r="AC26" s="34">
        <v>37310</v>
      </c>
      <c r="AH26" s="33" t="s">
        <v>94</v>
      </c>
      <c r="AI26" s="34">
        <v>1497</v>
      </c>
    </row>
    <row r="27" spans="1:35" x14ac:dyDescent="0.25">
      <c r="A27" s="33" t="s">
        <v>151</v>
      </c>
      <c r="B27" s="35">
        <v>35.420280851065812</v>
      </c>
      <c r="C27" s="35">
        <v>16.362319327731093</v>
      </c>
      <c r="T27" s="33" t="s">
        <v>151</v>
      </c>
      <c r="U27" s="34">
        <v>636</v>
      </c>
      <c r="V27" s="34">
        <v>9862</v>
      </c>
      <c r="W27" s="34">
        <v>0</v>
      </c>
      <c r="X27" s="34">
        <v>0</v>
      </c>
      <c r="Y27" s="34">
        <v>0</v>
      </c>
      <c r="Z27" s="34">
        <v>0</v>
      </c>
      <c r="AA27" s="35">
        <v>-42668.36</v>
      </c>
      <c r="AB27" s="34">
        <v>181268.36</v>
      </c>
      <c r="AC27" s="34">
        <v>138600</v>
      </c>
      <c r="AH27" s="33" t="s">
        <v>126</v>
      </c>
      <c r="AI27" s="34">
        <v>1446.5</v>
      </c>
    </row>
    <row r="28" spans="1:35" x14ac:dyDescent="0.25">
      <c r="A28" s="33" t="s">
        <v>52</v>
      </c>
      <c r="B28" s="35">
        <v>129.50845367892154</v>
      </c>
      <c r="C28" s="35">
        <v>4.9092736533917725</v>
      </c>
      <c r="T28" s="33" t="s">
        <v>52</v>
      </c>
      <c r="U28" s="34">
        <v>486.5</v>
      </c>
      <c r="V28" s="34">
        <v>3940</v>
      </c>
      <c r="W28" s="34">
        <v>35</v>
      </c>
      <c r="X28" s="34">
        <v>0</v>
      </c>
      <c r="Y28" s="34">
        <v>2</v>
      </c>
      <c r="Z28" s="34">
        <v>25.5</v>
      </c>
      <c r="AA28" s="35">
        <v>71383.812222222215</v>
      </c>
      <c r="AB28" s="34">
        <v>53016.187777777777</v>
      </c>
      <c r="AC28" s="34">
        <v>124400</v>
      </c>
      <c r="AH28" s="33" t="s">
        <v>36</v>
      </c>
      <c r="AI28" s="34">
        <v>832.6</v>
      </c>
    </row>
    <row r="29" spans="1:35" x14ac:dyDescent="0.25">
      <c r="A29" s="33" t="s">
        <v>53</v>
      </c>
      <c r="B29" s="35"/>
      <c r="C29" s="35">
        <v>3.7581967213114753</v>
      </c>
      <c r="T29" s="33" t="s">
        <v>53</v>
      </c>
      <c r="U29" s="34">
        <v>122</v>
      </c>
      <c r="V29" s="34">
        <v>917</v>
      </c>
      <c r="W29" s="34">
        <v>0</v>
      </c>
      <c r="X29" s="34">
        <v>0</v>
      </c>
      <c r="Y29" s="34">
        <v>0</v>
      </c>
      <c r="Z29" s="34">
        <v>0</v>
      </c>
      <c r="AA29" s="35">
        <v>72920</v>
      </c>
      <c r="AB29" s="34">
        <v>9205</v>
      </c>
      <c r="AC29" s="34">
        <v>82125</v>
      </c>
      <c r="AH29" s="33" t="s">
        <v>37</v>
      </c>
      <c r="AI29" s="34">
        <v>412.5</v>
      </c>
    </row>
    <row r="30" spans="1:35" x14ac:dyDescent="0.25">
      <c r="A30" s="33" t="s">
        <v>28</v>
      </c>
      <c r="B30" s="35">
        <v>10.220000000000001</v>
      </c>
      <c r="C30" s="35">
        <v>11.257980921181668</v>
      </c>
      <c r="T30" s="33" t="s">
        <v>28</v>
      </c>
      <c r="U30" s="34">
        <v>1999.7</v>
      </c>
      <c r="V30" s="34">
        <v>18571</v>
      </c>
      <c r="W30" s="34">
        <v>152</v>
      </c>
      <c r="X30" s="34">
        <v>0</v>
      </c>
      <c r="Y30" s="34">
        <v>39</v>
      </c>
      <c r="Z30" s="34">
        <v>44</v>
      </c>
      <c r="AA30" s="35">
        <v>313463.41111111111</v>
      </c>
      <c r="AB30" s="34">
        <v>261707.03333333335</v>
      </c>
      <c r="AC30" s="34">
        <v>575170.4444444445</v>
      </c>
      <c r="AH30" s="33" t="s">
        <v>51</v>
      </c>
      <c r="AI30" s="34">
        <v>459</v>
      </c>
    </row>
    <row r="31" spans="1:35" x14ac:dyDescent="0.25">
      <c r="A31" s="33" t="s">
        <v>29</v>
      </c>
      <c r="B31" s="35">
        <v>27.651960784313726</v>
      </c>
      <c r="C31" s="35">
        <v>10.091870311251792</v>
      </c>
      <c r="T31" s="33" t="s">
        <v>29</v>
      </c>
      <c r="U31" s="34">
        <v>1567</v>
      </c>
      <c r="V31" s="34">
        <v>13595.33</v>
      </c>
      <c r="W31" s="34">
        <v>180</v>
      </c>
      <c r="X31" s="34">
        <v>13</v>
      </c>
      <c r="Y31" s="34">
        <v>150</v>
      </c>
      <c r="Z31" s="34">
        <v>80.14</v>
      </c>
      <c r="AA31" s="35">
        <v>459674.59777777782</v>
      </c>
      <c r="AB31" s="34">
        <v>196393.17999999996</v>
      </c>
      <c r="AC31" s="34">
        <v>656067.77777777775</v>
      </c>
      <c r="AH31" s="33" t="s">
        <v>30</v>
      </c>
      <c r="AI31" s="34">
        <v>898.3</v>
      </c>
    </row>
    <row r="32" spans="1:35" x14ac:dyDescent="0.25">
      <c r="A32" s="33" t="s">
        <v>94</v>
      </c>
      <c r="B32" s="35">
        <v>12.672777777777778</v>
      </c>
      <c r="C32" s="35">
        <v>13.526369249472269</v>
      </c>
      <c r="T32" s="33" t="s">
        <v>94</v>
      </c>
      <c r="U32" s="34">
        <v>1497</v>
      </c>
      <c r="V32" s="34">
        <v>14370</v>
      </c>
      <c r="W32" s="34">
        <v>245</v>
      </c>
      <c r="X32" s="34">
        <v>0</v>
      </c>
      <c r="Y32" s="34">
        <v>101</v>
      </c>
      <c r="Z32" s="34">
        <v>60</v>
      </c>
      <c r="AA32" s="35">
        <v>402858.77</v>
      </c>
      <c r="AB32" s="34">
        <v>161631.22999999998</v>
      </c>
      <c r="AC32" s="34">
        <v>564490</v>
      </c>
      <c r="AH32" s="33" t="s">
        <v>38</v>
      </c>
      <c r="AI32" s="34">
        <v>1325.5</v>
      </c>
    </row>
    <row r="33" spans="1:35" x14ac:dyDescent="0.25">
      <c r="A33" s="33" t="s">
        <v>126</v>
      </c>
      <c r="B33" s="35">
        <v>6.8849067103810144</v>
      </c>
      <c r="C33" s="35">
        <v>9.437114658850442</v>
      </c>
      <c r="T33" s="33" t="s">
        <v>126</v>
      </c>
      <c r="U33" s="34">
        <v>1446.5</v>
      </c>
      <c r="V33" s="34">
        <v>13349</v>
      </c>
      <c r="W33" s="34">
        <v>125</v>
      </c>
      <c r="X33" s="34">
        <v>0</v>
      </c>
      <c r="Y33" s="34">
        <v>45</v>
      </c>
      <c r="Z33" s="34">
        <v>35</v>
      </c>
      <c r="AA33" s="35">
        <v>370947.52999999997</v>
      </c>
      <c r="AB33" s="34">
        <v>146192.47</v>
      </c>
      <c r="AC33" s="34">
        <v>517140</v>
      </c>
      <c r="AH33" s="33" t="s">
        <v>136</v>
      </c>
      <c r="AI33" s="34">
        <v>264</v>
      </c>
    </row>
    <row r="34" spans="1:35" x14ac:dyDescent="0.25">
      <c r="A34" s="33" t="s">
        <v>36</v>
      </c>
      <c r="B34" s="35">
        <v>21.850649350649352</v>
      </c>
      <c r="C34" s="35">
        <v>37.55354056633449</v>
      </c>
      <c r="T34" s="33" t="s">
        <v>36</v>
      </c>
      <c r="U34" s="34">
        <v>832.6</v>
      </c>
      <c r="V34" s="34">
        <v>32034</v>
      </c>
      <c r="W34" s="34">
        <v>152</v>
      </c>
      <c r="X34" s="34">
        <v>0</v>
      </c>
      <c r="Y34" s="34">
        <v>205</v>
      </c>
      <c r="Z34" s="34">
        <v>111.41</v>
      </c>
      <c r="AA34" s="35">
        <v>816297.48999999987</v>
      </c>
      <c r="AB34" s="34">
        <v>297095.84333333332</v>
      </c>
      <c r="AC34" s="34">
        <v>1113393.3333333335</v>
      </c>
      <c r="AH34" s="33" t="s">
        <v>11</v>
      </c>
      <c r="AI34" s="34">
        <v>1078</v>
      </c>
    </row>
    <row r="35" spans="1:35" x14ac:dyDescent="0.25">
      <c r="A35" s="33" t="s">
        <v>37</v>
      </c>
      <c r="B35" s="35">
        <v>0</v>
      </c>
      <c r="C35" s="35">
        <v>1.3089005235602094E-2</v>
      </c>
      <c r="T35" s="33" t="s">
        <v>37</v>
      </c>
      <c r="U35" s="34">
        <v>412.5</v>
      </c>
      <c r="V35" s="34">
        <v>15</v>
      </c>
      <c r="W35" s="34">
        <v>1</v>
      </c>
      <c r="X35" s="34">
        <v>0</v>
      </c>
      <c r="Y35" s="34">
        <v>0</v>
      </c>
      <c r="Z35" s="34">
        <v>0</v>
      </c>
      <c r="AA35" s="35">
        <v>981723.73000000021</v>
      </c>
      <c r="AB35" s="34">
        <v>126306.3</v>
      </c>
      <c r="AC35" s="34">
        <v>1108030.03</v>
      </c>
      <c r="AH35" s="33" t="s">
        <v>12</v>
      </c>
      <c r="AI35" s="34">
        <v>126</v>
      </c>
    </row>
    <row r="36" spans="1:35" x14ac:dyDescent="0.25">
      <c r="A36" s="33" t="s">
        <v>51</v>
      </c>
      <c r="B36" s="35">
        <v>54.696820822162238</v>
      </c>
      <c r="C36" s="35">
        <v>19.702533542443195</v>
      </c>
      <c r="T36" s="33" t="s">
        <v>51</v>
      </c>
      <c r="U36" s="34">
        <v>459</v>
      </c>
      <c r="V36" s="34">
        <v>6402.2</v>
      </c>
      <c r="W36" s="34">
        <v>21</v>
      </c>
      <c r="X36" s="34">
        <v>5</v>
      </c>
      <c r="Y36" s="34">
        <v>13</v>
      </c>
      <c r="Z36" s="34">
        <v>8</v>
      </c>
      <c r="AA36" s="35">
        <v>117220.07555555557</v>
      </c>
      <c r="AB36" s="34">
        <v>63754.924444444448</v>
      </c>
      <c r="AC36" s="34">
        <v>180975</v>
      </c>
      <c r="AH36" s="33" t="s">
        <v>13</v>
      </c>
      <c r="AI36" s="34">
        <v>2503.5</v>
      </c>
    </row>
    <row r="37" spans="1:35" x14ac:dyDescent="0.25">
      <c r="A37" s="33" t="s">
        <v>30</v>
      </c>
      <c r="B37" s="35">
        <v>3.4000000000000004</v>
      </c>
      <c r="C37" s="35">
        <v>5.0507310771095799</v>
      </c>
      <c r="T37" s="33" t="s">
        <v>30</v>
      </c>
      <c r="U37" s="34">
        <v>898.3</v>
      </c>
      <c r="V37" s="34">
        <v>5521</v>
      </c>
      <c r="W37" s="34">
        <v>210</v>
      </c>
      <c r="X37" s="34">
        <v>0</v>
      </c>
      <c r="Y37" s="34">
        <v>55</v>
      </c>
      <c r="Z37" s="34">
        <v>87.39</v>
      </c>
      <c r="AA37" s="35">
        <v>501065.80777777778</v>
      </c>
      <c r="AB37" s="34">
        <v>79389.19222222222</v>
      </c>
      <c r="AC37" s="34">
        <v>580455</v>
      </c>
      <c r="AH37" s="33" t="s">
        <v>14</v>
      </c>
      <c r="AI37" s="34">
        <v>1540</v>
      </c>
    </row>
    <row r="38" spans="1:35" x14ac:dyDescent="0.25">
      <c r="A38" s="33" t="s">
        <v>38</v>
      </c>
      <c r="B38" s="35">
        <v>21.048095238095236</v>
      </c>
      <c r="C38" s="35">
        <v>20.471762184664012</v>
      </c>
      <c r="T38" s="33" t="s">
        <v>38</v>
      </c>
      <c r="U38" s="34">
        <v>1325.5</v>
      </c>
      <c r="V38" s="34">
        <v>29372</v>
      </c>
      <c r="W38" s="34">
        <v>758</v>
      </c>
      <c r="X38" s="34">
        <v>85</v>
      </c>
      <c r="Y38" s="34">
        <v>538</v>
      </c>
      <c r="Z38" s="34">
        <v>121</v>
      </c>
      <c r="AA38" s="35">
        <v>1032057.29</v>
      </c>
      <c r="AB38" s="34">
        <v>508716.9266666667</v>
      </c>
      <c r="AC38" s="34">
        <v>1540774.2166666668</v>
      </c>
      <c r="AH38" s="33" t="s">
        <v>15</v>
      </c>
      <c r="AI38" s="34">
        <v>779</v>
      </c>
    </row>
    <row r="39" spans="1:35" x14ac:dyDescent="0.25">
      <c r="A39" s="33" t="s">
        <v>136</v>
      </c>
      <c r="B39" s="35">
        <v>0</v>
      </c>
      <c r="C39" s="35">
        <v>9.5244897959183668</v>
      </c>
      <c r="T39" s="33" t="s">
        <v>136</v>
      </c>
      <c r="U39" s="34">
        <v>264</v>
      </c>
      <c r="V39" s="34">
        <v>1719</v>
      </c>
      <c r="W39" s="34">
        <v>20</v>
      </c>
      <c r="X39" s="34">
        <v>0</v>
      </c>
      <c r="Y39" s="34">
        <v>5</v>
      </c>
      <c r="Z39" s="34">
        <v>0</v>
      </c>
      <c r="AA39" s="35">
        <v>25116.690000000002</v>
      </c>
      <c r="AB39" s="34">
        <v>7773.3099999999995</v>
      </c>
      <c r="AC39" s="34">
        <v>32890</v>
      </c>
      <c r="AH39" s="33" t="s">
        <v>95</v>
      </c>
      <c r="AI39" s="34">
        <v>95.6</v>
      </c>
    </row>
    <row r="40" spans="1:35" x14ac:dyDescent="0.25">
      <c r="A40" s="33" t="s">
        <v>11</v>
      </c>
      <c r="B40" s="35">
        <v>0</v>
      </c>
      <c r="C40" s="35">
        <v>11.670033916788288</v>
      </c>
      <c r="T40" s="33" t="s">
        <v>11</v>
      </c>
      <c r="U40" s="34">
        <v>1078</v>
      </c>
      <c r="V40" s="34">
        <v>11683.58</v>
      </c>
      <c r="W40" s="34">
        <v>281</v>
      </c>
      <c r="X40" s="34">
        <v>0</v>
      </c>
      <c r="Y40" s="34">
        <v>59</v>
      </c>
      <c r="Z40" s="34">
        <v>17</v>
      </c>
      <c r="AA40" s="35">
        <v>401403.67000000004</v>
      </c>
      <c r="AB40" s="34">
        <v>133596.33000000002</v>
      </c>
      <c r="AC40" s="34">
        <v>535000</v>
      </c>
      <c r="AH40" s="33" t="s">
        <v>97</v>
      </c>
      <c r="AI40" s="34">
        <v>72.5</v>
      </c>
    </row>
    <row r="41" spans="1:35" x14ac:dyDescent="0.25">
      <c r="A41" s="33" t="s">
        <v>12</v>
      </c>
      <c r="B41" s="35">
        <v>0</v>
      </c>
      <c r="C41" s="35">
        <v>10.962260162601627</v>
      </c>
      <c r="T41" s="33" t="s">
        <v>12</v>
      </c>
      <c r="U41" s="34">
        <v>126</v>
      </c>
      <c r="V41" s="34">
        <v>2298</v>
      </c>
      <c r="W41" s="34">
        <v>25</v>
      </c>
      <c r="X41" s="34">
        <v>0</v>
      </c>
      <c r="Y41" s="34">
        <v>138</v>
      </c>
      <c r="Z41" s="34">
        <v>0</v>
      </c>
      <c r="AA41" s="35">
        <v>-8041.7899999999991</v>
      </c>
      <c r="AB41" s="34">
        <v>56441.789999999994</v>
      </c>
      <c r="AC41" s="34">
        <v>48400</v>
      </c>
      <c r="AH41" s="33" t="s">
        <v>98</v>
      </c>
      <c r="AI41" s="34">
        <v>0</v>
      </c>
    </row>
    <row r="42" spans="1:35" x14ac:dyDescent="0.25">
      <c r="A42" s="33" t="s">
        <v>13</v>
      </c>
      <c r="B42" s="35">
        <v>0</v>
      </c>
      <c r="C42" s="35">
        <v>9.8930013621012609</v>
      </c>
      <c r="T42" s="33" t="s">
        <v>13</v>
      </c>
      <c r="U42" s="34">
        <v>2503.5</v>
      </c>
      <c r="V42" s="34">
        <v>18570</v>
      </c>
      <c r="W42" s="34">
        <v>257</v>
      </c>
      <c r="X42" s="34">
        <v>0</v>
      </c>
      <c r="Y42" s="34">
        <v>45</v>
      </c>
      <c r="Z42" s="34">
        <v>50.5</v>
      </c>
      <c r="AA42" s="35">
        <v>336289.45333333337</v>
      </c>
      <c r="AB42" s="34">
        <v>360268.88</v>
      </c>
      <c r="AC42" s="34">
        <v>696558.33333333326</v>
      </c>
      <c r="AH42" s="33" t="s">
        <v>99</v>
      </c>
      <c r="AI42" s="34">
        <v>824</v>
      </c>
    </row>
    <row r="43" spans="1:35" x14ac:dyDescent="0.25">
      <c r="A43" s="33" t="s">
        <v>14</v>
      </c>
      <c r="B43" s="35">
        <v>16.070262480699949</v>
      </c>
      <c r="C43" s="35">
        <v>19.315148053504444</v>
      </c>
      <c r="T43" s="33" t="s">
        <v>14</v>
      </c>
      <c r="U43" s="34">
        <v>1540</v>
      </c>
      <c r="V43" s="34">
        <v>29397.279999999999</v>
      </c>
      <c r="W43" s="34">
        <v>199</v>
      </c>
      <c r="X43" s="34">
        <v>0</v>
      </c>
      <c r="Y43" s="34">
        <v>201</v>
      </c>
      <c r="Z43" s="34">
        <v>59</v>
      </c>
      <c r="AA43" s="35">
        <v>247447.70888888891</v>
      </c>
      <c r="AB43" s="34">
        <v>515457.84666666668</v>
      </c>
      <c r="AC43" s="34">
        <v>762905.5555555555</v>
      </c>
      <c r="AH43" s="33" t="s">
        <v>100</v>
      </c>
      <c r="AI43" s="34">
        <v>0</v>
      </c>
    </row>
    <row r="44" spans="1:35" x14ac:dyDescent="0.25">
      <c r="A44" s="33" t="s">
        <v>15</v>
      </c>
      <c r="B44" s="35">
        <v>16.166683600894245</v>
      </c>
      <c r="C44" s="35">
        <v>10.213749160100111</v>
      </c>
      <c r="T44" s="33" t="s">
        <v>15</v>
      </c>
      <c r="U44" s="34">
        <v>779</v>
      </c>
      <c r="V44" s="34">
        <v>8883</v>
      </c>
      <c r="W44" s="34">
        <v>97</v>
      </c>
      <c r="X44" s="34">
        <v>40</v>
      </c>
      <c r="Y44" s="34">
        <v>47</v>
      </c>
      <c r="Z44" s="34">
        <v>15</v>
      </c>
      <c r="AA44" s="35">
        <v>256915.11</v>
      </c>
      <c r="AB44" s="34">
        <v>195084.89</v>
      </c>
      <c r="AC44" s="34">
        <v>452000</v>
      </c>
      <c r="AH44" s="33" t="s">
        <v>101</v>
      </c>
      <c r="AI44" s="34">
        <v>94</v>
      </c>
    </row>
    <row r="45" spans="1:35" x14ac:dyDescent="0.25">
      <c r="A45" s="33" t="s">
        <v>95</v>
      </c>
      <c r="B45" s="35">
        <v>3.0420597830879115</v>
      </c>
      <c r="C45" s="35">
        <v>0.24210526315789474</v>
      </c>
      <c r="T45" s="33" t="s">
        <v>95</v>
      </c>
      <c r="U45" s="34">
        <v>95.6</v>
      </c>
      <c r="V45" s="34">
        <v>69</v>
      </c>
      <c r="W45" s="34">
        <v>1</v>
      </c>
      <c r="X45" s="34">
        <v>0</v>
      </c>
      <c r="Y45" s="34">
        <v>1</v>
      </c>
      <c r="Z45" s="34">
        <v>0</v>
      </c>
      <c r="AA45" s="35">
        <v>-283.12</v>
      </c>
      <c r="AB45" s="34">
        <v>283.12</v>
      </c>
      <c r="AC45" s="34">
        <v>0</v>
      </c>
      <c r="AH45" s="33" t="s">
        <v>102</v>
      </c>
      <c r="AI45" s="34">
        <v>290.5</v>
      </c>
    </row>
    <row r="46" spans="1:35" x14ac:dyDescent="0.25">
      <c r="A46" s="33" t="s">
        <v>97</v>
      </c>
      <c r="B46" s="35">
        <v>283.68794326241317</v>
      </c>
      <c r="C46" s="35">
        <v>1.4885791715060006</v>
      </c>
      <c r="T46" s="33" t="s">
        <v>97</v>
      </c>
      <c r="U46" s="34">
        <v>72.5</v>
      </c>
      <c r="V46" s="34">
        <v>110</v>
      </c>
      <c r="W46" s="34">
        <v>1</v>
      </c>
      <c r="X46" s="34">
        <v>0</v>
      </c>
      <c r="Y46" s="34">
        <v>0</v>
      </c>
      <c r="Z46" s="34">
        <v>0</v>
      </c>
      <c r="AA46" s="35">
        <v>-40</v>
      </c>
      <c r="AB46" s="34">
        <v>40</v>
      </c>
      <c r="AC46" s="34">
        <v>0</v>
      </c>
      <c r="AH46" s="33" t="s">
        <v>104</v>
      </c>
      <c r="AI46" s="34">
        <v>0</v>
      </c>
    </row>
    <row r="47" spans="1:35" x14ac:dyDescent="0.25">
      <c r="A47" s="33" t="s">
        <v>98</v>
      </c>
      <c r="B47" s="35"/>
      <c r="C47" s="35">
        <v>0</v>
      </c>
      <c r="T47" s="33" t="s">
        <v>98</v>
      </c>
      <c r="U47" s="34">
        <v>0</v>
      </c>
      <c r="V47" s="34">
        <v>204</v>
      </c>
      <c r="W47" s="34">
        <v>0</v>
      </c>
      <c r="X47" s="34">
        <v>0</v>
      </c>
      <c r="Y47" s="34">
        <v>0</v>
      </c>
      <c r="Z47" s="34">
        <v>0</v>
      </c>
      <c r="AA47" s="35">
        <v>-543.5</v>
      </c>
      <c r="AB47" s="34">
        <v>543.5</v>
      </c>
      <c r="AC47" s="34">
        <v>0</v>
      </c>
      <c r="AH47" s="33" t="s">
        <v>107</v>
      </c>
      <c r="AI47" s="34">
        <v>78</v>
      </c>
    </row>
    <row r="48" spans="1:35" x14ac:dyDescent="0.25">
      <c r="A48" s="33" t="s">
        <v>99</v>
      </c>
      <c r="B48" s="35">
        <v>20.318332001065812</v>
      </c>
      <c r="C48" s="35">
        <v>16.621409624086084</v>
      </c>
      <c r="T48" s="33" t="s">
        <v>99</v>
      </c>
      <c r="U48" s="34">
        <v>824</v>
      </c>
      <c r="V48" s="34">
        <v>19018.47</v>
      </c>
      <c r="W48" s="34">
        <v>104</v>
      </c>
      <c r="X48" s="34">
        <v>0</v>
      </c>
      <c r="Y48" s="34">
        <v>0</v>
      </c>
      <c r="Z48" s="34">
        <v>0</v>
      </c>
      <c r="AA48" s="35">
        <v>-74597.17</v>
      </c>
      <c r="AB48" s="34">
        <v>74597.17</v>
      </c>
      <c r="AC48" s="34">
        <v>0</v>
      </c>
      <c r="AH48" s="33" t="s">
        <v>125</v>
      </c>
      <c r="AI48" s="34">
        <v>152</v>
      </c>
    </row>
    <row r="49" spans="1:35" x14ac:dyDescent="0.25">
      <c r="A49" s="33" t="s">
        <v>100</v>
      </c>
      <c r="B49" s="35"/>
      <c r="C49" s="35">
        <v>0</v>
      </c>
      <c r="T49" s="33" t="s">
        <v>100</v>
      </c>
      <c r="U49" s="34">
        <v>0</v>
      </c>
      <c r="V49" s="34">
        <v>187</v>
      </c>
      <c r="W49" s="34">
        <v>3</v>
      </c>
      <c r="X49" s="34">
        <v>0</v>
      </c>
      <c r="Y49" s="34">
        <v>0</v>
      </c>
      <c r="Z49" s="34">
        <v>0</v>
      </c>
      <c r="AA49" s="35">
        <v>-80</v>
      </c>
      <c r="AB49" s="34">
        <v>80</v>
      </c>
      <c r="AC49" s="34">
        <v>0</v>
      </c>
      <c r="AH49" s="33" t="s">
        <v>121</v>
      </c>
      <c r="AI49" s="34">
        <v>46</v>
      </c>
    </row>
    <row r="50" spans="1:35" x14ac:dyDescent="0.25">
      <c r="A50" s="33" t="s">
        <v>101</v>
      </c>
      <c r="B50" s="35">
        <v>0</v>
      </c>
      <c r="C50" s="35">
        <v>1.3789704447599185</v>
      </c>
      <c r="T50" s="33" t="s">
        <v>101</v>
      </c>
      <c r="U50" s="34">
        <v>94</v>
      </c>
      <c r="V50" s="34">
        <v>332</v>
      </c>
      <c r="W50" s="34">
        <v>4</v>
      </c>
      <c r="X50" s="34">
        <v>0</v>
      </c>
      <c r="Y50" s="34">
        <v>0</v>
      </c>
      <c r="Z50" s="34">
        <v>0</v>
      </c>
      <c r="AA50" s="35">
        <v>-2853.16</v>
      </c>
      <c r="AB50" s="34">
        <v>2853.16</v>
      </c>
      <c r="AC50" s="34">
        <v>0</v>
      </c>
      <c r="AH50" s="33" t="s">
        <v>135</v>
      </c>
      <c r="AI50" s="34">
        <v>1</v>
      </c>
    </row>
    <row r="51" spans="1:35" x14ac:dyDescent="0.25">
      <c r="A51" s="33" t="s">
        <v>102</v>
      </c>
      <c r="B51" s="35">
        <v>0</v>
      </c>
      <c r="C51" s="35">
        <v>1.2138026987186372</v>
      </c>
      <c r="T51" s="33" t="s">
        <v>102</v>
      </c>
      <c r="U51" s="34">
        <v>290.5</v>
      </c>
      <c r="V51" s="34">
        <v>422.5</v>
      </c>
      <c r="W51" s="34">
        <v>0</v>
      </c>
      <c r="X51" s="34">
        <v>0</v>
      </c>
      <c r="Y51" s="34">
        <v>0</v>
      </c>
      <c r="Z51" s="34">
        <v>0</v>
      </c>
      <c r="AA51" s="35">
        <v>-1456.4699999999998</v>
      </c>
      <c r="AB51" s="34">
        <v>1456.4699999999998</v>
      </c>
      <c r="AC51" s="34">
        <v>0</v>
      </c>
      <c r="AH51" s="33" t="s">
        <v>120</v>
      </c>
      <c r="AI51" s="34">
        <v>101</v>
      </c>
    </row>
    <row r="52" spans="1:35" x14ac:dyDescent="0.25">
      <c r="A52" s="33" t="s">
        <v>104</v>
      </c>
      <c r="B52" s="35"/>
      <c r="C52" s="35">
        <v>0</v>
      </c>
      <c r="T52" s="33" t="s">
        <v>104</v>
      </c>
      <c r="U52" s="34">
        <v>0</v>
      </c>
      <c r="V52" s="34">
        <v>110</v>
      </c>
      <c r="W52" s="34">
        <v>7</v>
      </c>
      <c r="X52" s="34">
        <v>0</v>
      </c>
      <c r="Y52" s="34">
        <v>0</v>
      </c>
      <c r="Z52" s="34">
        <v>0</v>
      </c>
      <c r="AA52" s="35">
        <v>-313.31</v>
      </c>
      <c r="AB52" s="34">
        <v>313.31</v>
      </c>
      <c r="AC52" s="34">
        <v>0</v>
      </c>
      <c r="AH52" s="33" t="s">
        <v>20</v>
      </c>
      <c r="AI52" s="34">
        <v>1562</v>
      </c>
    </row>
    <row r="53" spans="1:35" x14ac:dyDescent="0.25">
      <c r="A53" s="33" t="s">
        <v>107</v>
      </c>
      <c r="B53" s="35"/>
      <c r="C53" s="35">
        <v>1.5128205128205128</v>
      </c>
      <c r="T53" s="33" t="s">
        <v>107</v>
      </c>
      <c r="U53" s="34">
        <v>78</v>
      </c>
      <c r="V53" s="34">
        <v>118</v>
      </c>
      <c r="W53" s="34">
        <v>6</v>
      </c>
      <c r="X53" s="34">
        <v>0</v>
      </c>
      <c r="Y53" s="34">
        <v>0</v>
      </c>
      <c r="Z53" s="34">
        <v>0</v>
      </c>
      <c r="AA53" s="35">
        <v>0</v>
      </c>
      <c r="AB53" s="34"/>
      <c r="AC53" s="34"/>
      <c r="AH53" s="33" t="s">
        <v>21</v>
      </c>
      <c r="AI53" s="34">
        <v>1483.45</v>
      </c>
    </row>
    <row r="54" spans="1:35" x14ac:dyDescent="0.25">
      <c r="A54" s="33" t="s">
        <v>125</v>
      </c>
      <c r="B54" s="35">
        <v>0</v>
      </c>
      <c r="C54" s="35">
        <v>1.1906130268199233</v>
      </c>
      <c r="T54" s="33" t="s">
        <v>125</v>
      </c>
      <c r="U54" s="34">
        <v>152</v>
      </c>
      <c r="V54" s="34">
        <v>180</v>
      </c>
      <c r="W54" s="34">
        <v>5</v>
      </c>
      <c r="X54" s="34">
        <v>0</v>
      </c>
      <c r="Y54" s="34">
        <v>0</v>
      </c>
      <c r="Z54" s="34">
        <v>0</v>
      </c>
      <c r="AA54" s="35">
        <v>0</v>
      </c>
      <c r="AB54" s="34"/>
      <c r="AC54" s="34"/>
      <c r="AH54" s="33" t="s">
        <v>124</v>
      </c>
      <c r="AI54" s="34">
        <v>1088</v>
      </c>
    </row>
    <row r="55" spans="1:35" x14ac:dyDescent="0.25">
      <c r="A55" s="33" t="s">
        <v>121</v>
      </c>
      <c r="B55" s="35">
        <v>8.75</v>
      </c>
      <c r="C55" s="35">
        <v>4.4010416666666661</v>
      </c>
      <c r="T55" s="33" t="s">
        <v>121</v>
      </c>
      <c r="U55" s="34">
        <v>46</v>
      </c>
      <c r="V55" s="34">
        <v>155</v>
      </c>
      <c r="W55" s="34">
        <v>0</v>
      </c>
      <c r="X55" s="34">
        <v>0</v>
      </c>
      <c r="Y55" s="34">
        <v>0</v>
      </c>
      <c r="Z55" s="34">
        <v>0</v>
      </c>
      <c r="AA55" s="35">
        <v>0</v>
      </c>
      <c r="AB55" s="34"/>
      <c r="AC55" s="34"/>
      <c r="AH55" s="33" t="s">
        <v>22</v>
      </c>
      <c r="AI55" s="34">
        <v>1578</v>
      </c>
    </row>
    <row r="56" spans="1:35" x14ac:dyDescent="0.25">
      <c r="A56" s="33" t="s">
        <v>135</v>
      </c>
      <c r="B56" s="35"/>
      <c r="C56" s="35">
        <v>20</v>
      </c>
      <c r="T56" s="33" t="s">
        <v>135</v>
      </c>
      <c r="U56" s="34">
        <v>1</v>
      </c>
      <c r="V56" s="34">
        <v>20</v>
      </c>
      <c r="W56" s="34">
        <v>5</v>
      </c>
      <c r="X56" s="34">
        <v>0</v>
      </c>
      <c r="Y56" s="34">
        <v>0</v>
      </c>
      <c r="Z56" s="34">
        <v>0</v>
      </c>
      <c r="AA56" s="35">
        <v>0</v>
      </c>
      <c r="AB56" s="34"/>
      <c r="AC56" s="34"/>
      <c r="AH56" s="33" t="s">
        <v>23</v>
      </c>
      <c r="AI56" s="34">
        <v>1905.5</v>
      </c>
    </row>
    <row r="57" spans="1:35" x14ac:dyDescent="0.25">
      <c r="A57" s="33" t="s">
        <v>120</v>
      </c>
      <c r="B57" s="35">
        <v>0</v>
      </c>
      <c r="C57" s="35">
        <v>2.9069767441860465E-2</v>
      </c>
      <c r="T57" s="33" t="s">
        <v>120</v>
      </c>
      <c r="U57" s="34">
        <v>101</v>
      </c>
      <c r="V57" s="34">
        <v>5</v>
      </c>
      <c r="W57" s="34">
        <v>3</v>
      </c>
      <c r="X57" s="34">
        <v>0</v>
      </c>
      <c r="Y57" s="34">
        <v>0</v>
      </c>
      <c r="Z57" s="34">
        <v>0</v>
      </c>
      <c r="AA57" s="35">
        <v>0</v>
      </c>
      <c r="AB57" s="34"/>
      <c r="AC57" s="34"/>
      <c r="AH57" s="33" t="s">
        <v>24</v>
      </c>
      <c r="AI57" s="34">
        <v>2256.5</v>
      </c>
    </row>
    <row r="58" spans="1:35" x14ac:dyDescent="0.25">
      <c r="A58" s="33" t="s">
        <v>20</v>
      </c>
      <c r="B58" s="35">
        <v>10.510806451612904</v>
      </c>
      <c r="C58" s="35">
        <v>15.13510078625219</v>
      </c>
      <c r="T58" s="33" t="s">
        <v>20</v>
      </c>
      <c r="U58" s="34">
        <v>1562</v>
      </c>
      <c r="V58" s="34">
        <v>25657.38</v>
      </c>
      <c r="W58" s="34">
        <v>207</v>
      </c>
      <c r="X58" s="34">
        <v>0</v>
      </c>
      <c r="Y58" s="34">
        <v>385</v>
      </c>
      <c r="Z58" s="34">
        <v>138.63999999999999</v>
      </c>
      <c r="AA58" s="35">
        <v>217645.68555555562</v>
      </c>
      <c r="AB58" s="34">
        <v>438518.20333333331</v>
      </c>
      <c r="AC58" s="34">
        <v>656163.88888888899</v>
      </c>
      <c r="AH58" s="33" t="s">
        <v>25</v>
      </c>
      <c r="AI58" s="34">
        <v>1934.5</v>
      </c>
    </row>
    <row r="59" spans="1:35" x14ac:dyDescent="0.25">
      <c r="A59" s="33" t="s">
        <v>21</v>
      </c>
      <c r="B59" s="35">
        <v>19.631818181818183</v>
      </c>
      <c r="C59" s="35">
        <v>11.067549037027575</v>
      </c>
      <c r="T59" s="33" t="s">
        <v>21</v>
      </c>
      <c r="U59" s="34">
        <v>1483.45</v>
      </c>
      <c r="V59" s="34">
        <v>18047</v>
      </c>
      <c r="W59" s="34">
        <v>256</v>
      </c>
      <c r="X59" s="34">
        <v>0</v>
      </c>
      <c r="Y59" s="34">
        <v>322</v>
      </c>
      <c r="Z59" s="34">
        <v>51.64</v>
      </c>
      <c r="AA59" s="35">
        <v>312043.71222222224</v>
      </c>
      <c r="AB59" s="34">
        <v>335916.84333333332</v>
      </c>
      <c r="AC59" s="34">
        <v>647960.5555555555</v>
      </c>
      <c r="AH59" s="33" t="s">
        <v>26</v>
      </c>
      <c r="AI59" s="34">
        <v>1913</v>
      </c>
    </row>
    <row r="60" spans="1:35" x14ac:dyDescent="0.25">
      <c r="A60" s="33" t="s">
        <v>124</v>
      </c>
      <c r="B60" s="35">
        <v>18.083558589217596</v>
      </c>
      <c r="C60" s="35">
        <v>17.555089323682502</v>
      </c>
      <c r="T60" s="33" t="s">
        <v>124</v>
      </c>
      <c r="U60" s="34">
        <v>1088</v>
      </c>
      <c r="V60" s="34">
        <v>18492</v>
      </c>
      <c r="W60" s="34">
        <v>59</v>
      </c>
      <c r="X60" s="34">
        <v>0</v>
      </c>
      <c r="Y60" s="34">
        <v>135</v>
      </c>
      <c r="Z60" s="34">
        <v>24</v>
      </c>
      <c r="AA60" s="35">
        <v>215299.09</v>
      </c>
      <c r="AB60" s="34">
        <v>241660.91</v>
      </c>
      <c r="AC60" s="34">
        <v>456960</v>
      </c>
      <c r="AH60" s="33" t="s">
        <v>27</v>
      </c>
      <c r="AI60" s="34">
        <v>1803</v>
      </c>
    </row>
    <row r="61" spans="1:35" x14ac:dyDescent="0.25">
      <c r="A61" s="33" t="s">
        <v>22</v>
      </c>
      <c r="B61" s="35">
        <v>34.260967741935481</v>
      </c>
      <c r="C61" s="35">
        <v>20.809290441282123</v>
      </c>
      <c r="T61" s="33" t="s">
        <v>22</v>
      </c>
      <c r="U61" s="34">
        <v>1578</v>
      </c>
      <c r="V61" s="34">
        <v>30100.9</v>
      </c>
      <c r="W61" s="34">
        <v>211</v>
      </c>
      <c r="X61" s="34">
        <v>0</v>
      </c>
      <c r="Y61" s="34">
        <v>265</v>
      </c>
      <c r="Z61" s="34">
        <v>176.39</v>
      </c>
      <c r="AA61" s="35">
        <v>193452.40333333315</v>
      </c>
      <c r="AB61" s="34">
        <v>531436.92999999993</v>
      </c>
      <c r="AC61" s="34">
        <v>724889.33333333326</v>
      </c>
      <c r="AH61" s="33" t="s">
        <v>130</v>
      </c>
      <c r="AI61" s="34">
        <v>774</v>
      </c>
    </row>
    <row r="62" spans="1:35" x14ac:dyDescent="0.25">
      <c r="A62" s="33" t="s">
        <v>23</v>
      </c>
      <c r="B62" s="35">
        <v>20.130711688855179</v>
      </c>
      <c r="C62" s="35">
        <v>24.301898438130774</v>
      </c>
      <c r="T62" s="33" t="s">
        <v>23</v>
      </c>
      <c r="U62" s="34">
        <v>1905.5</v>
      </c>
      <c r="V62" s="34">
        <v>45868</v>
      </c>
      <c r="W62" s="34">
        <v>252</v>
      </c>
      <c r="X62" s="34">
        <v>0</v>
      </c>
      <c r="Y62" s="34">
        <v>402</v>
      </c>
      <c r="Z62" s="34">
        <v>256</v>
      </c>
      <c r="AA62" s="35">
        <v>148482.19666666651</v>
      </c>
      <c r="AB62" s="34">
        <v>642907.80333333323</v>
      </c>
      <c r="AC62" s="34">
        <v>791389.99999999988</v>
      </c>
      <c r="AH62" s="33" t="s">
        <v>137</v>
      </c>
      <c r="AI62" s="34">
        <v>602</v>
      </c>
    </row>
    <row r="63" spans="1:35" x14ac:dyDescent="0.25">
      <c r="A63" s="33" t="s">
        <v>24</v>
      </c>
      <c r="B63" s="35">
        <v>12.770750996414499</v>
      </c>
      <c r="C63" s="35">
        <v>23.837506590788365</v>
      </c>
      <c r="T63" s="33" t="s">
        <v>24</v>
      </c>
      <c r="U63" s="34">
        <v>2256.5</v>
      </c>
      <c r="V63" s="34">
        <v>54157</v>
      </c>
      <c r="W63" s="34">
        <v>580</v>
      </c>
      <c r="X63" s="34">
        <v>0</v>
      </c>
      <c r="Y63" s="34">
        <v>302</v>
      </c>
      <c r="Z63" s="34">
        <v>209</v>
      </c>
      <c r="AA63" s="35">
        <v>-130710.0333333335</v>
      </c>
      <c r="AB63" s="34">
        <v>1085086.7000000002</v>
      </c>
      <c r="AC63" s="34">
        <v>954376.66666666651</v>
      </c>
      <c r="AH63" s="33" t="s">
        <v>123</v>
      </c>
      <c r="AI63" s="34">
        <v>1031</v>
      </c>
    </row>
    <row r="64" spans="1:35" x14ac:dyDescent="0.25">
      <c r="A64" s="33" t="s">
        <v>25</v>
      </c>
      <c r="B64" s="35">
        <v>23.914999999999999</v>
      </c>
      <c r="C64" s="35">
        <v>22.252714402231422</v>
      </c>
      <c r="T64" s="33" t="s">
        <v>25</v>
      </c>
      <c r="U64" s="34">
        <v>1934.5</v>
      </c>
      <c r="V64" s="34">
        <v>43102</v>
      </c>
      <c r="W64" s="34">
        <v>235</v>
      </c>
      <c r="X64" s="34">
        <v>0</v>
      </c>
      <c r="Y64" s="34">
        <v>405</v>
      </c>
      <c r="Z64" s="34">
        <v>304.5</v>
      </c>
      <c r="AA64" s="35">
        <v>178351.71666666665</v>
      </c>
      <c r="AB64" s="34">
        <v>614918.28333333321</v>
      </c>
      <c r="AC64" s="34">
        <v>793270</v>
      </c>
      <c r="AH64" s="33" t="s">
        <v>128</v>
      </c>
      <c r="AI64" s="34">
        <v>1156</v>
      </c>
    </row>
    <row r="65" spans="1:35" x14ac:dyDescent="0.25">
      <c r="A65" s="33" t="s">
        <v>26</v>
      </c>
      <c r="B65" s="35">
        <v>20.850116289086056</v>
      </c>
      <c r="C65" s="35">
        <v>32.982232880750715</v>
      </c>
      <c r="T65" s="33" t="s">
        <v>26</v>
      </c>
      <c r="U65" s="34">
        <v>1913</v>
      </c>
      <c r="V65" s="34">
        <v>62518</v>
      </c>
      <c r="W65" s="34">
        <v>316</v>
      </c>
      <c r="X65" s="34">
        <v>0</v>
      </c>
      <c r="Y65" s="34">
        <v>607</v>
      </c>
      <c r="Z65" s="34">
        <v>191.5</v>
      </c>
      <c r="AA65" s="35">
        <v>-7709.0500000000029</v>
      </c>
      <c r="AB65" s="34">
        <v>802775.71666666679</v>
      </c>
      <c r="AC65" s="34">
        <v>795066.66666666674</v>
      </c>
      <c r="AH65" s="33" t="s">
        <v>127</v>
      </c>
      <c r="AI65" s="34">
        <v>934.5</v>
      </c>
    </row>
    <row r="66" spans="1:35" x14ac:dyDescent="0.25">
      <c r="A66" s="33" t="s">
        <v>27</v>
      </c>
      <c r="B66" s="35">
        <v>9.7090215704052927</v>
      </c>
      <c r="C66" s="35">
        <v>6.1637104922538013</v>
      </c>
      <c r="T66" s="33" t="s">
        <v>27</v>
      </c>
      <c r="U66" s="34">
        <v>1803</v>
      </c>
      <c r="V66" s="34">
        <v>9158</v>
      </c>
      <c r="W66" s="34">
        <v>65</v>
      </c>
      <c r="X66" s="34">
        <v>0</v>
      </c>
      <c r="Y66" s="34">
        <v>243</v>
      </c>
      <c r="Z66" s="34">
        <v>64.5</v>
      </c>
      <c r="AA66" s="35">
        <v>176214.77</v>
      </c>
      <c r="AB66" s="34">
        <v>140381.89666666667</v>
      </c>
      <c r="AC66" s="34">
        <v>316596.66666666663</v>
      </c>
      <c r="AH66" s="33" t="s">
        <v>129</v>
      </c>
      <c r="AI66" s="34">
        <v>1383</v>
      </c>
    </row>
    <row r="67" spans="1:35" x14ac:dyDescent="0.25">
      <c r="A67" s="33" t="s">
        <v>130</v>
      </c>
      <c r="B67" s="35">
        <v>23.55230238276781</v>
      </c>
      <c r="C67" s="35">
        <v>14.661689702993526</v>
      </c>
      <c r="T67" s="33" t="s">
        <v>130</v>
      </c>
      <c r="U67" s="34">
        <v>774</v>
      </c>
      <c r="V67" s="34">
        <v>13822</v>
      </c>
      <c r="W67" s="34">
        <v>66</v>
      </c>
      <c r="X67" s="34">
        <v>0</v>
      </c>
      <c r="Y67" s="34">
        <v>44</v>
      </c>
      <c r="Z67" s="34">
        <v>58</v>
      </c>
      <c r="AA67" s="35">
        <v>181913.34</v>
      </c>
      <c r="AB67" s="34">
        <v>143166.66</v>
      </c>
      <c r="AC67" s="34">
        <v>325080</v>
      </c>
      <c r="AH67" s="33" t="s">
        <v>122</v>
      </c>
      <c r="AI67" s="34">
        <v>487.5</v>
      </c>
    </row>
    <row r="68" spans="1:35" x14ac:dyDescent="0.25">
      <c r="A68" s="33" t="s">
        <v>137</v>
      </c>
      <c r="B68" s="35">
        <v>7.9827777777777778</v>
      </c>
      <c r="C68" s="35">
        <v>14.746057183557182</v>
      </c>
      <c r="T68" s="33" t="s">
        <v>137</v>
      </c>
      <c r="U68" s="34">
        <v>602</v>
      </c>
      <c r="V68" s="34">
        <v>6762</v>
      </c>
      <c r="W68" s="34">
        <v>80</v>
      </c>
      <c r="X68" s="34">
        <v>0</v>
      </c>
      <c r="Y68" s="34">
        <v>50</v>
      </c>
      <c r="Z68" s="34">
        <v>45</v>
      </c>
      <c r="AA68" s="35">
        <v>45320.639999999999</v>
      </c>
      <c r="AB68" s="34">
        <v>81399.359999999986</v>
      </c>
      <c r="AC68" s="34">
        <v>126720</v>
      </c>
      <c r="AH68" s="33" t="s">
        <v>58</v>
      </c>
      <c r="AI68" s="34">
        <v>2095</v>
      </c>
    </row>
    <row r="69" spans="1:35" x14ac:dyDescent="0.25">
      <c r="A69" s="33" t="s">
        <v>123</v>
      </c>
      <c r="B69" s="35">
        <v>9.4466595161603983</v>
      </c>
      <c r="C69" s="35">
        <v>10.523523648230901</v>
      </c>
      <c r="T69" s="33" t="s">
        <v>123</v>
      </c>
      <c r="U69" s="34">
        <v>1031</v>
      </c>
      <c r="V69" s="34">
        <v>10192</v>
      </c>
      <c r="W69" s="34">
        <v>80</v>
      </c>
      <c r="X69" s="34">
        <v>0</v>
      </c>
      <c r="Y69" s="34">
        <v>80</v>
      </c>
      <c r="Z69" s="34">
        <v>28</v>
      </c>
      <c r="AA69" s="35">
        <v>129101.1</v>
      </c>
      <c r="AB69" s="34">
        <v>108168.9</v>
      </c>
      <c r="AC69" s="34">
        <v>237270</v>
      </c>
      <c r="AH69" s="33" t="s">
        <v>59</v>
      </c>
      <c r="AI69" s="34">
        <v>1158</v>
      </c>
    </row>
    <row r="70" spans="1:35" x14ac:dyDescent="0.25">
      <c r="A70" s="33" t="s">
        <v>128</v>
      </c>
      <c r="B70" s="35">
        <v>18.540229885057471</v>
      </c>
      <c r="C70" s="35">
        <v>19.085746778097896</v>
      </c>
      <c r="T70" s="33" t="s">
        <v>128</v>
      </c>
      <c r="U70" s="34">
        <v>1156</v>
      </c>
      <c r="V70" s="34">
        <v>22072</v>
      </c>
      <c r="W70" s="34">
        <v>175</v>
      </c>
      <c r="X70" s="34">
        <v>5</v>
      </c>
      <c r="Y70" s="34">
        <v>115</v>
      </c>
      <c r="Z70" s="34">
        <v>175</v>
      </c>
      <c r="AA70" s="35">
        <v>231634.41999999998</v>
      </c>
      <c r="AB70" s="34">
        <v>250105.58000000002</v>
      </c>
      <c r="AC70" s="34">
        <v>481740</v>
      </c>
      <c r="AH70" s="33" t="s">
        <v>60</v>
      </c>
      <c r="AI70" s="34">
        <v>2303</v>
      </c>
    </row>
    <row r="71" spans="1:35" x14ac:dyDescent="0.25">
      <c r="A71" s="33" t="s">
        <v>127</v>
      </c>
      <c r="B71" s="35">
        <v>1.9631339712918661</v>
      </c>
      <c r="C71" s="35">
        <v>15.429769021962992</v>
      </c>
      <c r="T71" s="33" t="s">
        <v>127</v>
      </c>
      <c r="U71" s="34">
        <v>934.5</v>
      </c>
      <c r="V71" s="34">
        <v>16679</v>
      </c>
      <c r="W71" s="34">
        <v>115</v>
      </c>
      <c r="X71" s="34">
        <v>5</v>
      </c>
      <c r="Y71" s="34">
        <v>25</v>
      </c>
      <c r="Z71" s="34">
        <v>70</v>
      </c>
      <c r="AA71" s="35">
        <v>207753.59</v>
      </c>
      <c r="AB71" s="34">
        <v>184736.41</v>
      </c>
      <c r="AC71" s="34">
        <v>392490</v>
      </c>
      <c r="AH71" s="33" t="s">
        <v>61</v>
      </c>
      <c r="AI71" s="34">
        <v>1531.9</v>
      </c>
    </row>
    <row r="72" spans="1:35" x14ac:dyDescent="0.25">
      <c r="A72" s="33" t="s">
        <v>129</v>
      </c>
      <c r="B72" s="35">
        <v>0</v>
      </c>
      <c r="C72" s="35">
        <v>15.447559416898784</v>
      </c>
      <c r="T72" s="33" t="s">
        <v>129</v>
      </c>
      <c r="U72" s="34">
        <v>1383</v>
      </c>
      <c r="V72" s="34">
        <v>21195</v>
      </c>
      <c r="W72" s="34">
        <v>125</v>
      </c>
      <c r="X72" s="34">
        <v>0</v>
      </c>
      <c r="Y72" s="34">
        <v>35</v>
      </c>
      <c r="Z72" s="34">
        <v>150</v>
      </c>
      <c r="AA72" s="35">
        <v>346384.57999999996</v>
      </c>
      <c r="AB72" s="34">
        <v>234475.41999999998</v>
      </c>
      <c r="AC72" s="34">
        <v>580860</v>
      </c>
      <c r="AH72" s="33" t="s">
        <v>62</v>
      </c>
      <c r="AI72" s="34">
        <v>37</v>
      </c>
    </row>
    <row r="73" spans="1:35" x14ac:dyDescent="0.25">
      <c r="A73" s="33" t="s">
        <v>122</v>
      </c>
      <c r="B73" s="35">
        <v>20.896772345301759</v>
      </c>
      <c r="C73" s="35">
        <v>9.2851696762382563</v>
      </c>
      <c r="T73" s="33" t="s">
        <v>122</v>
      </c>
      <c r="U73" s="34">
        <v>487.5</v>
      </c>
      <c r="V73" s="34">
        <v>4553</v>
      </c>
      <c r="W73" s="34">
        <v>36</v>
      </c>
      <c r="X73" s="34">
        <v>0</v>
      </c>
      <c r="Y73" s="34">
        <v>135</v>
      </c>
      <c r="Z73" s="34">
        <v>14</v>
      </c>
      <c r="AA73" s="35">
        <v>49190.13</v>
      </c>
      <c r="AB73" s="34">
        <v>58059.87</v>
      </c>
      <c r="AC73" s="34">
        <v>107250</v>
      </c>
      <c r="AH73" s="33" t="s">
        <v>133</v>
      </c>
      <c r="AI73" s="34">
        <v>25</v>
      </c>
    </row>
    <row r="74" spans="1:35" x14ac:dyDescent="0.25">
      <c r="A74" s="33" t="s">
        <v>58</v>
      </c>
      <c r="B74" s="35">
        <v>15.575128517282513</v>
      </c>
      <c r="C74" s="35">
        <v>3.8425958167271328</v>
      </c>
      <c r="T74" s="33" t="s">
        <v>58</v>
      </c>
      <c r="U74" s="34">
        <v>2095</v>
      </c>
      <c r="V74" s="34">
        <v>4083</v>
      </c>
      <c r="W74" s="34">
        <v>59</v>
      </c>
      <c r="X74" s="34">
        <v>0</v>
      </c>
      <c r="Y74" s="34">
        <v>8</v>
      </c>
      <c r="Z74" s="34">
        <v>0</v>
      </c>
      <c r="AA74" s="35">
        <v>79748.539999999994</v>
      </c>
      <c r="AB74" s="34">
        <v>60001.46</v>
      </c>
      <c r="AC74" s="34">
        <v>139750</v>
      </c>
      <c r="AH74" s="33" t="s">
        <v>33</v>
      </c>
      <c r="AI74" s="34">
        <v>1177</v>
      </c>
    </row>
    <row r="75" spans="1:35" x14ac:dyDescent="0.25">
      <c r="A75" s="33" t="s">
        <v>59</v>
      </c>
      <c r="B75" s="35">
        <v>20.608450721199109</v>
      </c>
      <c r="C75" s="35">
        <v>2.4941576434383661</v>
      </c>
      <c r="T75" s="33" t="s">
        <v>59</v>
      </c>
      <c r="U75" s="34">
        <v>1158</v>
      </c>
      <c r="V75" s="34">
        <v>2251.04</v>
      </c>
      <c r="W75" s="34">
        <v>6</v>
      </c>
      <c r="X75" s="34">
        <v>0</v>
      </c>
      <c r="Y75" s="34">
        <v>0</v>
      </c>
      <c r="Z75" s="34">
        <v>0</v>
      </c>
      <c r="AA75" s="35">
        <v>52760.68</v>
      </c>
      <c r="AB75" s="34">
        <v>37484.32</v>
      </c>
      <c r="AC75" s="34">
        <v>90245</v>
      </c>
      <c r="AH75" s="33" t="s">
        <v>34</v>
      </c>
      <c r="AI75" s="34">
        <v>1397</v>
      </c>
    </row>
    <row r="76" spans="1:35" x14ac:dyDescent="0.25">
      <c r="A76" s="33" t="s">
        <v>60</v>
      </c>
      <c r="B76" s="35">
        <v>100.264</v>
      </c>
      <c r="C76" s="35">
        <v>1.4051546618496475</v>
      </c>
      <c r="T76" s="33" t="s">
        <v>60</v>
      </c>
      <c r="U76" s="34">
        <v>2303</v>
      </c>
      <c r="V76" s="34">
        <v>3245</v>
      </c>
      <c r="W76" s="34">
        <v>0</v>
      </c>
      <c r="X76" s="34">
        <v>0</v>
      </c>
      <c r="Y76" s="34">
        <v>0</v>
      </c>
      <c r="Z76" s="34">
        <v>0</v>
      </c>
      <c r="AA76" s="35">
        <v>92713.790000000008</v>
      </c>
      <c r="AB76" s="34">
        <v>46531.210000000006</v>
      </c>
      <c r="AC76" s="34">
        <v>139245</v>
      </c>
      <c r="AH76" s="33" t="s">
        <v>35</v>
      </c>
      <c r="AI76" s="34">
        <v>948</v>
      </c>
    </row>
    <row r="77" spans="1:35" x14ac:dyDescent="0.25">
      <c r="A77" s="33" t="s">
        <v>61</v>
      </c>
      <c r="B77" s="35">
        <v>75.420401747651624</v>
      </c>
      <c r="C77" s="35">
        <v>7.0267344229031448</v>
      </c>
      <c r="T77" s="33" t="s">
        <v>61</v>
      </c>
      <c r="U77" s="34">
        <v>1531.9</v>
      </c>
      <c r="V77" s="34">
        <v>2929.2599999999998</v>
      </c>
      <c r="W77" s="34">
        <v>0</v>
      </c>
      <c r="X77" s="34">
        <v>0</v>
      </c>
      <c r="Y77" s="34">
        <v>0</v>
      </c>
      <c r="Z77" s="34">
        <v>184</v>
      </c>
      <c r="AA77" s="35">
        <v>37586.624444444446</v>
      </c>
      <c r="AB77" s="34">
        <v>40684.258888888886</v>
      </c>
      <c r="AC77" s="34">
        <v>78270.883333333331</v>
      </c>
      <c r="AH77" s="33" t="s">
        <v>63</v>
      </c>
      <c r="AI77" s="34">
        <v>1691</v>
      </c>
    </row>
    <row r="78" spans="1:35" x14ac:dyDescent="0.25">
      <c r="A78" s="33" t="s">
        <v>62</v>
      </c>
      <c r="B78" s="35">
        <v>259</v>
      </c>
      <c r="C78" s="35">
        <v>7</v>
      </c>
      <c r="T78" s="33" t="s">
        <v>62</v>
      </c>
      <c r="U78" s="34">
        <v>37</v>
      </c>
      <c r="V78" s="34">
        <v>259</v>
      </c>
      <c r="W78" s="34">
        <v>0</v>
      </c>
      <c r="X78" s="34">
        <v>0</v>
      </c>
      <c r="Y78" s="34">
        <v>0</v>
      </c>
      <c r="Z78" s="34">
        <v>0</v>
      </c>
      <c r="AA78" s="35">
        <v>-5876.5555555555557</v>
      </c>
      <c r="AB78" s="34">
        <v>8343.2222222222226</v>
      </c>
      <c r="AC78" s="34">
        <v>2466.666666666667</v>
      </c>
      <c r="AH78" s="33" t="s">
        <v>105</v>
      </c>
      <c r="AI78" s="34">
        <v>1552</v>
      </c>
    </row>
    <row r="79" spans="1:35" x14ac:dyDescent="0.25">
      <c r="A79" s="33" t="s">
        <v>133</v>
      </c>
      <c r="B79" s="35">
        <v>30.875000000000004</v>
      </c>
      <c r="C79" s="35">
        <v>20.110256410256408</v>
      </c>
      <c r="T79" s="33" t="s">
        <v>133</v>
      </c>
      <c r="U79" s="34">
        <v>25</v>
      </c>
      <c r="V79" s="34">
        <v>1266</v>
      </c>
      <c r="W79" s="34">
        <v>30</v>
      </c>
      <c r="X79" s="34">
        <v>25</v>
      </c>
      <c r="Y79" s="34">
        <v>85</v>
      </c>
      <c r="Z79" s="34">
        <v>0</v>
      </c>
      <c r="AA79" s="35">
        <v>-22823.200000000001</v>
      </c>
      <c r="AB79" s="34">
        <v>22823.200000000001</v>
      </c>
      <c r="AC79" s="34"/>
      <c r="AH79" s="33" t="s">
        <v>64</v>
      </c>
      <c r="AI79" s="34">
        <v>43</v>
      </c>
    </row>
    <row r="80" spans="1:35" x14ac:dyDescent="0.25">
      <c r="A80" s="33" t="s">
        <v>33</v>
      </c>
      <c r="B80" s="35">
        <v>0</v>
      </c>
      <c r="C80" s="35">
        <v>3.5025985379389923</v>
      </c>
      <c r="T80" s="33" t="s">
        <v>33</v>
      </c>
      <c r="U80" s="34">
        <v>1177</v>
      </c>
      <c r="V80" s="34">
        <v>3660.9</v>
      </c>
      <c r="W80" s="34">
        <v>65</v>
      </c>
      <c r="X80" s="34">
        <v>5</v>
      </c>
      <c r="Y80" s="34">
        <v>44</v>
      </c>
      <c r="Z80" s="34">
        <v>21.5</v>
      </c>
      <c r="AA80" s="35">
        <v>161002.98000000001</v>
      </c>
      <c r="AB80" s="34">
        <v>49137.020000000004</v>
      </c>
      <c r="AC80" s="34">
        <v>210140</v>
      </c>
      <c r="AH80" s="33" t="s">
        <v>65</v>
      </c>
      <c r="AI80" s="34">
        <v>93</v>
      </c>
    </row>
    <row r="81" spans="1:35" x14ac:dyDescent="0.25">
      <c r="A81" s="33" t="s">
        <v>34</v>
      </c>
      <c r="B81" s="35">
        <v>0</v>
      </c>
      <c r="C81" s="35">
        <v>5.7309360468199602</v>
      </c>
      <c r="T81" s="33" t="s">
        <v>34</v>
      </c>
      <c r="U81" s="34">
        <v>1397</v>
      </c>
      <c r="V81" s="34">
        <v>4524.24</v>
      </c>
      <c r="W81" s="34">
        <v>113</v>
      </c>
      <c r="X81" s="34">
        <v>6</v>
      </c>
      <c r="Y81" s="34">
        <v>130</v>
      </c>
      <c r="Z81" s="34">
        <v>108</v>
      </c>
      <c r="AA81" s="35">
        <v>79663.733333333352</v>
      </c>
      <c r="AB81" s="34">
        <v>82299.599999999991</v>
      </c>
      <c r="AC81" s="34">
        <v>161963.33333333334</v>
      </c>
      <c r="AH81" s="33" t="s">
        <v>66</v>
      </c>
      <c r="AI81" s="34">
        <v>27</v>
      </c>
    </row>
    <row r="82" spans="1:35" x14ac:dyDescent="0.25">
      <c r="A82" s="33" t="s">
        <v>35</v>
      </c>
      <c r="B82" s="35">
        <v>0</v>
      </c>
      <c r="C82" s="35">
        <v>3.534997827098858</v>
      </c>
      <c r="T82" s="33" t="s">
        <v>35</v>
      </c>
      <c r="U82" s="34">
        <v>948</v>
      </c>
      <c r="V82" s="34">
        <v>3930</v>
      </c>
      <c r="W82" s="34">
        <v>66</v>
      </c>
      <c r="X82" s="34">
        <v>0</v>
      </c>
      <c r="Y82" s="34">
        <v>120</v>
      </c>
      <c r="Z82" s="34">
        <v>48</v>
      </c>
      <c r="AA82" s="35">
        <v>175509.91</v>
      </c>
      <c r="AB82" s="34">
        <v>51830.090000000004</v>
      </c>
      <c r="AC82" s="34">
        <v>227340</v>
      </c>
      <c r="AH82" s="33" t="s">
        <v>67</v>
      </c>
      <c r="AI82" s="34">
        <v>1273</v>
      </c>
    </row>
    <row r="83" spans="1:35" x14ac:dyDescent="0.25">
      <c r="A83" s="33" t="s">
        <v>63</v>
      </c>
      <c r="B83" s="35">
        <v>106</v>
      </c>
      <c r="C83" s="35">
        <v>1.2934534630882326</v>
      </c>
      <c r="T83" s="33" t="s">
        <v>63</v>
      </c>
      <c r="U83" s="34">
        <v>1691</v>
      </c>
      <c r="V83" s="34">
        <v>2299</v>
      </c>
      <c r="W83" s="34">
        <v>33</v>
      </c>
      <c r="X83" s="34">
        <v>0</v>
      </c>
      <c r="Y83" s="34">
        <v>0</v>
      </c>
      <c r="Z83" s="34">
        <v>0</v>
      </c>
      <c r="AA83" s="35">
        <v>75577.39</v>
      </c>
      <c r="AB83" s="34">
        <v>51107.61</v>
      </c>
      <c r="AC83" s="34">
        <v>126685</v>
      </c>
      <c r="AH83" s="33" t="s">
        <v>69</v>
      </c>
      <c r="AI83" s="34">
        <v>1595</v>
      </c>
    </row>
    <row r="84" spans="1:35" x14ac:dyDescent="0.25">
      <c r="A84" s="33" t="s">
        <v>105</v>
      </c>
      <c r="B84" s="35">
        <v>6.4313248123351592</v>
      </c>
      <c r="C84" s="35">
        <v>2.515447695004037</v>
      </c>
      <c r="T84" s="33" t="s">
        <v>105</v>
      </c>
      <c r="U84" s="34">
        <v>1552</v>
      </c>
      <c r="V84" s="34">
        <v>2623.63</v>
      </c>
      <c r="W84" s="34">
        <v>13</v>
      </c>
      <c r="X84" s="34">
        <v>0</v>
      </c>
      <c r="Y84" s="34">
        <v>2</v>
      </c>
      <c r="Z84" s="34">
        <v>5</v>
      </c>
      <c r="AA84" s="35">
        <v>70288.84</v>
      </c>
      <c r="AB84" s="34">
        <v>28056.16</v>
      </c>
      <c r="AC84" s="34">
        <v>98345</v>
      </c>
      <c r="AH84" s="33" t="s">
        <v>70</v>
      </c>
      <c r="AI84" s="34">
        <v>338</v>
      </c>
    </row>
    <row r="85" spans="1:35" x14ac:dyDescent="0.25">
      <c r="A85" s="33" t="s">
        <v>174</v>
      </c>
      <c r="B85" s="35"/>
      <c r="C85" s="35">
        <v>1.2853535353535355</v>
      </c>
      <c r="T85" s="33" t="s">
        <v>174</v>
      </c>
      <c r="U85" s="34">
        <v>243</v>
      </c>
      <c r="V85" s="34">
        <v>339</v>
      </c>
      <c r="W85" s="34">
        <v>25</v>
      </c>
      <c r="X85" s="34">
        <v>0</v>
      </c>
      <c r="Y85" s="34">
        <v>0</v>
      </c>
      <c r="Z85" s="34">
        <v>0</v>
      </c>
      <c r="AA85" s="35">
        <v>8310</v>
      </c>
      <c r="AB85" s="34">
        <v>3390</v>
      </c>
      <c r="AC85" s="34">
        <v>11700</v>
      </c>
      <c r="AH85" s="33" t="s">
        <v>71</v>
      </c>
      <c r="AI85" s="34">
        <v>1351</v>
      </c>
    </row>
    <row r="86" spans="1:35" x14ac:dyDescent="0.25">
      <c r="A86" s="33" t="s">
        <v>64</v>
      </c>
      <c r="B86" s="35">
        <v>0</v>
      </c>
      <c r="C86" s="35">
        <v>2.7941176470588238</v>
      </c>
      <c r="T86" s="33" t="s">
        <v>64</v>
      </c>
      <c r="U86" s="34">
        <v>43</v>
      </c>
      <c r="V86" s="34">
        <v>1130.8400000000001</v>
      </c>
      <c r="W86" s="34">
        <v>0</v>
      </c>
      <c r="X86" s="34">
        <v>0</v>
      </c>
      <c r="Y86" s="34">
        <v>0</v>
      </c>
      <c r="Z86" s="34">
        <v>45</v>
      </c>
      <c r="AA86" s="35">
        <v>56911.759999999995</v>
      </c>
      <c r="AB86" s="34">
        <v>27088.240000000002</v>
      </c>
      <c r="AC86" s="34">
        <v>84000</v>
      </c>
      <c r="AH86" s="33" t="s">
        <v>72</v>
      </c>
      <c r="AI86" s="34">
        <v>105</v>
      </c>
    </row>
    <row r="87" spans="1:35" x14ac:dyDescent="0.25">
      <c r="A87" s="33" t="s">
        <v>65</v>
      </c>
      <c r="B87" s="35">
        <v>7.6050774906913379</v>
      </c>
      <c r="C87" s="35">
        <v>28.687426900584796</v>
      </c>
      <c r="T87" s="33" t="s">
        <v>65</v>
      </c>
      <c r="U87" s="34">
        <v>93</v>
      </c>
      <c r="V87" s="34">
        <v>1726</v>
      </c>
      <c r="W87" s="34">
        <v>0</v>
      </c>
      <c r="X87" s="34">
        <v>0</v>
      </c>
      <c r="Y87" s="34">
        <v>0</v>
      </c>
      <c r="Z87" s="34">
        <v>3</v>
      </c>
      <c r="AA87" s="35">
        <v>12970.15</v>
      </c>
      <c r="AB87" s="34">
        <v>55829.85</v>
      </c>
      <c r="AC87" s="34">
        <v>68800</v>
      </c>
      <c r="AH87" s="33" t="s">
        <v>73</v>
      </c>
      <c r="AI87" s="34">
        <v>1153</v>
      </c>
    </row>
    <row r="88" spans="1:35" x14ac:dyDescent="0.25">
      <c r="A88" s="33" t="s">
        <v>66</v>
      </c>
      <c r="B88" s="35">
        <v>4.3623990538317967</v>
      </c>
      <c r="C88" s="35">
        <v>12.195396825396825</v>
      </c>
      <c r="T88" s="33" t="s">
        <v>66</v>
      </c>
      <c r="U88" s="34">
        <v>27</v>
      </c>
      <c r="V88" s="34">
        <v>556.05999999999995</v>
      </c>
      <c r="W88" s="34">
        <v>0</v>
      </c>
      <c r="X88" s="34">
        <v>0</v>
      </c>
      <c r="Y88" s="34">
        <v>0</v>
      </c>
      <c r="Z88" s="34">
        <v>0</v>
      </c>
      <c r="AA88" s="35">
        <v>16863.830000000002</v>
      </c>
      <c r="AB88" s="34">
        <v>55936.17</v>
      </c>
      <c r="AC88" s="34">
        <v>72800</v>
      </c>
      <c r="AH88" s="33" t="s">
        <v>74</v>
      </c>
      <c r="AI88" s="34">
        <v>1189</v>
      </c>
    </row>
    <row r="89" spans="1:35" x14ac:dyDescent="0.25">
      <c r="A89" s="33" t="s">
        <v>67</v>
      </c>
      <c r="B89" s="35">
        <v>7.1864572173348407</v>
      </c>
      <c r="C89" s="35">
        <v>0.72605086047423495</v>
      </c>
      <c r="T89" s="33" t="s">
        <v>67</v>
      </c>
      <c r="U89" s="34">
        <v>1273</v>
      </c>
      <c r="V89" s="34">
        <v>955.57</v>
      </c>
      <c r="W89" s="34">
        <v>0</v>
      </c>
      <c r="X89" s="34">
        <v>0</v>
      </c>
      <c r="Y89" s="34">
        <v>0</v>
      </c>
      <c r="Z89" s="34">
        <v>0</v>
      </c>
      <c r="AA89" s="35">
        <v>32478.53</v>
      </c>
      <c r="AB89" s="34">
        <v>20921.47</v>
      </c>
      <c r="AC89" s="34">
        <v>53400</v>
      </c>
      <c r="AH89" s="33" t="s">
        <v>75</v>
      </c>
      <c r="AI89" s="34">
        <v>1743</v>
      </c>
    </row>
    <row r="90" spans="1:35" x14ac:dyDescent="0.25">
      <c r="A90" s="33" t="s">
        <v>68</v>
      </c>
      <c r="B90" s="35">
        <v>4.2474916387959869</v>
      </c>
      <c r="C90" s="35">
        <v>0</v>
      </c>
      <c r="T90" s="33" t="s">
        <v>68</v>
      </c>
      <c r="U90" s="34">
        <v>0</v>
      </c>
      <c r="V90" s="34">
        <v>127</v>
      </c>
      <c r="W90" s="34">
        <v>0</v>
      </c>
      <c r="X90" s="34">
        <v>0</v>
      </c>
      <c r="Y90" s="34">
        <v>0</v>
      </c>
      <c r="Z90" s="34">
        <v>0</v>
      </c>
      <c r="AA90" s="35">
        <v>28430</v>
      </c>
      <c r="AB90" s="34">
        <v>1270</v>
      </c>
      <c r="AC90" s="34">
        <v>29700</v>
      </c>
      <c r="AH90" s="33" t="s">
        <v>76</v>
      </c>
      <c r="AI90" s="34">
        <v>1217</v>
      </c>
    </row>
    <row r="91" spans="1:35" x14ac:dyDescent="0.25">
      <c r="A91" s="33" t="s">
        <v>69</v>
      </c>
      <c r="B91" s="35">
        <v>6.4317359191072709</v>
      </c>
      <c r="C91" s="35">
        <v>1.3203130636616629</v>
      </c>
      <c r="T91" s="33" t="s">
        <v>69</v>
      </c>
      <c r="U91" s="34">
        <v>1595</v>
      </c>
      <c r="V91" s="34">
        <v>1999.94</v>
      </c>
      <c r="W91" s="34">
        <v>0</v>
      </c>
      <c r="X91" s="34">
        <v>0</v>
      </c>
      <c r="Y91" s="34">
        <v>0</v>
      </c>
      <c r="Z91" s="34">
        <v>0</v>
      </c>
      <c r="AA91" s="35">
        <v>32026.079999999994</v>
      </c>
      <c r="AB91" s="34">
        <v>22495.919999999998</v>
      </c>
      <c r="AC91" s="34">
        <v>54522</v>
      </c>
      <c r="AH91" s="33" t="s">
        <v>77</v>
      </c>
      <c r="AI91" s="34">
        <v>940</v>
      </c>
    </row>
    <row r="92" spans="1:35" x14ac:dyDescent="0.25">
      <c r="A92" s="33" t="s">
        <v>70</v>
      </c>
      <c r="B92" s="35">
        <v>7.1841852486208859</v>
      </c>
      <c r="C92" s="35">
        <v>2.4347963783376203</v>
      </c>
      <c r="T92" s="33" t="s">
        <v>70</v>
      </c>
      <c r="U92" s="34">
        <v>338</v>
      </c>
      <c r="V92" s="34">
        <v>2209.84</v>
      </c>
      <c r="W92" s="34">
        <v>0</v>
      </c>
      <c r="X92" s="34">
        <v>0</v>
      </c>
      <c r="Y92" s="34">
        <v>0</v>
      </c>
      <c r="Z92" s="34">
        <v>0</v>
      </c>
      <c r="AA92" s="35">
        <v>30198.6</v>
      </c>
      <c r="AB92" s="34">
        <v>23432.400000000001</v>
      </c>
      <c r="AC92" s="34">
        <v>53631</v>
      </c>
      <c r="AH92" s="33" t="s">
        <v>78</v>
      </c>
      <c r="AI92" s="34">
        <v>1841</v>
      </c>
    </row>
    <row r="93" spans="1:35" x14ac:dyDescent="0.25">
      <c r="A93" s="33" t="s">
        <v>71</v>
      </c>
      <c r="B93" s="35">
        <v>5.9367901727026515</v>
      </c>
      <c r="C93" s="35">
        <v>2.0283898962710292</v>
      </c>
      <c r="T93" s="33" t="s">
        <v>71</v>
      </c>
      <c r="U93" s="34">
        <v>1351</v>
      </c>
      <c r="V93" s="34">
        <v>2656</v>
      </c>
      <c r="W93" s="34">
        <v>0</v>
      </c>
      <c r="X93" s="34">
        <v>0</v>
      </c>
      <c r="Y93" s="34">
        <v>0</v>
      </c>
      <c r="Z93" s="34">
        <v>0</v>
      </c>
      <c r="AA93" s="35">
        <v>42343.34</v>
      </c>
      <c r="AB93" s="34">
        <v>24556.66</v>
      </c>
      <c r="AC93" s="34">
        <v>66900</v>
      </c>
      <c r="AH93" s="33" t="s">
        <v>132</v>
      </c>
      <c r="AI93" s="34">
        <v>0</v>
      </c>
    </row>
    <row r="94" spans="1:35" x14ac:dyDescent="0.25">
      <c r="A94" s="33" t="s">
        <v>72</v>
      </c>
      <c r="B94" s="35">
        <v>6.5886149953816249</v>
      </c>
      <c r="C94" s="35">
        <v>4.2041476733143393</v>
      </c>
      <c r="T94" s="33" t="s">
        <v>72</v>
      </c>
      <c r="U94" s="34">
        <v>105</v>
      </c>
      <c r="V94" s="34">
        <v>1836.9</v>
      </c>
      <c r="W94" s="34">
        <v>0</v>
      </c>
      <c r="X94" s="34">
        <v>0</v>
      </c>
      <c r="Y94" s="34">
        <v>0</v>
      </c>
      <c r="Z94" s="34">
        <v>0</v>
      </c>
      <c r="AA94" s="35">
        <v>39161.969999999994</v>
      </c>
      <c r="AB94" s="34">
        <v>23658.03</v>
      </c>
      <c r="AC94" s="34">
        <v>62820</v>
      </c>
      <c r="AH94" s="33" t="s">
        <v>201</v>
      </c>
      <c r="AI94" s="34">
        <v>0</v>
      </c>
    </row>
    <row r="95" spans="1:35" x14ac:dyDescent="0.25">
      <c r="A95" s="33" t="s">
        <v>73</v>
      </c>
      <c r="B95" s="35">
        <v>8.241528035721073</v>
      </c>
      <c r="C95" s="35">
        <v>1.3266355590647361</v>
      </c>
      <c r="T95" s="33" t="s">
        <v>73</v>
      </c>
      <c r="U95" s="34">
        <v>1153</v>
      </c>
      <c r="V95" s="34">
        <v>1531.56</v>
      </c>
      <c r="W95" s="34">
        <v>1</v>
      </c>
      <c r="X95" s="34">
        <v>0</v>
      </c>
      <c r="Y95" s="34">
        <v>0</v>
      </c>
      <c r="Z95" s="34">
        <v>0</v>
      </c>
      <c r="AA95" s="35">
        <v>32155.83</v>
      </c>
      <c r="AB95" s="34">
        <v>14668.07</v>
      </c>
      <c r="AC95" s="34">
        <v>46823.899999999994</v>
      </c>
      <c r="AH95" s="33" t="s">
        <v>148</v>
      </c>
      <c r="AI95" s="34">
        <v>421</v>
      </c>
    </row>
    <row r="96" spans="1:35" x14ac:dyDescent="0.25">
      <c r="A96" s="33" t="s">
        <v>74</v>
      </c>
      <c r="B96" s="35">
        <v>8.700619012587083</v>
      </c>
      <c r="C96" s="35">
        <v>1.6965155144698434</v>
      </c>
      <c r="T96" s="33" t="s">
        <v>74</v>
      </c>
      <c r="U96" s="34">
        <v>1189</v>
      </c>
      <c r="V96" s="34">
        <v>1209.51</v>
      </c>
      <c r="W96" s="34">
        <v>0</v>
      </c>
      <c r="X96" s="34">
        <v>0</v>
      </c>
      <c r="Y96" s="34">
        <v>0</v>
      </c>
      <c r="Z96" s="34">
        <v>0</v>
      </c>
      <c r="AA96" s="35">
        <v>30110.47</v>
      </c>
      <c r="AB96" s="34">
        <v>9009.5299999999988</v>
      </c>
      <c r="AC96" s="34">
        <v>39120</v>
      </c>
      <c r="AH96" s="33" t="s">
        <v>149</v>
      </c>
      <c r="AI96" s="34">
        <v>656</v>
      </c>
    </row>
    <row r="97" spans="1:35" x14ac:dyDescent="0.25">
      <c r="A97" s="33" t="s">
        <v>75</v>
      </c>
      <c r="B97" s="35">
        <v>6.589751280113946</v>
      </c>
      <c r="C97" s="35">
        <v>0.96551725089784135</v>
      </c>
      <c r="T97" s="33" t="s">
        <v>75</v>
      </c>
      <c r="U97" s="34">
        <v>1743</v>
      </c>
      <c r="V97" s="34">
        <v>1882.21</v>
      </c>
      <c r="W97" s="34">
        <v>0</v>
      </c>
      <c r="X97" s="34">
        <v>0</v>
      </c>
      <c r="Y97" s="34">
        <v>0</v>
      </c>
      <c r="Z97" s="34">
        <v>0</v>
      </c>
      <c r="AA97" s="35">
        <v>52746.320000000007</v>
      </c>
      <c r="AB97" s="34">
        <v>21513.579999999998</v>
      </c>
      <c r="AC97" s="34">
        <v>74259.899999999994</v>
      </c>
      <c r="AH97" s="33" t="s">
        <v>150</v>
      </c>
      <c r="AI97" s="34">
        <v>1</v>
      </c>
    </row>
    <row r="98" spans="1:35" x14ac:dyDescent="0.25">
      <c r="A98" s="33" t="s">
        <v>76</v>
      </c>
      <c r="B98" s="35">
        <v>7.1430275596844712</v>
      </c>
      <c r="C98" s="35">
        <v>1.2905997730597705</v>
      </c>
      <c r="T98" s="33" t="s">
        <v>76</v>
      </c>
      <c r="U98" s="34">
        <v>1217</v>
      </c>
      <c r="V98" s="34">
        <v>1267.53</v>
      </c>
      <c r="W98" s="34">
        <v>0</v>
      </c>
      <c r="X98" s="34">
        <v>0</v>
      </c>
      <c r="Y98" s="34">
        <v>0</v>
      </c>
      <c r="Z98" s="34">
        <v>0</v>
      </c>
      <c r="AA98" s="35">
        <v>55023.44</v>
      </c>
      <c r="AB98" s="34">
        <v>14576.560000000001</v>
      </c>
      <c r="AC98" s="34">
        <v>69600</v>
      </c>
      <c r="AH98" s="33" t="s">
        <v>151</v>
      </c>
      <c r="AI98" s="34">
        <v>636</v>
      </c>
    </row>
    <row r="99" spans="1:35" x14ac:dyDescent="0.25">
      <c r="A99" s="33" t="s">
        <v>77</v>
      </c>
      <c r="B99" s="35">
        <v>3.8930305395472775</v>
      </c>
      <c r="C99" s="35">
        <v>3.5970477452977789</v>
      </c>
      <c r="T99" s="33" t="s">
        <v>77</v>
      </c>
      <c r="U99" s="34">
        <v>940</v>
      </c>
      <c r="V99" s="34">
        <v>941.6</v>
      </c>
      <c r="W99" s="34">
        <v>0</v>
      </c>
      <c r="X99" s="34">
        <v>0</v>
      </c>
      <c r="Y99" s="34">
        <v>0</v>
      </c>
      <c r="Z99" s="34">
        <v>0</v>
      </c>
      <c r="AA99" s="35">
        <v>24218.46</v>
      </c>
      <c r="AB99" s="34">
        <v>19715.64</v>
      </c>
      <c r="AC99" s="34">
        <v>43934.1</v>
      </c>
      <c r="AH99" s="33" t="s">
        <v>68</v>
      </c>
      <c r="AI99" s="34">
        <v>0</v>
      </c>
    </row>
    <row r="100" spans="1:35" x14ac:dyDescent="0.25">
      <c r="A100" s="33" t="s">
        <v>78</v>
      </c>
      <c r="B100" s="35">
        <v>8.7158685585107722</v>
      </c>
      <c r="C100" s="35">
        <v>1.2604026679459339</v>
      </c>
      <c r="T100" s="33" t="s">
        <v>78</v>
      </c>
      <c r="U100" s="34">
        <v>1841</v>
      </c>
      <c r="V100" s="34">
        <v>2206.75</v>
      </c>
      <c r="W100" s="34">
        <v>0</v>
      </c>
      <c r="X100" s="34">
        <v>0</v>
      </c>
      <c r="Y100" s="34">
        <v>0</v>
      </c>
      <c r="Z100" s="34">
        <v>0</v>
      </c>
      <c r="AA100" s="35">
        <v>36452.79</v>
      </c>
      <c r="AB100" s="34">
        <v>35493.21</v>
      </c>
      <c r="AC100" s="34">
        <v>71946</v>
      </c>
      <c r="AH100" s="33" t="s">
        <v>154</v>
      </c>
      <c r="AI100" s="34">
        <v>0</v>
      </c>
    </row>
    <row r="101" spans="1:35" x14ac:dyDescent="0.25">
      <c r="A101" s="33" t="s">
        <v>132</v>
      </c>
      <c r="B101" s="35">
        <v>3.84968047652045</v>
      </c>
      <c r="C101" s="35">
        <v>0</v>
      </c>
      <c r="T101" s="33" t="s">
        <v>132</v>
      </c>
      <c r="U101" s="34">
        <v>0</v>
      </c>
      <c r="V101" s="34">
        <v>472</v>
      </c>
      <c r="W101" s="34">
        <v>0</v>
      </c>
      <c r="X101" s="34">
        <v>0</v>
      </c>
      <c r="Y101" s="34">
        <v>0</v>
      </c>
      <c r="Z101" s="34">
        <v>0</v>
      </c>
      <c r="AA101" s="35">
        <v>-50202.130000000005</v>
      </c>
      <c r="AB101" s="34">
        <v>99102.13</v>
      </c>
      <c r="AC101" s="34">
        <v>48900</v>
      </c>
      <c r="AH101" s="33" t="s">
        <v>156</v>
      </c>
      <c r="AI101" s="34">
        <v>324</v>
      </c>
    </row>
    <row r="102" spans="1:35" x14ac:dyDescent="0.25">
      <c r="A102" s="33" t="s">
        <v>165</v>
      </c>
      <c r="B102" s="35">
        <v>5.3045287563119237</v>
      </c>
      <c r="C102" s="35">
        <v>7.2307692307692308</v>
      </c>
      <c r="T102" s="33" t="s">
        <v>165</v>
      </c>
      <c r="U102" s="34">
        <v>13</v>
      </c>
      <c r="V102" s="34">
        <v>789</v>
      </c>
      <c r="W102" s="34">
        <v>0</v>
      </c>
      <c r="X102" s="34">
        <v>0</v>
      </c>
      <c r="Y102" s="34">
        <v>0</v>
      </c>
      <c r="Z102" s="34">
        <v>0</v>
      </c>
      <c r="AA102" s="35">
        <v>15290</v>
      </c>
      <c r="AB102" s="34">
        <v>8110</v>
      </c>
      <c r="AC102" s="34">
        <v>23400</v>
      </c>
      <c r="AH102" s="33" t="s">
        <v>165</v>
      </c>
      <c r="AI102" s="34">
        <v>13</v>
      </c>
    </row>
    <row r="103" spans="1:35" x14ac:dyDescent="0.25">
      <c r="A103" s="33" t="s">
        <v>183</v>
      </c>
      <c r="B103" s="35"/>
      <c r="C103" s="35">
        <v>0</v>
      </c>
      <c r="T103" s="33" t="s">
        <v>183</v>
      </c>
      <c r="U103" s="34">
        <v>0</v>
      </c>
      <c r="V103" s="34">
        <v>0</v>
      </c>
      <c r="W103" s="34">
        <v>0</v>
      </c>
      <c r="X103" s="34">
        <v>0</v>
      </c>
      <c r="Y103" s="34">
        <v>0</v>
      </c>
      <c r="Z103" s="34">
        <v>0</v>
      </c>
      <c r="AA103" s="35">
        <v>15000</v>
      </c>
      <c r="AB103" s="34"/>
      <c r="AC103" s="34">
        <v>15000</v>
      </c>
      <c r="AH103" s="33" t="s">
        <v>174</v>
      </c>
      <c r="AI103" s="34">
        <v>243</v>
      </c>
    </row>
    <row r="104" spans="1:35" x14ac:dyDescent="0.25">
      <c r="A104" s="33" t="s">
        <v>201</v>
      </c>
      <c r="B104" s="35"/>
      <c r="C104" s="35">
        <v>0</v>
      </c>
      <c r="T104" s="33" t="s">
        <v>201</v>
      </c>
      <c r="U104" s="34">
        <v>0</v>
      </c>
      <c r="V104" s="34">
        <v>0</v>
      </c>
      <c r="W104" s="34">
        <v>0</v>
      </c>
      <c r="X104" s="34">
        <v>0</v>
      </c>
      <c r="Y104" s="34">
        <v>0</v>
      </c>
      <c r="Z104" s="34">
        <v>0</v>
      </c>
      <c r="AA104" s="35">
        <v>572.65000000000009</v>
      </c>
      <c r="AB104" s="34">
        <v>1295.06</v>
      </c>
      <c r="AC104" s="34">
        <v>1867.71</v>
      </c>
      <c r="AH104" s="33" t="s">
        <v>183</v>
      </c>
      <c r="AI104" s="34">
        <v>0</v>
      </c>
    </row>
    <row r="105" spans="1:35" x14ac:dyDescent="0.25">
      <c r="A105" s="33" t="s">
        <v>109</v>
      </c>
      <c r="B105" s="35">
        <v>35.407968738557408</v>
      </c>
      <c r="C105" s="35">
        <v>9.2954082115702263</v>
      </c>
      <c r="T105" s="33" t="s">
        <v>109</v>
      </c>
      <c r="U105" s="34">
        <v>96576.049999999988</v>
      </c>
      <c r="V105" s="34">
        <v>880365.37</v>
      </c>
      <c r="W105" s="34">
        <v>6528</v>
      </c>
      <c r="X105" s="34">
        <v>209</v>
      </c>
      <c r="Y105" s="34">
        <v>6263</v>
      </c>
      <c r="Z105" s="34">
        <v>3195.6099999999997</v>
      </c>
      <c r="AA105" s="35">
        <v>12616189.512222217</v>
      </c>
      <c r="AB105" s="34">
        <v>13433152.14666667</v>
      </c>
      <c r="AC105" s="34">
        <v>26049341.658888891</v>
      </c>
      <c r="AH105" s="33" t="s">
        <v>109</v>
      </c>
      <c r="AI105" s="34">
        <v>96576.049999999988</v>
      </c>
    </row>
  </sheetData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>
    <tabColor theme="4" tint="0.39997558519241921"/>
  </sheetPr>
  <dimension ref="A1:AC845"/>
  <sheetViews>
    <sheetView zoomScale="90" zoomScaleNormal="90" workbookViewId="0">
      <pane xSplit="4" ySplit="2" topLeftCell="E786" activePane="bottomRight" state="frozen"/>
      <selection pane="topRight" activeCell="E1" sqref="E1"/>
      <selection pane="bottomLeft" activeCell="A3" sqref="A3"/>
      <selection pane="bottomRight" activeCell="N812" sqref="N812"/>
    </sheetView>
  </sheetViews>
  <sheetFormatPr baseColWidth="10" defaultColWidth="9.140625" defaultRowHeight="15" x14ac:dyDescent="0.25"/>
  <cols>
    <col min="1" max="1" width="11.5703125" style="13" bestFit="1" customWidth="1"/>
    <col min="2" max="2" width="13.140625" customWidth="1"/>
    <col min="3" max="3" width="10.85546875" customWidth="1"/>
    <col min="4" max="4" width="13.28515625" customWidth="1"/>
    <col min="5" max="10" width="18" customWidth="1"/>
    <col min="11" max="11" width="17.140625" style="23" customWidth="1"/>
    <col min="12" max="15" width="19.5703125" style="23" customWidth="1"/>
    <col min="16" max="16" width="15.28515625" customWidth="1"/>
    <col min="17" max="17" width="15.28515625" style="22" customWidth="1"/>
    <col min="18" max="19" width="15.28515625" style="23" customWidth="1"/>
    <col min="20" max="20" width="15.28515625" customWidth="1"/>
    <col min="23" max="23" width="11.42578125" customWidth="1"/>
    <col min="24" max="26" width="15.85546875" style="22" customWidth="1"/>
    <col min="27" max="27" width="13.28515625" customWidth="1"/>
    <col min="30" max="30" width="5.7109375" customWidth="1"/>
    <col min="34" max="34" width="5.7109375" customWidth="1"/>
    <col min="38" max="38" width="5.7109375" customWidth="1"/>
  </cols>
  <sheetData>
    <row r="1" spans="1:29" x14ac:dyDescent="0.25">
      <c r="E1">
        <f>SUBTOTAL(9,Tableau1[Quantité (H)])</f>
        <v>9615</v>
      </c>
      <c r="F1">
        <f>SUBTOTAL(9,Tableau1[Gasoil (L)])</f>
        <v>97286.799999999988</v>
      </c>
      <c r="G1">
        <f>SUBTOTAL(9,Tableau1[Huile 15/40(L)])</f>
        <v>567</v>
      </c>
      <c r="H1">
        <f>SUBTOTAL(9,Tableau1[Huile 90 (L)])</f>
        <v>100</v>
      </c>
      <c r="I1">
        <f>SUBTOTAL(9,Tableau1[Huile 10 (L)])</f>
        <v>705</v>
      </c>
      <c r="K1" s="65"/>
      <c r="L1" s="65"/>
      <c r="M1" s="65"/>
      <c r="N1" s="65"/>
      <c r="O1" s="65"/>
    </row>
    <row r="2" spans="1:29" x14ac:dyDescent="0.25">
      <c r="A2" s="20" t="s">
        <v>9</v>
      </c>
      <c r="B2" s="5" t="s">
        <v>8</v>
      </c>
      <c r="C2" s="5" t="s">
        <v>2</v>
      </c>
      <c r="D2" s="30" t="s">
        <v>1</v>
      </c>
      <c r="E2" s="31" t="s">
        <v>10</v>
      </c>
      <c r="F2" s="31" t="s">
        <v>3</v>
      </c>
      <c r="G2" s="31" t="s">
        <v>4</v>
      </c>
      <c r="H2" s="31" t="s">
        <v>5</v>
      </c>
      <c r="I2" s="31" t="s">
        <v>6</v>
      </c>
      <c r="J2" s="31" t="s">
        <v>7</v>
      </c>
      <c r="K2" s="39" t="s">
        <v>112</v>
      </c>
      <c r="L2" s="39" t="s">
        <v>113</v>
      </c>
      <c r="M2" s="45" t="s">
        <v>181</v>
      </c>
      <c r="N2" s="45" t="s">
        <v>182</v>
      </c>
      <c r="O2" s="45" t="s">
        <v>91</v>
      </c>
      <c r="P2" s="4"/>
      <c r="Q2" s="56"/>
      <c r="R2" s="57"/>
      <c r="S2" s="57"/>
      <c r="T2" s="4"/>
      <c r="V2" s="4"/>
      <c r="W2" s="4"/>
      <c r="X2" s="55"/>
      <c r="Y2" s="55"/>
      <c r="Z2" s="55"/>
      <c r="AA2" s="12"/>
      <c r="AB2" s="12"/>
      <c r="AC2" s="3"/>
    </row>
    <row r="3" spans="1:29" hidden="1" x14ac:dyDescent="0.25">
      <c r="A3" s="13">
        <v>44227</v>
      </c>
      <c r="B3" t="s">
        <v>80</v>
      </c>
      <c r="C3" t="s">
        <v>92</v>
      </c>
      <c r="D3" t="s">
        <v>31</v>
      </c>
      <c r="E3" s="3">
        <v>47</v>
      </c>
      <c r="F3">
        <v>199</v>
      </c>
      <c r="G3">
        <v>5</v>
      </c>
      <c r="H3">
        <v>0</v>
      </c>
      <c r="I3">
        <v>10</v>
      </c>
      <c r="J3">
        <v>0</v>
      </c>
      <c r="K3" s="23">
        <f>IF(Tableau1[[#This Row],[Quantité (H)]]=0,0,Tableau1[[#This Row],[Gasoil (L)]]/Tableau1[[#This Row],[Quantité (H)]])</f>
        <v>4.2340425531914896</v>
      </c>
      <c r="M3" s="23">
        <v>8185.5555555555557</v>
      </c>
      <c r="N3" s="23">
        <v>7572.2222222222226</v>
      </c>
      <c r="O3" s="23">
        <f>Tableau1[[#This Row],[Productivité]]-Tableau1[[#This Row],[ les Charges]]</f>
        <v>-613.33333333333303</v>
      </c>
      <c r="R3" s="23">
        <f>VLOOKUP(Tableau1[[#This Row],[Code]],$V$3:$Z$157,4,)</f>
        <v>800</v>
      </c>
      <c r="S3" s="23">
        <f>VLOOKUP(Tableau1[[#This Row],[Code]],$V$3:$Z$157,5,)</f>
        <v>75</v>
      </c>
      <c r="V3" t="s">
        <v>31</v>
      </c>
      <c r="X3" s="22">
        <v>725</v>
      </c>
      <c r="Y3" s="22">
        <v>800</v>
      </c>
      <c r="Z3" s="22">
        <v>75</v>
      </c>
    </row>
    <row r="4" spans="1:29" hidden="1" x14ac:dyDescent="0.25">
      <c r="A4" s="13">
        <v>44227</v>
      </c>
      <c r="B4" t="s">
        <v>80</v>
      </c>
      <c r="C4" t="s">
        <v>40</v>
      </c>
      <c r="D4" t="s">
        <v>16</v>
      </c>
      <c r="E4" s="3">
        <v>78</v>
      </c>
      <c r="F4">
        <v>698</v>
      </c>
      <c r="G4">
        <v>5</v>
      </c>
      <c r="H4">
        <v>0</v>
      </c>
      <c r="I4">
        <v>10</v>
      </c>
      <c r="J4">
        <v>0</v>
      </c>
      <c r="K4" s="23">
        <f>IF(Tableau1[[#This Row],[Quantité (H)]]=0,0,Tableau1[[#This Row],[Gasoil (L)]]/Tableau1[[#This Row],[Quantité (H)]])</f>
        <v>8.9487179487179489</v>
      </c>
      <c r="M4" s="23">
        <v>14423.333333333332</v>
      </c>
      <c r="N4" s="23">
        <v>17333.333333333332</v>
      </c>
      <c r="O4" s="23">
        <f>Tableau1[[#This Row],[Productivité]]-Tableau1[[#This Row],[ les Charges]]</f>
        <v>2910</v>
      </c>
      <c r="R4" s="23">
        <f>VLOOKUP(Tableau1[[#This Row],[Code]],$V$3:$Z$157,4,)</f>
        <v>14800</v>
      </c>
      <c r="S4" s="23">
        <f>VLOOKUP(Tableau1[[#This Row],[Code]],$V$3:$Z$157,5,)</f>
        <v>4838.34</v>
      </c>
      <c r="V4" t="s">
        <v>16</v>
      </c>
      <c r="X4" s="22">
        <v>9961.66</v>
      </c>
      <c r="Y4" s="22">
        <v>14800</v>
      </c>
      <c r="Z4" s="22">
        <v>4838.34</v>
      </c>
    </row>
    <row r="5" spans="1:29" hidden="1" x14ac:dyDescent="0.25">
      <c r="A5" s="13">
        <v>44227</v>
      </c>
      <c r="B5" t="s">
        <v>80</v>
      </c>
      <c r="C5" t="s">
        <v>40</v>
      </c>
      <c r="D5" t="s">
        <v>17</v>
      </c>
      <c r="E5" s="3">
        <v>4</v>
      </c>
      <c r="F5">
        <v>213</v>
      </c>
      <c r="G5">
        <v>0</v>
      </c>
      <c r="H5">
        <v>0</v>
      </c>
      <c r="I5">
        <v>0</v>
      </c>
      <c r="J5">
        <v>0</v>
      </c>
      <c r="K5" s="23">
        <f>IF(Tableau1[[#This Row],[Quantité (H)]]=0,0,Tableau1[[#This Row],[Gasoil (L)]]/Tableau1[[#This Row],[Quantité (H)]])</f>
        <v>53.25</v>
      </c>
      <c r="M5" s="23">
        <v>6077.5555555555557</v>
      </c>
      <c r="N5" s="23">
        <v>888.88888888888891</v>
      </c>
      <c r="O5" s="23">
        <f>Tableau1[[#This Row],[Productivité]]-Tableau1[[#This Row],[ les Charges]]</f>
        <v>-5188.666666666667</v>
      </c>
      <c r="R5" s="23">
        <f>VLOOKUP(Tableau1[[#This Row],[Code]],$V$3:$Z$157,4,)</f>
        <v>11400</v>
      </c>
      <c r="S5" s="23">
        <f>VLOOKUP(Tableau1[[#This Row],[Code]],$V$3:$Z$157,5,)</f>
        <v>7070</v>
      </c>
      <c r="V5" t="s">
        <v>17</v>
      </c>
      <c r="X5" s="22">
        <v>4330</v>
      </c>
      <c r="Y5" s="22">
        <v>11400</v>
      </c>
      <c r="Z5" s="22">
        <v>7070</v>
      </c>
    </row>
    <row r="6" spans="1:29" hidden="1" x14ac:dyDescent="0.25">
      <c r="A6" s="13">
        <v>44227</v>
      </c>
      <c r="B6" t="s">
        <v>80</v>
      </c>
      <c r="C6" t="s">
        <v>40</v>
      </c>
      <c r="D6" t="s">
        <v>18</v>
      </c>
      <c r="E6" s="3">
        <v>66</v>
      </c>
      <c r="F6">
        <v>702</v>
      </c>
      <c r="G6">
        <v>0</v>
      </c>
      <c r="H6">
        <v>0</v>
      </c>
      <c r="I6">
        <v>10</v>
      </c>
      <c r="J6">
        <v>0</v>
      </c>
      <c r="K6" s="23">
        <f>IF(Tableau1[[#This Row],[Quantité (H)]]=0,0,Tableau1[[#This Row],[Gasoil (L)]]/Tableau1[[#This Row],[Quantité (H)]])</f>
        <v>10.636363636363637</v>
      </c>
      <c r="M6" s="23">
        <v>4790</v>
      </c>
      <c r="N6" s="23">
        <v>0</v>
      </c>
      <c r="O6" s="23">
        <f>Tableau1[[#This Row],[Productivité]]-Tableau1[[#This Row],[ les Charges]]</f>
        <v>-4790</v>
      </c>
      <c r="R6" s="23">
        <f>VLOOKUP(Tableau1[[#This Row],[Code]],$V$3:$Z$157,4,)</f>
        <v>12300</v>
      </c>
      <c r="S6" s="23">
        <f>VLOOKUP(Tableau1[[#This Row],[Code]],$V$3:$Z$157,5,)</f>
        <v>9170</v>
      </c>
      <c r="V6" t="s">
        <v>18</v>
      </c>
      <c r="X6" s="22">
        <v>3130</v>
      </c>
      <c r="Y6" s="22">
        <v>12300</v>
      </c>
      <c r="Z6" s="22">
        <v>9170</v>
      </c>
    </row>
    <row r="7" spans="1:29" hidden="1" x14ac:dyDescent="0.25">
      <c r="A7" s="13">
        <v>44227</v>
      </c>
      <c r="B7" t="s">
        <v>82</v>
      </c>
      <c r="C7" t="s">
        <v>40</v>
      </c>
      <c r="D7" t="s">
        <v>19</v>
      </c>
      <c r="E7" s="37">
        <v>355</v>
      </c>
      <c r="F7">
        <v>355</v>
      </c>
      <c r="G7">
        <v>0</v>
      </c>
      <c r="H7">
        <v>0</v>
      </c>
      <c r="I7">
        <v>25</v>
      </c>
      <c r="J7">
        <v>0</v>
      </c>
      <c r="K7" s="23">
        <f>IF(Tableau1[[#This Row],[Quantité (H)]]=0,0,Tableau1[[#This Row],[Gasoil (L)]]/Tableau1[[#This Row],[Quantité (H)]])</f>
        <v>1</v>
      </c>
      <c r="M7" s="23">
        <v>25693.333333333332</v>
      </c>
      <c r="N7" s="23">
        <v>27333.333333333336</v>
      </c>
      <c r="O7" s="23">
        <f>Tableau1[[#This Row],[Productivité]]-Tableau1[[#This Row],[ les Charges]]</f>
        <v>1640.0000000000036</v>
      </c>
      <c r="R7" s="23">
        <f>VLOOKUP(Tableau1[[#This Row],[Code]],$V$3:$Z$157,4,)</f>
        <v>11200</v>
      </c>
      <c r="S7" s="23">
        <f>VLOOKUP(Tableau1[[#This Row],[Code]],$V$3:$Z$157,5,)</f>
        <v>5505</v>
      </c>
      <c r="V7" t="s">
        <v>19</v>
      </c>
      <c r="X7" s="22">
        <v>5695</v>
      </c>
      <c r="Y7" s="22">
        <v>11200</v>
      </c>
      <c r="Z7" s="22">
        <v>5505</v>
      </c>
    </row>
    <row r="8" spans="1:29" hidden="1" x14ac:dyDescent="0.25">
      <c r="A8" s="13">
        <v>44227</v>
      </c>
      <c r="B8" t="s">
        <v>82</v>
      </c>
      <c r="C8" t="s">
        <v>85</v>
      </c>
      <c r="D8" t="s">
        <v>44</v>
      </c>
      <c r="E8" s="36">
        <v>1280</v>
      </c>
      <c r="F8">
        <v>1280</v>
      </c>
      <c r="G8">
        <v>0</v>
      </c>
      <c r="H8">
        <v>0</v>
      </c>
      <c r="I8">
        <v>0</v>
      </c>
      <c r="J8">
        <v>3</v>
      </c>
      <c r="K8" s="23">
        <f>IF(Tableau1[[#This Row],[Quantité (H)]]=0,0,Tableau1[[#This Row],[Gasoil (L)]]/Tableau1[[#This Row],[Quantité (H)]])</f>
        <v>1</v>
      </c>
      <c r="L8" s="23">
        <v>88.520055325034576</v>
      </c>
      <c r="M8" s="23">
        <v>34714.888888888891</v>
      </c>
      <c r="N8" s="23">
        <v>41311.111111111117</v>
      </c>
      <c r="O8" s="23">
        <f>Tableau1[[#This Row],[Productivité]]-Tableau1[[#This Row],[ les Charges]]</f>
        <v>6596.2222222222263</v>
      </c>
      <c r="R8" s="23">
        <f>VLOOKUP(Tableau1[[#This Row],[Code]],$V$3:$Z$157,4,)</f>
        <v>46340</v>
      </c>
      <c r="S8" s="23">
        <f>VLOOKUP(Tableau1[[#This Row],[Code]],$V$3:$Z$157,5,)</f>
        <v>36500</v>
      </c>
      <c r="V8" t="s">
        <v>44</v>
      </c>
      <c r="X8" s="22">
        <v>9840</v>
      </c>
      <c r="Y8" s="22">
        <v>46340</v>
      </c>
      <c r="Z8" s="22">
        <v>36500</v>
      </c>
    </row>
    <row r="9" spans="1:29" hidden="1" x14ac:dyDescent="0.25">
      <c r="A9" s="13">
        <v>44227</v>
      </c>
      <c r="B9" t="s">
        <v>80</v>
      </c>
      <c r="C9" t="s">
        <v>85</v>
      </c>
      <c r="D9" t="s">
        <v>45</v>
      </c>
      <c r="E9" s="3">
        <v>76</v>
      </c>
      <c r="F9">
        <v>284</v>
      </c>
      <c r="G9">
        <v>0</v>
      </c>
      <c r="H9">
        <v>0</v>
      </c>
      <c r="I9">
        <v>0</v>
      </c>
      <c r="J9">
        <v>0</v>
      </c>
      <c r="K9" s="23">
        <f>IF(Tableau1[[#This Row],[Quantité (H)]]=0,0,Tableau1[[#This Row],[Gasoil (L)]]/Tableau1[[#This Row],[Quantité (H)]])</f>
        <v>3.736842105263158</v>
      </c>
      <c r="L9" s="23">
        <v>33</v>
      </c>
      <c r="O9" s="23">
        <f>Tableau1[[#This Row],[Productivité]]-Tableau1[[#This Row],[ les Charges]]</f>
        <v>0</v>
      </c>
      <c r="R9" s="23">
        <f>VLOOKUP(Tableau1[[#This Row],[Code]],$V$3:$Z$157,4,)</f>
        <v>64680</v>
      </c>
      <c r="S9" s="23">
        <f>VLOOKUP(Tableau1[[#This Row],[Code]],$V$3:$Z$157,5,)</f>
        <v>57080</v>
      </c>
      <c r="V9" t="s">
        <v>45</v>
      </c>
      <c r="X9" s="22">
        <v>7600</v>
      </c>
      <c r="Y9" s="22">
        <v>64680</v>
      </c>
      <c r="Z9" s="22">
        <v>57080</v>
      </c>
    </row>
    <row r="10" spans="1:29" hidden="1" x14ac:dyDescent="0.25">
      <c r="A10" s="13">
        <v>44227</v>
      </c>
      <c r="B10" t="s">
        <v>82</v>
      </c>
      <c r="C10" t="s">
        <v>85</v>
      </c>
      <c r="D10" t="s">
        <v>45</v>
      </c>
      <c r="E10" s="37">
        <v>650</v>
      </c>
      <c r="F10">
        <v>650</v>
      </c>
      <c r="G10">
        <v>0</v>
      </c>
      <c r="H10">
        <v>0</v>
      </c>
      <c r="I10">
        <v>0</v>
      </c>
      <c r="J10">
        <v>0</v>
      </c>
      <c r="K10" s="23">
        <f>IF(Tableau1[[#This Row],[Quantité (H)]]=0,0,Tableau1[[#This Row],[Gasoil (L)]]/Tableau1[[#This Row],[Quantité (H)]])</f>
        <v>1</v>
      </c>
      <c r="L10" s="23">
        <v>33</v>
      </c>
      <c r="O10" s="23">
        <f>Tableau1[[#This Row],[Productivité]]-Tableau1[[#This Row],[ les Charges]]</f>
        <v>0</v>
      </c>
      <c r="R10" s="23">
        <f>VLOOKUP(Tableau1[[#This Row],[Code]],$V$3:$Z$157,4,)</f>
        <v>64680</v>
      </c>
      <c r="S10" s="23">
        <f>VLOOKUP(Tableau1[[#This Row],[Code]],$V$3:$Z$157,5,)</f>
        <v>57080</v>
      </c>
      <c r="V10" t="s">
        <v>46</v>
      </c>
      <c r="X10" s="22">
        <v>22629.18</v>
      </c>
      <c r="Y10" s="22">
        <v>48720</v>
      </c>
      <c r="Z10" s="22">
        <v>26090.82</v>
      </c>
    </row>
    <row r="11" spans="1:29" hidden="1" x14ac:dyDescent="0.25">
      <c r="A11" s="13">
        <v>44227</v>
      </c>
      <c r="B11" t="s">
        <v>79</v>
      </c>
      <c r="C11" t="s">
        <v>85</v>
      </c>
      <c r="D11" t="s">
        <v>45</v>
      </c>
      <c r="E11" s="3">
        <v>96</v>
      </c>
      <c r="F11">
        <v>942</v>
      </c>
      <c r="G11">
        <v>0</v>
      </c>
      <c r="H11">
        <v>0</v>
      </c>
      <c r="I11">
        <v>0</v>
      </c>
      <c r="J11">
        <v>0</v>
      </c>
      <c r="K11" s="23">
        <f>IF(Tableau1[[#This Row],[Quantité (H)]]=0,0,Tableau1[[#This Row],[Gasoil (L)]]/Tableau1[[#This Row],[Quantité (H)]])</f>
        <v>9.8125</v>
      </c>
      <c r="L11" s="23">
        <v>33</v>
      </c>
      <c r="M11" s="23">
        <v>48835.777777777781</v>
      </c>
      <c r="N11" s="23">
        <v>61822.222222222226</v>
      </c>
      <c r="O11" s="23">
        <f>Tableau1[[#This Row],[Productivité]]-Tableau1[[#This Row],[ les Charges]]</f>
        <v>12986.444444444445</v>
      </c>
      <c r="R11" s="23">
        <f>VLOOKUP(Tableau1[[#This Row],[Code]],$V$3:$Z$157,4,)</f>
        <v>64680</v>
      </c>
      <c r="S11" s="23">
        <f>VLOOKUP(Tableau1[[#This Row],[Code]],$V$3:$Z$157,5,)</f>
        <v>57080</v>
      </c>
      <c r="V11" t="s">
        <v>47</v>
      </c>
      <c r="X11" s="22">
        <v>11209.18</v>
      </c>
      <c r="Y11" s="22">
        <v>65240</v>
      </c>
      <c r="Z11" s="22">
        <v>54030.82</v>
      </c>
    </row>
    <row r="12" spans="1:29" hidden="1" x14ac:dyDescent="0.25">
      <c r="A12" s="13">
        <v>44227</v>
      </c>
      <c r="B12" t="s">
        <v>80</v>
      </c>
      <c r="C12" t="s">
        <v>85</v>
      </c>
      <c r="D12" t="s">
        <v>46</v>
      </c>
      <c r="E12" s="3">
        <v>156</v>
      </c>
      <c r="F12">
        <v>1351</v>
      </c>
      <c r="G12">
        <v>0</v>
      </c>
      <c r="H12">
        <v>0</v>
      </c>
      <c r="I12">
        <v>0</v>
      </c>
      <c r="J12">
        <v>0</v>
      </c>
      <c r="K12" s="23">
        <f>IF(Tableau1[[#This Row],[Quantité (H)]]=0,0,Tableau1[[#This Row],[Gasoil (L)]]/Tableau1[[#This Row],[Quantité (H)]])</f>
        <v>8.6602564102564106</v>
      </c>
      <c r="L12" s="23">
        <v>58.981876332622605</v>
      </c>
      <c r="O12" s="23">
        <f>Tableau1[[#This Row],[Productivité]]-Tableau1[[#This Row],[ les Charges]]</f>
        <v>0</v>
      </c>
      <c r="R12" s="23">
        <f>VLOOKUP(Tableau1[[#This Row],[Code]],$V$3:$Z$157,4,)</f>
        <v>48720</v>
      </c>
      <c r="S12" s="23">
        <f>VLOOKUP(Tableau1[[#This Row],[Code]],$V$3:$Z$157,5,)</f>
        <v>26090.82</v>
      </c>
      <c r="V12" t="s">
        <v>48</v>
      </c>
      <c r="X12" s="22">
        <v>8805</v>
      </c>
      <c r="Y12" s="22">
        <v>17400</v>
      </c>
      <c r="Z12" s="22">
        <v>8595</v>
      </c>
    </row>
    <row r="13" spans="1:29" hidden="1" x14ac:dyDescent="0.25">
      <c r="A13" s="13">
        <v>44227</v>
      </c>
      <c r="B13" t="s">
        <v>82</v>
      </c>
      <c r="C13" t="s">
        <v>85</v>
      </c>
      <c r="D13" t="s">
        <v>46</v>
      </c>
      <c r="E13" s="36">
        <v>804</v>
      </c>
      <c r="F13">
        <v>804</v>
      </c>
      <c r="G13">
        <v>0</v>
      </c>
      <c r="H13">
        <v>0</v>
      </c>
      <c r="I13">
        <v>0</v>
      </c>
      <c r="J13">
        <v>0</v>
      </c>
      <c r="K13" s="23">
        <f>IF(Tableau1[[#This Row],[Quantité (H)]]=0,0,Tableau1[[#This Row],[Gasoil (L)]]/Tableau1[[#This Row],[Quantité (H)]])</f>
        <v>1</v>
      </c>
      <c r="L13" s="23">
        <v>58.981876332622605</v>
      </c>
      <c r="O13" s="23">
        <f>Tableau1[[#This Row],[Productivité]]-Tableau1[[#This Row],[ les Charges]]</f>
        <v>0</v>
      </c>
      <c r="R13" s="23">
        <f>VLOOKUP(Tableau1[[#This Row],[Code]],$V$3:$Z$157,4,)</f>
        <v>48720</v>
      </c>
      <c r="S13" s="23">
        <f>VLOOKUP(Tableau1[[#This Row],[Code]],$V$3:$Z$157,5,)</f>
        <v>26090.82</v>
      </c>
      <c r="V13" t="s">
        <v>49</v>
      </c>
      <c r="X13" s="22">
        <v>8070</v>
      </c>
      <c r="Y13" s="22">
        <v>17625</v>
      </c>
      <c r="Z13" s="22">
        <v>9555</v>
      </c>
    </row>
    <row r="14" spans="1:29" hidden="1" x14ac:dyDescent="0.25">
      <c r="A14" s="13">
        <v>44227</v>
      </c>
      <c r="B14" t="s">
        <v>79</v>
      </c>
      <c r="C14" t="s">
        <v>85</v>
      </c>
      <c r="D14" t="s">
        <v>46</v>
      </c>
      <c r="E14" s="3">
        <v>30</v>
      </c>
      <c r="F14">
        <v>210</v>
      </c>
      <c r="G14">
        <v>0</v>
      </c>
      <c r="H14">
        <v>0</v>
      </c>
      <c r="I14">
        <v>0</v>
      </c>
      <c r="J14">
        <v>0</v>
      </c>
      <c r="K14" s="23">
        <f>IF(Tableau1[[#This Row],[Quantité (H)]]=0,0,Tableau1[[#This Row],[Gasoil (L)]]/Tableau1[[#This Row],[Quantité (H)]])</f>
        <v>7</v>
      </c>
      <c r="L14" s="23">
        <v>58.981876332622605</v>
      </c>
      <c r="M14" s="23">
        <v>58622.222222222219</v>
      </c>
      <c r="N14" s="23">
        <v>65577.777777777781</v>
      </c>
      <c r="O14" s="23">
        <f>Tableau1[[#This Row],[Productivité]]-Tableau1[[#This Row],[ les Charges]]</f>
        <v>6955.555555555562</v>
      </c>
      <c r="R14" s="23">
        <f>VLOOKUP(Tableau1[[#This Row],[Code]],$V$3:$Z$157,4,)</f>
        <v>48720</v>
      </c>
      <c r="S14" s="23">
        <f>VLOOKUP(Tableau1[[#This Row],[Code]],$V$3:$Z$157,5,)</f>
        <v>26090.82</v>
      </c>
      <c r="V14" t="s">
        <v>50</v>
      </c>
      <c r="X14" s="22">
        <v>4680</v>
      </c>
      <c r="Y14" s="22">
        <v>26250</v>
      </c>
      <c r="Z14" s="22">
        <v>21570</v>
      </c>
    </row>
    <row r="15" spans="1:29" hidden="1" x14ac:dyDescent="0.25">
      <c r="A15" s="13">
        <v>44227</v>
      </c>
      <c r="B15" t="s">
        <v>79</v>
      </c>
      <c r="C15" t="s">
        <v>85</v>
      </c>
      <c r="D15" t="s">
        <v>47</v>
      </c>
      <c r="E15" s="3">
        <v>56</v>
      </c>
      <c r="F15">
        <v>280</v>
      </c>
      <c r="G15">
        <v>0</v>
      </c>
      <c r="H15">
        <v>0</v>
      </c>
      <c r="J15">
        <v>0</v>
      </c>
      <c r="K15" s="23">
        <f>IF(Tableau1[[#This Row],[Quantité (H)]]=0,0,Tableau1[[#This Row],[Gasoil (L)]]/Tableau1[[#This Row],[Quantité (H)]])</f>
        <v>5</v>
      </c>
      <c r="L15" s="23">
        <v>67.126965861143077</v>
      </c>
      <c r="M15" s="23">
        <v>62859.777777777781</v>
      </c>
      <c r="N15" s="23">
        <v>59222.222222222226</v>
      </c>
      <c r="O15" s="23">
        <f>Tableau1[[#This Row],[Productivité]]-Tableau1[[#This Row],[ les Charges]]</f>
        <v>-3637.5555555555547</v>
      </c>
      <c r="R15" s="23">
        <f>VLOOKUP(Tableau1[[#This Row],[Code]],$V$3:$Z$157,4,)</f>
        <v>65240</v>
      </c>
      <c r="S15" s="23">
        <f>VLOOKUP(Tableau1[[#This Row],[Code]],$V$3:$Z$157,5,)</f>
        <v>54030.82</v>
      </c>
      <c r="V15" t="s">
        <v>54</v>
      </c>
      <c r="X15" s="22">
        <v>7680</v>
      </c>
      <c r="Y15" s="22">
        <v>52500</v>
      </c>
      <c r="Z15" s="22">
        <v>44820</v>
      </c>
    </row>
    <row r="16" spans="1:29" hidden="1" x14ac:dyDescent="0.25">
      <c r="A16" s="13">
        <v>44227</v>
      </c>
      <c r="B16" t="s">
        <v>80</v>
      </c>
      <c r="C16" t="s">
        <v>85</v>
      </c>
      <c r="D16" t="s">
        <v>47</v>
      </c>
      <c r="E16" s="3">
        <v>149</v>
      </c>
      <c r="F16">
        <v>1470</v>
      </c>
      <c r="G16">
        <v>0</v>
      </c>
      <c r="H16">
        <v>0</v>
      </c>
      <c r="I16">
        <v>0</v>
      </c>
      <c r="J16">
        <v>0</v>
      </c>
      <c r="K16" s="23">
        <f>IF(Tableau1[[#This Row],[Quantité (H)]]=0,0,Tableau1[[#This Row],[Gasoil (L)]]/Tableau1[[#This Row],[Quantité (H)]])</f>
        <v>9.8657718120805367</v>
      </c>
      <c r="L16" s="23">
        <v>67.126965861143077</v>
      </c>
      <c r="O16" s="23">
        <f>Tableau1[[#This Row],[Productivité]]-Tableau1[[#This Row],[ les Charges]]</f>
        <v>0</v>
      </c>
      <c r="R16" s="23">
        <f>VLOOKUP(Tableau1[[#This Row],[Code]],$V$3:$Z$157,4,)</f>
        <v>65240</v>
      </c>
      <c r="S16" s="23">
        <f>VLOOKUP(Tableau1[[#This Row],[Code]],$V$3:$Z$157,5,)</f>
        <v>54030.82</v>
      </c>
      <c r="V16" t="s">
        <v>56</v>
      </c>
      <c r="X16" s="22">
        <v>21004.9</v>
      </c>
      <c r="Y16" s="22">
        <v>30900</v>
      </c>
      <c r="Z16" s="22">
        <v>9895.0999999999985</v>
      </c>
    </row>
    <row r="17" spans="1:26" hidden="1" x14ac:dyDescent="0.25">
      <c r="A17" s="13">
        <v>44227</v>
      </c>
      <c r="B17" t="s">
        <v>80</v>
      </c>
      <c r="C17" t="s">
        <v>85</v>
      </c>
      <c r="D17" t="s">
        <v>48</v>
      </c>
      <c r="E17" s="3">
        <v>119</v>
      </c>
      <c r="F17">
        <v>379</v>
      </c>
      <c r="G17">
        <v>0</v>
      </c>
      <c r="H17">
        <v>0</v>
      </c>
      <c r="I17">
        <v>0</v>
      </c>
      <c r="J17">
        <v>0</v>
      </c>
      <c r="K17" s="23">
        <f>IF(Tableau1[[#This Row],[Quantité (H)]]=0,0,Tableau1[[#This Row],[Gasoil (L)]]/Tableau1[[#This Row],[Quantité (H)]])</f>
        <v>3.1848739495798317</v>
      </c>
      <c r="L17" s="23">
        <v>106.06137724550899</v>
      </c>
      <c r="M17" s="23">
        <v>29160.455555555556</v>
      </c>
      <c r="N17" s="23">
        <v>25977.777777777774</v>
      </c>
      <c r="O17" s="23">
        <f>Tableau1[[#This Row],[Productivité]]-Tableau1[[#This Row],[ les Charges]]</f>
        <v>-3182.6777777777825</v>
      </c>
      <c r="R17" s="23">
        <f>VLOOKUP(Tableau1[[#This Row],[Code]],$V$3:$Z$157,4,)</f>
        <v>17400</v>
      </c>
      <c r="S17" s="23">
        <f>VLOOKUP(Tableau1[[#This Row],[Code]],$V$3:$Z$157,5,)</f>
        <v>8595</v>
      </c>
      <c r="V17" t="s">
        <v>57</v>
      </c>
      <c r="X17" s="22">
        <v>34146.17</v>
      </c>
      <c r="Y17" s="22">
        <v>26240</v>
      </c>
      <c r="Z17" s="22">
        <v>-7906.1699999999983</v>
      </c>
    </row>
    <row r="18" spans="1:26" hidden="1" x14ac:dyDescent="0.25">
      <c r="A18" s="13">
        <v>44227</v>
      </c>
      <c r="B18" t="s">
        <v>81</v>
      </c>
      <c r="C18" t="s">
        <v>85</v>
      </c>
      <c r="D18" t="s">
        <v>48</v>
      </c>
      <c r="E18" s="3">
        <v>32</v>
      </c>
      <c r="F18">
        <v>329.49</v>
      </c>
      <c r="G18">
        <v>0</v>
      </c>
      <c r="H18">
        <v>0</v>
      </c>
      <c r="I18">
        <v>0</v>
      </c>
      <c r="J18">
        <v>0</v>
      </c>
      <c r="K18" s="23">
        <f>IF(Tableau1[[#This Row],[Quantité (H)]]=0,0,Tableau1[[#This Row],[Gasoil (L)]]/Tableau1[[#This Row],[Quantité (H)]])</f>
        <v>10.2965625</v>
      </c>
      <c r="L18" s="23">
        <v>106.06137724550899</v>
      </c>
      <c r="O18" s="23">
        <f>Tableau1[[#This Row],[Productivité]]-Tableau1[[#This Row],[ les Charges]]</f>
        <v>0</v>
      </c>
      <c r="R18" s="23">
        <f>VLOOKUP(Tableau1[[#This Row],[Code]],$V$3:$Z$157,4,)</f>
        <v>17400</v>
      </c>
      <c r="S18" s="23">
        <f>VLOOKUP(Tableau1[[#This Row],[Code]],$V$3:$Z$157,5,)</f>
        <v>8595</v>
      </c>
      <c r="V18" t="s">
        <v>55</v>
      </c>
      <c r="X18" s="22">
        <v>5330</v>
      </c>
      <c r="Y18" s="22">
        <v>32480</v>
      </c>
      <c r="Z18" s="22">
        <v>27150</v>
      </c>
    </row>
    <row r="19" spans="1:26" hidden="1" x14ac:dyDescent="0.25">
      <c r="A19" s="13">
        <v>44227</v>
      </c>
      <c r="B19" t="s">
        <v>80</v>
      </c>
      <c r="C19" t="s">
        <v>85</v>
      </c>
      <c r="D19" t="s">
        <v>49</v>
      </c>
      <c r="E19" s="3">
        <v>4</v>
      </c>
      <c r="F19">
        <v>406</v>
      </c>
      <c r="G19">
        <v>0</v>
      </c>
      <c r="H19">
        <v>0</v>
      </c>
      <c r="I19">
        <v>0</v>
      </c>
      <c r="J19">
        <v>0</v>
      </c>
      <c r="K19" s="23">
        <f>IF(Tableau1[[#This Row],[Quantité (H)]]=0,0,Tableau1[[#This Row],[Gasoil (L)]]/Tableau1[[#This Row],[Quantité (H)]])</f>
        <v>101.5</v>
      </c>
      <c r="L19" s="23">
        <v>173.63344051446899</v>
      </c>
      <c r="M19" s="23">
        <v>24439.222222222223</v>
      </c>
      <c r="N19" s="23">
        <v>8711.1111111111113</v>
      </c>
      <c r="O19" s="23">
        <f>Tableau1[[#This Row],[Productivité]]-Tableau1[[#This Row],[ les Charges]]</f>
        <v>-15728.111111111111</v>
      </c>
      <c r="R19" s="23">
        <f>VLOOKUP(Tableau1[[#This Row],[Code]],$V$3:$Z$157,4,)</f>
        <v>17625</v>
      </c>
      <c r="S19" s="23">
        <f>VLOOKUP(Tableau1[[#This Row],[Code]],$V$3:$Z$157,5,)</f>
        <v>9555</v>
      </c>
      <c r="V19" t="s">
        <v>134</v>
      </c>
      <c r="X19" s="22">
        <v>3877.9</v>
      </c>
      <c r="Y19" s="22">
        <v>5100</v>
      </c>
      <c r="Z19" s="22">
        <v>1222.0999999999999</v>
      </c>
    </row>
    <row r="20" spans="1:26" hidden="1" x14ac:dyDescent="0.25">
      <c r="A20" s="13">
        <v>44227</v>
      </c>
      <c r="B20" t="s">
        <v>82</v>
      </c>
      <c r="C20" t="s">
        <v>85</v>
      </c>
      <c r="D20" t="s">
        <v>49</v>
      </c>
      <c r="E20" s="37">
        <v>134</v>
      </c>
      <c r="F20">
        <v>134</v>
      </c>
      <c r="G20">
        <v>0</v>
      </c>
      <c r="H20">
        <v>0</v>
      </c>
      <c r="I20">
        <v>0</v>
      </c>
      <c r="J20">
        <v>0</v>
      </c>
      <c r="K20" s="23">
        <f>IF(Tableau1[[#This Row],[Quantité (H)]]=0,0,Tableau1[[#This Row],[Gasoil (L)]]/Tableau1[[#This Row],[Quantité (H)]])</f>
        <v>1</v>
      </c>
      <c r="L20" s="23">
        <v>173.63344051446899</v>
      </c>
      <c r="O20" s="23">
        <f>Tableau1[[#This Row],[Productivité]]-Tableau1[[#This Row],[ les Charges]]</f>
        <v>0</v>
      </c>
      <c r="R20" s="23">
        <f>VLOOKUP(Tableau1[[#This Row],[Code]],$V$3:$Z$157,4,)</f>
        <v>17625</v>
      </c>
      <c r="S20" s="23">
        <f>VLOOKUP(Tableau1[[#This Row],[Code]],$V$3:$Z$157,5,)</f>
        <v>9555</v>
      </c>
      <c r="V20" t="s">
        <v>52</v>
      </c>
      <c r="X20" s="22">
        <v>2460</v>
      </c>
      <c r="Y20" s="22">
        <v>16825</v>
      </c>
      <c r="Z20" s="22">
        <v>14365</v>
      </c>
    </row>
    <row r="21" spans="1:26" hidden="1" x14ac:dyDescent="0.25">
      <c r="A21" s="13">
        <v>44227</v>
      </c>
      <c r="B21" t="s">
        <v>80</v>
      </c>
      <c r="C21" t="s">
        <v>85</v>
      </c>
      <c r="D21" t="s">
        <v>50</v>
      </c>
      <c r="E21" s="3">
        <v>172</v>
      </c>
      <c r="F21">
        <v>437</v>
      </c>
      <c r="G21">
        <v>0</v>
      </c>
      <c r="H21">
        <v>0</v>
      </c>
      <c r="I21">
        <v>0</v>
      </c>
      <c r="J21">
        <v>0</v>
      </c>
      <c r="K21" s="23">
        <f>IF(Tableau1[[#This Row],[Quantité (H)]]=0,0,Tableau1[[#This Row],[Gasoil (L)]]/Tableau1[[#This Row],[Quantité (H)]])</f>
        <v>2.5406976744186047</v>
      </c>
      <c r="L21" s="23">
        <v>34.482758620689658</v>
      </c>
      <c r="M21" s="23">
        <v>27626.111111111113</v>
      </c>
      <c r="N21" s="23">
        <v>26755.555555555555</v>
      </c>
      <c r="O21" s="23">
        <f>Tableau1[[#This Row],[Productivité]]-Tableau1[[#This Row],[ les Charges]]</f>
        <v>-870.55555555555839</v>
      </c>
      <c r="R21" s="23">
        <f>VLOOKUP(Tableau1[[#This Row],[Code]],$V$3:$Z$157,4,)</f>
        <v>26250</v>
      </c>
      <c r="S21" s="23">
        <f>VLOOKUP(Tableau1[[#This Row],[Code]],$V$3:$Z$157,5,)</f>
        <v>21570</v>
      </c>
      <c r="V21" t="s">
        <v>28</v>
      </c>
      <c r="X21" s="22">
        <v>24930</v>
      </c>
      <c r="Y21" s="22">
        <v>61200</v>
      </c>
      <c r="Z21" s="22">
        <v>36270</v>
      </c>
    </row>
    <row r="22" spans="1:26" hidden="1" x14ac:dyDescent="0.25">
      <c r="A22" s="13">
        <v>44227</v>
      </c>
      <c r="B22" t="s">
        <v>79</v>
      </c>
      <c r="C22" t="s">
        <v>85</v>
      </c>
      <c r="D22" t="s">
        <v>54</v>
      </c>
      <c r="E22" s="3">
        <v>119</v>
      </c>
      <c r="F22">
        <v>1176</v>
      </c>
      <c r="G22">
        <v>0</v>
      </c>
      <c r="H22">
        <v>0</v>
      </c>
      <c r="I22">
        <v>0</v>
      </c>
      <c r="J22">
        <v>0</v>
      </c>
      <c r="K22" s="23">
        <f>IF(Tableau1[[#This Row],[Quantité (H)]]=0,0,Tableau1[[#This Row],[Gasoil (L)]]/Tableau1[[#This Row],[Quantité (H)]])</f>
        <v>9.882352941176471</v>
      </c>
      <c r="L22" s="23">
        <v>31.597774244833069</v>
      </c>
      <c r="M22" s="23">
        <v>86716.666666666672</v>
      </c>
      <c r="N22" s="23">
        <v>66600</v>
      </c>
      <c r="O22" s="23">
        <f>Tableau1[[#This Row],[Productivité]]-Tableau1[[#This Row],[ les Charges]]</f>
        <v>-20116.666666666672</v>
      </c>
      <c r="R22" s="23">
        <f>VLOOKUP(Tableau1[[#This Row],[Code]],$V$3:$Z$157,4,)</f>
        <v>52500</v>
      </c>
      <c r="S22" s="23">
        <f>VLOOKUP(Tableau1[[#This Row],[Code]],$V$3:$Z$157,5,)</f>
        <v>44820</v>
      </c>
      <c r="V22" t="s">
        <v>29</v>
      </c>
      <c r="X22" s="22">
        <v>11987.2</v>
      </c>
      <c r="Y22" s="22">
        <v>79800</v>
      </c>
      <c r="Z22" s="22">
        <v>67812.800000000003</v>
      </c>
    </row>
    <row r="23" spans="1:26" hidden="1" x14ac:dyDescent="0.25">
      <c r="A23" s="13">
        <v>44227</v>
      </c>
      <c r="B23" t="s">
        <v>80</v>
      </c>
      <c r="C23" t="s">
        <v>85</v>
      </c>
      <c r="D23" t="s">
        <v>54</v>
      </c>
      <c r="E23" s="3">
        <v>103</v>
      </c>
      <c r="F23">
        <v>414</v>
      </c>
      <c r="G23">
        <v>0</v>
      </c>
      <c r="H23">
        <v>0</v>
      </c>
      <c r="I23">
        <v>25</v>
      </c>
      <c r="J23">
        <v>0</v>
      </c>
      <c r="K23" s="23">
        <f>IF(Tableau1[[#This Row],[Quantité (H)]]=0,0,Tableau1[[#This Row],[Gasoil (L)]]/Tableau1[[#This Row],[Quantité (H)]])</f>
        <v>4.0194174757281553</v>
      </c>
      <c r="L23" s="23">
        <v>31.597774244833069</v>
      </c>
      <c r="O23" s="23">
        <f>Tableau1[[#This Row],[Productivité]]-Tableau1[[#This Row],[ les Charges]]</f>
        <v>0</v>
      </c>
      <c r="R23" s="23">
        <f>VLOOKUP(Tableau1[[#This Row],[Code]],$V$3:$Z$157,4,)</f>
        <v>52500</v>
      </c>
      <c r="S23" s="23">
        <f>VLOOKUP(Tableau1[[#This Row],[Code]],$V$3:$Z$157,5,)</f>
        <v>44820</v>
      </c>
      <c r="V23" t="s">
        <v>94</v>
      </c>
      <c r="X23" s="22">
        <v>20211.650000000001</v>
      </c>
      <c r="Y23" s="22">
        <v>59660</v>
      </c>
      <c r="Z23" s="22">
        <v>39448.35</v>
      </c>
    </row>
    <row r="24" spans="1:26" hidden="1" x14ac:dyDescent="0.25">
      <c r="A24" s="13">
        <v>44227</v>
      </c>
      <c r="B24" t="s">
        <v>79</v>
      </c>
      <c r="C24" t="s">
        <v>85</v>
      </c>
      <c r="D24" t="s">
        <v>56</v>
      </c>
      <c r="E24" s="3">
        <v>9</v>
      </c>
      <c r="F24">
        <v>1005</v>
      </c>
      <c r="G24">
        <v>0</v>
      </c>
      <c r="H24">
        <v>0</v>
      </c>
      <c r="I24">
        <v>0</v>
      </c>
      <c r="J24">
        <v>0</v>
      </c>
      <c r="K24" s="23">
        <f>IF(Tableau1[[#This Row],[Quantité (H)]]=0,0,Tableau1[[#This Row],[Gasoil (L)]]/Tableau1[[#This Row],[Quantité (H)]])</f>
        <v>111.66666666666667</v>
      </c>
      <c r="L24" s="23">
        <v>1.2033154077655532</v>
      </c>
      <c r="M24" s="23">
        <v>35976.111111111109</v>
      </c>
      <c r="N24" s="23">
        <v>10888.888888888891</v>
      </c>
      <c r="O24" s="23">
        <f>Tableau1[[#This Row],[Productivité]]-Tableau1[[#This Row],[ les Charges]]</f>
        <v>-25087.222222222219</v>
      </c>
      <c r="R24" s="23">
        <f>VLOOKUP(Tableau1[[#This Row],[Code]],$V$3:$Z$157,4,)</f>
        <v>30900</v>
      </c>
      <c r="S24" s="23">
        <f>VLOOKUP(Tableau1[[#This Row],[Code]],$V$3:$Z$157,5,)</f>
        <v>9895.0999999999985</v>
      </c>
      <c r="V24" t="s">
        <v>126</v>
      </c>
      <c r="X24" s="22">
        <v>20383.32</v>
      </c>
      <c r="Y24" s="22">
        <v>68040</v>
      </c>
      <c r="Z24" s="22">
        <v>47656.68</v>
      </c>
    </row>
    <row r="25" spans="1:26" hidden="1" x14ac:dyDescent="0.25">
      <c r="A25" s="13">
        <v>44227</v>
      </c>
      <c r="B25" t="s">
        <v>82</v>
      </c>
      <c r="C25" t="s">
        <v>85</v>
      </c>
      <c r="D25" t="s">
        <v>56</v>
      </c>
      <c r="E25" s="36">
        <v>1434</v>
      </c>
      <c r="F25">
        <v>1434</v>
      </c>
      <c r="G25">
        <v>0</v>
      </c>
      <c r="H25">
        <v>0</v>
      </c>
      <c r="I25">
        <v>0</v>
      </c>
      <c r="J25">
        <v>0</v>
      </c>
      <c r="K25" s="23">
        <f>IF(Tableau1[[#This Row],[Quantité (H)]]=0,0,Tableau1[[#This Row],[Gasoil (L)]]/Tableau1[[#This Row],[Quantité (H)]])</f>
        <v>1</v>
      </c>
      <c r="L25" s="23">
        <v>1.2033154077655532</v>
      </c>
      <c r="O25" s="23">
        <f>Tableau1[[#This Row],[Productivité]]-Tableau1[[#This Row],[ les Charges]]</f>
        <v>0</v>
      </c>
      <c r="R25" s="23">
        <f>VLOOKUP(Tableau1[[#This Row],[Code]],$V$3:$Z$157,4,)</f>
        <v>30900</v>
      </c>
      <c r="S25" s="23">
        <f>VLOOKUP(Tableau1[[#This Row],[Code]],$V$3:$Z$157,5,)</f>
        <v>9895.0999999999985</v>
      </c>
      <c r="V25" t="s">
        <v>36</v>
      </c>
      <c r="X25" s="22">
        <v>15284.5</v>
      </c>
      <c r="Y25" s="22">
        <v>157950</v>
      </c>
      <c r="Z25" s="22">
        <v>142665.5</v>
      </c>
    </row>
    <row r="26" spans="1:26" hidden="1" x14ac:dyDescent="0.25">
      <c r="A26" s="13">
        <v>44227</v>
      </c>
      <c r="B26" t="s">
        <v>81</v>
      </c>
      <c r="C26" t="s">
        <v>85</v>
      </c>
      <c r="D26" t="s">
        <v>57</v>
      </c>
      <c r="E26" s="3">
        <v>0</v>
      </c>
      <c r="F26">
        <v>561.70000000000005</v>
      </c>
      <c r="G26">
        <v>0</v>
      </c>
      <c r="H26">
        <v>0</v>
      </c>
      <c r="I26">
        <v>0</v>
      </c>
      <c r="J26">
        <v>0</v>
      </c>
      <c r="K26" s="23">
        <f>IF(Tableau1[[#This Row],[Quantité (H)]]=0,0,Tableau1[[#This Row],[Gasoil (L)]]/Tableau1[[#This Row],[Quantité (H)]])</f>
        <v>0</v>
      </c>
      <c r="L26" s="23">
        <v>71.797353497164494</v>
      </c>
      <c r="M26" s="23">
        <v>34996.622222222228</v>
      </c>
      <c r="N26" s="23">
        <v>11277.777777777779</v>
      </c>
      <c r="O26" s="23">
        <f>Tableau1[[#This Row],[Productivité]]-Tableau1[[#This Row],[ les Charges]]</f>
        <v>-23718.844444444447</v>
      </c>
      <c r="R26" s="23">
        <f>VLOOKUP(Tableau1[[#This Row],[Code]],$V$3:$Z$157,4,)</f>
        <v>26240</v>
      </c>
      <c r="S26" s="23">
        <f>VLOOKUP(Tableau1[[#This Row],[Code]],$V$3:$Z$157,5,)</f>
        <v>-7906.1699999999983</v>
      </c>
      <c r="V26" t="s">
        <v>37</v>
      </c>
      <c r="X26" s="22">
        <v>11810.6</v>
      </c>
      <c r="Y26" s="22">
        <v>192375</v>
      </c>
      <c r="Z26" s="22">
        <v>180564.4</v>
      </c>
    </row>
    <row r="27" spans="1:26" hidden="1" x14ac:dyDescent="0.25">
      <c r="A27" s="13">
        <v>44227</v>
      </c>
      <c r="B27" t="s">
        <v>82</v>
      </c>
      <c r="C27" t="s">
        <v>85</v>
      </c>
      <c r="D27" t="s">
        <v>57</v>
      </c>
      <c r="E27" s="37">
        <v>1100</v>
      </c>
      <c r="F27">
        <v>1100</v>
      </c>
      <c r="G27">
        <v>0</v>
      </c>
      <c r="H27">
        <v>0</v>
      </c>
      <c r="I27">
        <v>0</v>
      </c>
      <c r="J27">
        <v>0</v>
      </c>
      <c r="K27" s="23">
        <f>IF(Tableau1[[#This Row],[Quantité (H)]]=0,0,Tableau1[[#This Row],[Gasoil (L)]]/Tableau1[[#This Row],[Quantité (H)]])</f>
        <v>1</v>
      </c>
      <c r="L27" s="23">
        <v>71.797353497164494</v>
      </c>
      <c r="O27" s="23">
        <f>Tableau1[[#This Row],[Productivité]]-Tableau1[[#This Row],[ les Charges]]</f>
        <v>0</v>
      </c>
      <c r="R27" s="23">
        <f>VLOOKUP(Tableau1[[#This Row],[Code]],$V$3:$Z$157,4,)</f>
        <v>26240</v>
      </c>
      <c r="S27" s="23">
        <f>VLOOKUP(Tableau1[[#This Row],[Code]],$V$3:$Z$157,5,)</f>
        <v>-7906.1699999999983</v>
      </c>
      <c r="V27" t="s">
        <v>51</v>
      </c>
      <c r="X27" s="22">
        <v>7945</v>
      </c>
      <c r="Y27" s="22">
        <v>20825</v>
      </c>
      <c r="Z27" s="22">
        <v>12880</v>
      </c>
    </row>
    <row r="28" spans="1:26" hidden="1" x14ac:dyDescent="0.25">
      <c r="A28" s="13">
        <v>44227</v>
      </c>
      <c r="B28" t="s">
        <v>79</v>
      </c>
      <c r="C28" t="s">
        <v>85</v>
      </c>
      <c r="D28" t="s">
        <v>55</v>
      </c>
      <c r="E28" s="3">
        <v>63</v>
      </c>
      <c r="F28">
        <v>258</v>
      </c>
      <c r="G28">
        <v>0</v>
      </c>
      <c r="H28">
        <v>0</v>
      </c>
      <c r="I28">
        <v>0</v>
      </c>
      <c r="J28">
        <v>0</v>
      </c>
      <c r="K28" s="23">
        <f>IF(Tableau1[[#This Row],[Quantité (H)]]=0,0,Tableau1[[#This Row],[Gasoil (L)]]/Tableau1[[#This Row],[Quantité (H)]])</f>
        <v>4.0952380952380949</v>
      </c>
      <c r="L28" s="23">
        <v>37</v>
      </c>
      <c r="M28" s="23">
        <v>61851.111111111109</v>
      </c>
      <c r="N28" s="23">
        <v>59700</v>
      </c>
      <c r="O28" s="23">
        <f>Tableau1[[#This Row],[Productivité]]-Tableau1[[#This Row],[ les Charges]]</f>
        <v>-2151.1111111111095</v>
      </c>
      <c r="R28" s="23">
        <f>VLOOKUP(Tableau1[[#This Row],[Code]],$V$3:$Z$157,4,)</f>
        <v>32480</v>
      </c>
      <c r="S28" s="23">
        <f>VLOOKUP(Tableau1[[#This Row],[Code]],$V$3:$Z$157,5,)</f>
        <v>27150</v>
      </c>
      <c r="V28" t="s">
        <v>30</v>
      </c>
      <c r="X28" s="22">
        <v>840</v>
      </c>
      <c r="Y28" s="22">
        <v>125425</v>
      </c>
      <c r="Z28" s="22">
        <v>124585</v>
      </c>
    </row>
    <row r="29" spans="1:26" hidden="1" x14ac:dyDescent="0.25">
      <c r="A29" s="13">
        <v>44227</v>
      </c>
      <c r="B29" t="s">
        <v>80</v>
      </c>
      <c r="C29" t="s">
        <v>85</v>
      </c>
      <c r="D29" t="s">
        <v>55</v>
      </c>
      <c r="E29" s="3">
        <v>95</v>
      </c>
      <c r="F29">
        <v>1266</v>
      </c>
      <c r="G29">
        <v>0</v>
      </c>
      <c r="H29">
        <v>0</v>
      </c>
      <c r="I29">
        <v>0</v>
      </c>
      <c r="J29">
        <v>0</v>
      </c>
      <c r="K29" s="23">
        <f>IF(Tableau1[[#This Row],[Quantité (H)]]=0,0,Tableau1[[#This Row],[Gasoil (L)]]/Tableau1[[#This Row],[Quantité (H)]])</f>
        <v>13.326315789473684</v>
      </c>
      <c r="L29" s="23">
        <v>37</v>
      </c>
      <c r="O29" s="23">
        <f>Tableau1[[#This Row],[Productivité]]-Tableau1[[#This Row],[ les Charges]]</f>
        <v>0</v>
      </c>
      <c r="R29" s="23">
        <f>VLOOKUP(Tableau1[[#This Row],[Code]],$V$3:$Z$157,4,)</f>
        <v>32480</v>
      </c>
      <c r="S29" s="23">
        <f>VLOOKUP(Tableau1[[#This Row],[Code]],$V$3:$Z$157,5,)</f>
        <v>27150</v>
      </c>
      <c r="V29" t="s">
        <v>38</v>
      </c>
      <c r="X29" s="22">
        <v>46116.76</v>
      </c>
      <c r="Y29" s="22">
        <v>197800</v>
      </c>
      <c r="Z29" s="22">
        <v>151683.24</v>
      </c>
    </row>
    <row r="30" spans="1:26" hidden="1" x14ac:dyDescent="0.25">
      <c r="A30" s="13">
        <v>44227</v>
      </c>
      <c r="B30" t="s">
        <v>82</v>
      </c>
      <c r="C30" t="s">
        <v>85</v>
      </c>
      <c r="D30" t="s">
        <v>55</v>
      </c>
      <c r="E30" s="37">
        <v>700</v>
      </c>
      <c r="F30">
        <v>700</v>
      </c>
      <c r="G30">
        <v>0</v>
      </c>
      <c r="H30">
        <v>0</v>
      </c>
      <c r="I30">
        <v>0</v>
      </c>
      <c r="J30">
        <v>0</v>
      </c>
      <c r="K30" s="23">
        <f>IF(Tableau1[[#This Row],[Quantité (H)]]=0,0,Tableau1[[#This Row],[Gasoil (L)]]/Tableau1[[#This Row],[Quantité (H)]])</f>
        <v>1</v>
      </c>
      <c r="L30" s="23">
        <v>37</v>
      </c>
      <c r="O30" s="23">
        <f>Tableau1[[#This Row],[Productivité]]-Tableau1[[#This Row],[ les Charges]]</f>
        <v>0</v>
      </c>
      <c r="R30" s="23">
        <f>VLOOKUP(Tableau1[[#This Row],[Code]],$V$3:$Z$157,4,)</f>
        <v>32480</v>
      </c>
      <c r="S30" s="23">
        <f>VLOOKUP(Tableau1[[#This Row],[Code]],$V$3:$Z$157,5,)</f>
        <v>27150</v>
      </c>
      <c r="V30" t="s">
        <v>11</v>
      </c>
      <c r="X30" s="22">
        <v>17319.990000000002</v>
      </c>
      <c r="Y30" s="22">
        <v>47500</v>
      </c>
      <c r="Z30" s="22">
        <v>30180.01</v>
      </c>
    </row>
    <row r="31" spans="1:26" hidden="1" x14ac:dyDescent="0.25">
      <c r="A31" s="13">
        <v>44227</v>
      </c>
      <c r="B31" t="s">
        <v>79</v>
      </c>
      <c r="C31" t="s">
        <v>85</v>
      </c>
      <c r="D31" t="s">
        <v>52</v>
      </c>
      <c r="E31" s="3">
        <v>7</v>
      </c>
      <c r="F31">
        <v>0</v>
      </c>
      <c r="G31">
        <v>0</v>
      </c>
      <c r="H31">
        <v>0</v>
      </c>
      <c r="I31">
        <v>0</v>
      </c>
      <c r="J31">
        <v>0</v>
      </c>
      <c r="K31" s="23">
        <f>IF(Tableau1[[#This Row],[Quantité (H)]]=0,0,Tableau1[[#This Row],[Gasoil (L)]]/Tableau1[[#This Row],[Quantité (H)]])</f>
        <v>0</v>
      </c>
      <c r="L31" s="23">
        <v>201</v>
      </c>
      <c r="M31" s="23">
        <v>10102.777777777777</v>
      </c>
      <c r="N31" s="23">
        <v>2100</v>
      </c>
      <c r="O31" s="23">
        <f>Tableau1[[#This Row],[Productivité]]-Tableau1[[#This Row],[ les Charges]]</f>
        <v>-8002.7777777777774</v>
      </c>
      <c r="R31" s="23">
        <f>VLOOKUP(Tableau1[[#This Row],[Code]],$V$3:$Z$157,4,)</f>
        <v>16825</v>
      </c>
      <c r="S31" s="23">
        <f>VLOOKUP(Tableau1[[#This Row],[Code]],$V$3:$Z$157,5,)</f>
        <v>14365</v>
      </c>
      <c r="V31" t="s">
        <v>12</v>
      </c>
      <c r="X31" s="22">
        <v>15654.64</v>
      </c>
      <c r="Z31" s="22">
        <v>-15654.64</v>
      </c>
    </row>
    <row r="32" spans="1:26" hidden="1" x14ac:dyDescent="0.25">
      <c r="A32" s="13">
        <v>44227</v>
      </c>
      <c r="B32" t="s">
        <v>80</v>
      </c>
      <c r="C32" t="s">
        <v>85</v>
      </c>
      <c r="D32" t="s">
        <v>52</v>
      </c>
      <c r="E32" s="3">
        <v>0</v>
      </c>
      <c r="F32">
        <v>201</v>
      </c>
      <c r="G32">
        <v>0</v>
      </c>
      <c r="H32">
        <v>0</v>
      </c>
      <c r="I32">
        <v>0</v>
      </c>
      <c r="J32">
        <v>0</v>
      </c>
      <c r="K32" s="23">
        <f>IF(Tableau1[[#This Row],[Quantité (H)]]=0,0,Tableau1[[#This Row],[Gasoil (L)]]/Tableau1[[#This Row],[Quantité (H)]])</f>
        <v>0</v>
      </c>
      <c r="L32" s="23">
        <v>201</v>
      </c>
      <c r="O32" s="23">
        <f>Tableau1[[#This Row],[Productivité]]-Tableau1[[#This Row],[ les Charges]]</f>
        <v>0</v>
      </c>
      <c r="R32" s="23">
        <f>VLOOKUP(Tableau1[[#This Row],[Code]],$V$3:$Z$157,4,)</f>
        <v>16825</v>
      </c>
      <c r="S32" s="23">
        <f>VLOOKUP(Tableau1[[#This Row],[Code]],$V$3:$Z$157,5,)</f>
        <v>14365</v>
      </c>
      <c r="V32" t="s">
        <v>13</v>
      </c>
      <c r="X32" s="22">
        <v>5470</v>
      </c>
      <c r="Y32" s="22">
        <v>60400</v>
      </c>
      <c r="Z32" s="22">
        <v>54930</v>
      </c>
    </row>
    <row r="33" spans="1:26" hidden="1" x14ac:dyDescent="0.25">
      <c r="A33" s="13">
        <v>44227</v>
      </c>
      <c r="B33" t="s">
        <v>80</v>
      </c>
      <c r="C33" t="s">
        <v>42</v>
      </c>
      <c r="D33" t="s">
        <v>28</v>
      </c>
      <c r="E33" s="3">
        <v>35</v>
      </c>
      <c r="F33">
        <v>342</v>
      </c>
      <c r="G33">
        <v>30</v>
      </c>
      <c r="H33">
        <v>0</v>
      </c>
      <c r="I33">
        <v>15</v>
      </c>
      <c r="J33">
        <v>0</v>
      </c>
      <c r="K33" s="23">
        <f>IF(Tableau1[[#This Row],[Quantité (H)]]=0,0,Tableau1[[#This Row],[Gasoil (L)]]/Tableau1[[#This Row],[Quantité (H)]])</f>
        <v>9.7714285714285722</v>
      </c>
      <c r="O33" s="23">
        <f>Tableau1[[#This Row],[Productivité]]-Tableau1[[#This Row],[ les Charges]]</f>
        <v>0</v>
      </c>
      <c r="R33" s="23">
        <f>VLOOKUP(Tableau1[[#This Row],[Code]],$V$3:$Z$157,4,)</f>
        <v>61200</v>
      </c>
      <c r="S33" s="23">
        <f>VLOOKUP(Tableau1[[#This Row],[Code]],$V$3:$Z$157,5,)</f>
        <v>36270</v>
      </c>
      <c r="V33" t="s">
        <v>14</v>
      </c>
      <c r="X33" s="22">
        <v>20952.400000000001</v>
      </c>
      <c r="Y33" s="22">
        <v>51000</v>
      </c>
      <c r="Z33" s="22">
        <v>30047.599999999999</v>
      </c>
    </row>
    <row r="34" spans="1:26" hidden="1" x14ac:dyDescent="0.25">
      <c r="A34" s="13">
        <v>44227</v>
      </c>
      <c r="B34" t="s">
        <v>79</v>
      </c>
      <c r="C34" t="s">
        <v>42</v>
      </c>
      <c r="D34" t="s">
        <v>28</v>
      </c>
      <c r="E34" s="3">
        <v>10</v>
      </c>
      <c r="F34">
        <v>121</v>
      </c>
      <c r="G34">
        <v>0</v>
      </c>
      <c r="H34">
        <v>0</v>
      </c>
      <c r="I34">
        <v>0</v>
      </c>
      <c r="J34">
        <v>0</v>
      </c>
      <c r="K34" s="23">
        <f>IF(Tableau1[[#This Row],[Quantité (H)]]=0,0,Tableau1[[#This Row],[Gasoil (L)]]/Tableau1[[#This Row],[Quantité (H)]])</f>
        <v>12.1</v>
      </c>
      <c r="M34" s="23">
        <v>31316.666666666668</v>
      </c>
      <c r="N34" s="23">
        <v>38044.444444444445</v>
      </c>
      <c r="O34" s="23">
        <f>Tableau1[[#This Row],[Productivité]]-Tableau1[[#This Row],[ les Charges]]</f>
        <v>6727.7777777777774</v>
      </c>
      <c r="R34" s="23">
        <f>VLOOKUP(Tableau1[[#This Row],[Code]],$V$3:$Z$157,4,)</f>
        <v>61200</v>
      </c>
      <c r="S34" s="23">
        <f>VLOOKUP(Tableau1[[#This Row],[Code]],$V$3:$Z$157,5,)</f>
        <v>36270</v>
      </c>
      <c r="V34" t="s">
        <v>15</v>
      </c>
      <c r="X34" s="22">
        <v>14570</v>
      </c>
      <c r="Y34" s="22">
        <v>54500</v>
      </c>
      <c r="Z34" s="22">
        <v>39930</v>
      </c>
    </row>
    <row r="35" spans="1:26" hidden="1" x14ac:dyDescent="0.25">
      <c r="A35" s="13">
        <v>44227</v>
      </c>
      <c r="B35" t="s">
        <v>82</v>
      </c>
      <c r="C35" t="s">
        <v>42</v>
      </c>
      <c r="D35" t="s">
        <v>28</v>
      </c>
      <c r="E35" s="36">
        <v>556</v>
      </c>
      <c r="F35">
        <v>556</v>
      </c>
      <c r="G35">
        <v>0</v>
      </c>
      <c r="H35">
        <v>0</v>
      </c>
      <c r="I35">
        <v>0</v>
      </c>
      <c r="J35">
        <v>0</v>
      </c>
      <c r="K35" s="23">
        <f>IF(Tableau1[[#This Row],[Quantité (H)]]=0,0,Tableau1[[#This Row],[Gasoil (L)]]/Tableau1[[#This Row],[Quantité (H)]])</f>
        <v>1</v>
      </c>
      <c r="M35" s="23">
        <v>31316.666666666668</v>
      </c>
      <c r="N35" s="23">
        <v>38044.444444444445</v>
      </c>
      <c r="O35" s="23">
        <f>Tableau1[[#This Row],[Productivité]]-Tableau1[[#This Row],[ les Charges]]</f>
        <v>6727.7777777777774</v>
      </c>
      <c r="R35" s="23">
        <f>VLOOKUP(Tableau1[[#This Row],[Code]],$V$3:$Z$157,4,)</f>
        <v>61200</v>
      </c>
      <c r="S35" s="23">
        <f>VLOOKUP(Tableau1[[#This Row],[Code]],$V$3:$Z$157,5,)</f>
        <v>36270</v>
      </c>
      <c r="V35" t="s">
        <v>95</v>
      </c>
      <c r="Z35" s="22">
        <v>0</v>
      </c>
    </row>
    <row r="36" spans="1:26" hidden="1" x14ac:dyDescent="0.25">
      <c r="A36" s="13">
        <v>44227</v>
      </c>
      <c r="B36" t="s">
        <v>79</v>
      </c>
      <c r="C36" t="s">
        <v>42</v>
      </c>
      <c r="D36" t="s">
        <v>29</v>
      </c>
      <c r="E36" s="3">
        <v>192</v>
      </c>
      <c r="F36">
        <v>1547</v>
      </c>
      <c r="G36">
        <v>30</v>
      </c>
      <c r="H36">
        <v>0</v>
      </c>
      <c r="I36">
        <v>10</v>
      </c>
      <c r="J36">
        <v>22.14</v>
      </c>
      <c r="K36" s="23">
        <f>IF(Tableau1[[#This Row],[Quantité (H)]]=0,0,Tableau1[[#This Row],[Gasoil (L)]]/Tableau1[[#This Row],[Quantité (H)]])</f>
        <v>8.0572916666666661</v>
      </c>
      <c r="M36" s="23">
        <v>40804.9</v>
      </c>
      <c r="N36" s="23">
        <v>68266.666666666657</v>
      </c>
      <c r="O36" s="23">
        <f>Tableau1[[#This Row],[Productivité]]-Tableau1[[#This Row],[ les Charges]]</f>
        <v>27461.766666666656</v>
      </c>
      <c r="R36" s="23">
        <f>VLOOKUP(Tableau1[[#This Row],[Code]],$V$3:$Z$157,4,)</f>
        <v>79800</v>
      </c>
      <c r="S36" s="23">
        <f>VLOOKUP(Tableau1[[#This Row],[Code]],$V$3:$Z$157,5,)</f>
        <v>67812.800000000003</v>
      </c>
      <c r="V36" t="s">
        <v>97</v>
      </c>
      <c r="Z36" s="22">
        <v>0</v>
      </c>
    </row>
    <row r="37" spans="1:26" hidden="1" x14ac:dyDescent="0.25">
      <c r="A37" s="13">
        <v>44227</v>
      </c>
      <c r="B37" t="s">
        <v>79</v>
      </c>
      <c r="C37" t="s">
        <v>173</v>
      </c>
      <c r="D37" t="s">
        <v>36</v>
      </c>
      <c r="E37" s="3">
        <v>130</v>
      </c>
      <c r="F37">
        <v>3720</v>
      </c>
      <c r="G37">
        <v>0</v>
      </c>
      <c r="H37">
        <v>0</v>
      </c>
      <c r="I37">
        <v>75</v>
      </c>
      <c r="J37">
        <v>28.41</v>
      </c>
      <c r="K37" s="23">
        <f>IF(Tableau1[[#This Row],[Quantité (H)]]=0,0,Tableau1[[#This Row],[Gasoil (L)]]/Tableau1[[#This Row],[Quantité (H)]])</f>
        <v>28.615384615384617</v>
      </c>
      <c r="M37" s="23">
        <v>163395.68333333335</v>
      </c>
      <c r="N37" s="23">
        <v>166111.11111111112</v>
      </c>
      <c r="O37" s="23">
        <f>Tableau1[[#This Row],[Productivité]]-Tableau1[[#This Row],[ les Charges]]</f>
        <v>2715.4277777777752</v>
      </c>
      <c r="R37" s="23">
        <f>VLOOKUP(Tableau1[[#This Row],[Code]],$V$3:$Z$157,4,)</f>
        <v>157950</v>
      </c>
      <c r="S37" s="23">
        <f>VLOOKUP(Tableau1[[#This Row],[Code]],$V$3:$Z$157,5,)</f>
        <v>142665.5</v>
      </c>
      <c r="V37" t="s">
        <v>98</v>
      </c>
      <c r="Z37" s="22">
        <v>0</v>
      </c>
    </row>
    <row r="38" spans="1:26" hidden="1" x14ac:dyDescent="0.25">
      <c r="A38" s="13">
        <v>44227</v>
      </c>
      <c r="B38" t="s">
        <v>80</v>
      </c>
      <c r="C38" t="s">
        <v>85</v>
      </c>
      <c r="D38" t="s">
        <v>51</v>
      </c>
      <c r="E38" s="3">
        <v>4</v>
      </c>
      <c r="F38">
        <v>296</v>
      </c>
      <c r="G38">
        <v>0</v>
      </c>
      <c r="H38">
        <v>0</v>
      </c>
      <c r="I38">
        <v>5</v>
      </c>
      <c r="J38">
        <v>0</v>
      </c>
      <c r="K38" s="23">
        <f>IF(Tableau1[[#This Row],[Quantité (H)]]=0,0,Tableau1[[#This Row],[Gasoil (L)]]/Tableau1[[#This Row],[Quantité (H)]])</f>
        <v>74</v>
      </c>
      <c r="L38" s="23">
        <v>296</v>
      </c>
      <c r="M38" s="23">
        <v>8311.4444444444453</v>
      </c>
      <c r="N38" s="23">
        <v>1600</v>
      </c>
      <c r="O38" s="23">
        <f>Tableau1[[#This Row],[Productivité]]-Tableau1[[#This Row],[ les Charges]]</f>
        <v>-6711.4444444444453</v>
      </c>
      <c r="R38" s="23">
        <f>VLOOKUP(Tableau1[[#This Row],[Code]],$V$3:$Z$157,4,)</f>
        <v>20825</v>
      </c>
      <c r="S38" s="23">
        <f>VLOOKUP(Tableau1[[#This Row],[Code]],$V$3:$Z$157,5,)</f>
        <v>12880</v>
      </c>
      <c r="V38" t="s">
        <v>99</v>
      </c>
      <c r="X38" s="22">
        <v>1320</v>
      </c>
      <c r="Z38" s="22">
        <v>-1320</v>
      </c>
    </row>
    <row r="39" spans="1:26" hidden="1" x14ac:dyDescent="0.25">
      <c r="A39" s="13">
        <v>44227</v>
      </c>
      <c r="B39" t="s">
        <v>79</v>
      </c>
      <c r="C39" t="s">
        <v>175</v>
      </c>
      <c r="D39" t="s">
        <v>30</v>
      </c>
      <c r="E39" s="3">
        <v>156.5</v>
      </c>
      <c r="F39">
        <v>855</v>
      </c>
      <c r="G39">
        <v>15</v>
      </c>
      <c r="H39">
        <v>0</v>
      </c>
      <c r="I39">
        <v>0</v>
      </c>
      <c r="J39">
        <v>28.39</v>
      </c>
      <c r="K39" s="23">
        <f>IF(Tableau1[[#This Row],[Quantité (H)]]=0,0,Tableau1[[#This Row],[Gasoil (L)]]/Tableau1[[#This Row],[Quantité (H)]])</f>
        <v>5.4632587859424921</v>
      </c>
      <c r="M39" s="23">
        <v>57715.87222222222</v>
      </c>
      <c r="N39" s="23">
        <v>113027.77777777777</v>
      </c>
      <c r="O39" s="23">
        <f>Tableau1[[#This Row],[Productivité]]-Tableau1[[#This Row],[ les Charges]]</f>
        <v>55311.905555555546</v>
      </c>
      <c r="R39" s="23">
        <f>VLOOKUP(Tableau1[[#This Row],[Code]],$V$3:$Z$157,4,)</f>
        <v>125425</v>
      </c>
      <c r="S39" s="23">
        <f>VLOOKUP(Tableau1[[#This Row],[Code]],$V$3:$Z$157,5,)</f>
        <v>124585</v>
      </c>
      <c r="V39" t="s">
        <v>100</v>
      </c>
      <c r="X39" s="22">
        <v>80</v>
      </c>
      <c r="Z39" s="22">
        <v>-80</v>
      </c>
    </row>
    <row r="40" spans="1:26" hidden="1" x14ac:dyDescent="0.25">
      <c r="A40" s="13">
        <v>44227</v>
      </c>
      <c r="B40" t="s">
        <v>80</v>
      </c>
      <c r="C40" t="s">
        <v>195</v>
      </c>
      <c r="D40" t="s">
        <v>38</v>
      </c>
      <c r="E40" s="3">
        <v>84</v>
      </c>
      <c r="F40">
        <v>2099</v>
      </c>
      <c r="G40">
        <v>50</v>
      </c>
      <c r="H40">
        <v>0</v>
      </c>
      <c r="I40">
        <v>0</v>
      </c>
      <c r="J40">
        <v>0</v>
      </c>
      <c r="K40" s="23">
        <f>IF(Tableau1[[#This Row],[Quantité (H)]]=0,0,Tableau1[[#This Row],[Gasoil (L)]]/Tableau1[[#This Row],[Quantité (H)]])</f>
        <v>24.988095238095237</v>
      </c>
      <c r="M40" s="23">
        <v>64727.466666666674</v>
      </c>
      <c r="N40" s="23">
        <v>107333.33333333334</v>
      </c>
      <c r="O40" s="23">
        <f>Tableau1[[#This Row],[Productivité]]-Tableau1[[#This Row],[ les Charges]]</f>
        <v>42605.866666666669</v>
      </c>
      <c r="R40" s="23">
        <f>VLOOKUP(Tableau1[[#This Row],[Code]],$V$3:$Z$157,4,)</f>
        <v>197800</v>
      </c>
      <c r="S40" s="23">
        <f>VLOOKUP(Tableau1[[#This Row],[Code]],$V$3:$Z$157,5,)</f>
        <v>151683.24</v>
      </c>
      <c r="V40" t="s">
        <v>101</v>
      </c>
      <c r="Z40" s="22">
        <v>0</v>
      </c>
    </row>
    <row r="41" spans="1:26" hidden="1" x14ac:dyDescent="0.25">
      <c r="A41" s="13">
        <v>44227</v>
      </c>
      <c r="B41" t="s">
        <v>82</v>
      </c>
      <c r="C41" t="s">
        <v>39</v>
      </c>
      <c r="D41" t="s">
        <v>13</v>
      </c>
      <c r="E41" s="37">
        <v>875</v>
      </c>
      <c r="F41">
        <v>875</v>
      </c>
      <c r="G41">
        <v>10</v>
      </c>
      <c r="H41">
        <v>0</v>
      </c>
      <c r="I41">
        <v>0</v>
      </c>
      <c r="J41">
        <v>0</v>
      </c>
      <c r="K41" s="23">
        <f>IF(Tableau1[[#This Row],[Quantité (H)]]=0,0,Tableau1[[#This Row],[Gasoil (L)]]/Tableau1[[#This Row],[Quantité (H)]])</f>
        <v>1</v>
      </c>
      <c r="O41" s="23">
        <f>Tableau1[[#This Row],[Productivité]]-Tableau1[[#This Row],[ les Charges]]</f>
        <v>0</v>
      </c>
      <c r="R41" s="23">
        <f>VLOOKUP(Tableau1[[#This Row],[Code]],$V$3:$Z$157,4,)</f>
        <v>60400</v>
      </c>
      <c r="S41" s="23">
        <f>VLOOKUP(Tableau1[[#This Row],[Code]],$V$3:$Z$157,5,)</f>
        <v>54930</v>
      </c>
      <c r="V41" t="s">
        <v>102</v>
      </c>
      <c r="Z41" s="22">
        <v>0</v>
      </c>
    </row>
    <row r="42" spans="1:26" hidden="1" x14ac:dyDescent="0.25">
      <c r="A42" s="13">
        <v>44227</v>
      </c>
      <c r="B42" t="s">
        <v>80</v>
      </c>
      <c r="C42" t="s">
        <v>39</v>
      </c>
      <c r="D42" t="s">
        <v>13</v>
      </c>
      <c r="E42" s="3">
        <v>105</v>
      </c>
      <c r="F42">
        <v>1394</v>
      </c>
      <c r="G42">
        <v>35</v>
      </c>
      <c r="H42">
        <v>0</v>
      </c>
      <c r="I42">
        <v>10</v>
      </c>
      <c r="J42">
        <v>8</v>
      </c>
      <c r="K42" s="23">
        <f>IF(Tableau1[[#This Row],[Quantité (H)]]=0,0,Tableau1[[#This Row],[Gasoil (L)]]/Tableau1[[#This Row],[Quantité (H)]])</f>
        <v>13.276190476190477</v>
      </c>
      <c r="M42" s="23">
        <v>73967.260000000009</v>
      </c>
      <c r="N42" s="23">
        <v>86383.333333333328</v>
      </c>
      <c r="O42" s="23">
        <f>Tableau1[[#This Row],[Productivité]]-Tableau1[[#This Row],[ les Charges]]</f>
        <v>12416.073333333319</v>
      </c>
      <c r="R42" s="23">
        <f>VLOOKUP(Tableau1[[#This Row],[Code]],$V$3:$Z$157,4,)</f>
        <v>60400</v>
      </c>
      <c r="S42" s="23">
        <f>VLOOKUP(Tableau1[[#This Row],[Code]],$V$3:$Z$157,5,)</f>
        <v>54930</v>
      </c>
      <c r="V42" t="s">
        <v>103</v>
      </c>
      <c r="Z42" s="22">
        <v>0</v>
      </c>
    </row>
    <row r="43" spans="1:26" hidden="1" x14ac:dyDescent="0.25">
      <c r="A43" s="13">
        <v>44227</v>
      </c>
      <c r="B43" t="s">
        <v>80</v>
      </c>
      <c r="C43" t="s">
        <v>39</v>
      </c>
      <c r="D43" t="s">
        <v>14</v>
      </c>
      <c r="E43" s="65">
        <v>190</v>
      </c>
      <c r="F43">
        <v>3445</v>
      </c>
      <c r="G43">
        <v>20</v>
      </c>
      <c r="H43">
        <v>0</v>
      </c>
      <c r="I43">
        <v>10</v>
      </c>
      <c r="J43">
        <v>7</v>
      </c>
      <c r="K43" s="23">
        <f>IF(Tableau1[[#This Row],[Quantité (H)]]=0,0,Tableau1[[#This Row],[Gasoil (L)]]/Tableau1[[#This Row],[Quantité (H)]])</f>
        <v>18.131578947368421</v>
      </c>
      <c r="M43" s="23">
        <v>83829.666666666657</v>
      </c>
      <c r="N43" s="23">
        <v>77055.555555555547</v>
      </c>
      <c r="O43" s="23">
        <f>Tableau1[[#This Row],[Productivité]]-Tableau1[[#This Row],[ les Charges]]</f>
        <v>-6774.1111111111095</v>
      </c>
      <c r="R43" s="23">
        <f>VLOOKUP(Tableau1[[#This Row],[Code]],$V$3:$Z$157,4,)</f>
        <v>51000</v>
      </c>
      <c r="S43" s="23">
        <f>VLOOKUP(Tableau1[[#This Row],[Code]],$V$3:$Z$157,5,)</f>
        <v>30047.599999999999</v>
      </c>
      <c r="V43" s="37" t="s">
        <v>104</v>
      </c>
      <c r="Z43" s="22">
        <v>0</v>
      </c>
    </row>
    <row r="44" spans="1:26" hidden="1" x14ac:dyDescent="0.25">
      <c r="A44" s="13">
        <v>44227</v>
      </c>
      <c r="B44" t="s">
        <v>80</v>
      </c>
      <c r="C44" t="s">
        <v>41</v>
      </c>
      <c r="D44" t="s">
        <v>20</v>
      </c>
      <c r="E44" s="3">
        <v>64</v>
      </c>
      <c r="F44">
        <v>1037</v>
      </c>
      <c r="G44">
        <v>5</v>
      </c>
      <c r="H44">
        <v>0</v>
      </c>
      <c r="I44">
        <v>10</v>
      </c>
      <c r="J44">
        <v>0</v>
      </c>
      <c r="K44" s="23">
        <f>IF(Tableau1[[#This Row],[Quantité (H)]]=0,0,Tableau1[[#This Row],[Gasoil (L)]]/Tableau1[[#This Row],[Quantité (H)]])</f>
        <v>16.203125</v>
      </c>
      <c r="O44" s="23">
        <f>Tableau1[[#This Row],[Productivité]]-Tableau1[[#This Row],[ les Charges]]</f>
        <v>0</v>
      </c>
      <c r="R44" s="23">
        <f>VLOOKUP(Tableau1[[#This Row],[Code]],$V$3:$Z$157,4,)</f>
        <v>63000</v>
      </c>
      <c r="S44" s="23">
        <f>VLOOKUP(Tableau1[[#This Row],[Code]],$V$3:$Z$157,5,)</f>
        <v>27974.190000000002</v>
      </c>
      <c r="V44" s="37" t="s">
        <v>20</v>
      </c>
      <c r="X44" s="22">
        <v>35025.81</v>
      </c>
      <c r="Y44" s="22">
        <v>63000</v>
      </c>
      <c r="Z44" s="22">
        <v>27974.190000000002</v>
      </c>
    </row>
    <row r="45" spans="1:26" hidden="1" x14ac:dyDescent="0.25">
      <c r="A45" s="13">
        <v>44227</v>
      </c>
      <c r="B45" t="s">
        <v>79</v>
      </c>
      <c r="C45" t="s">
        <v>41</v>
      </c>
      <c r="D45" t="s">
        <v>20</v>
      </c>
      <c r="E45" s="38">
        <v>127.5</v>
      </c>
      <c r="F45">
        <v>1224</v>
      </c>
      <c r="G45">
        <v>10</v>
      </c>
      <c r="H45">
        <v>0</v>
      </c>
      <c r="I45">
        <v>10</v>
      </c>
      <c r="J45">
        <v>9.64</v>
      </c>
      <c r="K45" s="23">
        <f>IF(Tableau1[[#This Row],[Quantité (H)]]=0,0,Tableau1[[#This Row],[Gasoil (L)]]/Tableau1[[#This Row],[Quantité (H)]])</f>
        <v>9.6</v>
      </c>
      <c r="M45" s="23">
        <v>52390.733333333337</v>
      </c>
      <c r="N45" s="23">
        <v>77663.888888888963</v>
      </c>
      <c r="O45" s="23">
        <f>Tableau1[[#This Row],[Productivité]]-Tableau1[[#This Row],[ les Charges]]</f>
        <v>25273.155555555626</v>
      </c>
      <c r="R45" s="23">
        <f>VLOOKUP(Tableau1[[#This Row],[Code]],$V$3:$Z$157,4,)</f>
        <v>63000</v>
      </c>
      <c r="S45" s="23">
        <f>VLOOKUP(Tableau1[[#This Row],[Code]],$V$3:$Z$157,5,)</f>
        <v>27974.190000000002</v>
      </c>
      <c r="V45" s="36" t="s">
        <v>21</v>
      </c>
      <c r="X45" s="22">
        <v>17881.66</v>
      </c>
      <c r="Y45" s="22">
        <v>62160</v>
      </c>
      <c r="Z45" s="22">
        <v>44278.34</v>
      </c>
    </row>
    <row r="46" spans="1:26" hidden="1" x14ac:dyDescent="0.25">
      <c r="A46" s="13">
        <v>44227</v>
      </c>
      <c r="B46" t="s">
        <v>79</v>
      </c>
      <c r="C46" t="s">
        <v>41</v>
      </c>
      <c r="D46" t="s">
        <v>21</v>
      </c>
      <c r="E46" s="38">
        <v>125.5</v>
      </c>
      <c r="F46">
        <v>1536</v>
      </c>
      <c r="G46">
        <v>14</v>
      </c>
      <c r="H46">
        <v>0</v>
      </c>
      <c r="I46">
        <v>8</v>
      </c>
      <c r="J46">
        <v>9.64</v>
      </c>
      <c r="K46" s="23">
        <f>IF(Tableau1[[#This Row],[Quantité (H)]]=0,0,Tableau1[[#This Row],[Gasoil (L)]]/Tableau1[[#This Row],[Quantité (H)]])</f>
        <v>12.239043824701195</v>
      </c>
      <c r="M46" s="23">
        <v>37113.733333333337</v>
      </c>
      <c r="N46" s="23">
        <v>50897.222222222219</v>
      </c>
      <c r="O46" s="23">
        <f>Tableau1[[#This Row],[Productivité]]-Tableau1[[#This Row],[ les Charges]]</f>
        <v>13783.488888888882</v>
      </c>
      <c r="R46" s="23">
        <f>VLOOKUP(Tableau1[[#This Row],[Code]],$V$3:$Z$157,4,)</f>
        <v>62160</v>
      </c>
      <c r="S46" s="23">
        <f>VLOOKUP(Tableau1[[#This Row],[Code]],$V$3:$Z$157,5,)</f>
        <v>44278.34</v>
      </c>
      <c r="V46" s="6" t="s">
        <v>124</v>
      </c>
      <c r="X46" s="22">
        <v>27970</v>
      </c>
      <c r="Y46" s="22">
        <v>70770</v>
      </c>
      <c r="Z46" s="22">
        <v>42800</v>
      </c>
    </row>
    <row r="47" spans="1:26" hidden="1" x14ac:dyDescent="0.25">
      <c r="A47" s="13">
        <v>44227</v>
      </c>
      <c r="B47" t="s">
        <v>79</v>
      </c>
      <c r="C47" t="s">
        <v>41</v>
      </c>
      <c r="D47" t="s">
        <v>22</v>
      </c>
      <c r="E47" s="38">
        <v>202.5</v>
      </c>
      <c r="F47">
        <v>3019</v>
      </c>
      <c r="G47">
        <v>30</v>
      </c>
      <c r="H47">
        <v>0</v>
      </c>
      <c r="I47">
        <v>0</v>
      </c>
      <c r="J47">
        <v>33.39</v>
      </c>
      <c r="K47" s="23">
        <f>IF(Tableau1[[#This Row],[Quantité (H)]]=0,0,Tableau1[[#This Row],[Gasoil (L)]]/Tableau1[[#This Row],[Quantité (H)]])</f>
        <v>14.908641975308642</v>
      </c>
      <c r="M47" s="23">
        <v>97818.23000000001</v>
      </c>
      <c r="N47" s="23">
        <v>87749.999999999927</v>
      </c>
      <c r="O47" s="23">
        <f>Tableau1[[#This Row],[Productivité]]-Tableau1[[#This Row],[ les Charges]]</f>
        <v>-10068.230000000083</v>
      </c>
      <c r="R47" s="23">
        <f>VLOOKUP(Tableau1[[#This Row],[Code]],$V$3:$Z$157,4,)</f>
        <v>66780</v>
      </c>
      <c r="S47" s="23">
        <f>VLOOKUP(Tableau1[[#This Row],[Code]],$V$3:$Z$157,5,)</f>
        <v>53210</v>
      </c>
      <c r="V47" s="38" t="s">
        <v>22</v>
      </c>
      <c r="X47" s="22">
        <v>13570</v>
      </c>
      <c r="Y47" s="22">
        <v>66780</v>
      </c>
      <c r="Z47" s="22">
        <v>53210</v>
      </c>
    </row>
    <row r="48" spans="1:26" hidden="1" x14ac:dyDescent="0.25">
      <c r="A48" s="13">
        <v>44227</v>
      </c>
      <c r="B48" t="s">
        <v>80</v>
      </c>
      <c r="C48" t="s">
        <v>41</v>
      </c>
      <c r="D48" t="s">
        <v>23</v>
      </c>
      <c r="E48" s="38">
        <v>232</v>
      </c>
      <c r="F48">
        <v>5467</v>
      </c>
      <c r="G48">
        <v>30</v>
      </c>
      <c r="H48">
        <v>0</v>
      </c>
      <c r="I48">
        <v>50</v>
      </c>
      <c r="J48">
        <v>30</v>
      </c>
      <c r="K48" s="23">
        <f>IF(Tableau1[[#This Row],[Quantité (H)]]=0,0,Tableau1[[#This Row],[Gasoil (L)]]/Tableau1[[#This Row],[Quantité (H)]])</f>
        <v>23.564655172413794</v>
      </c>
      <c r="M48" s="23">
        <v>102157.91333333334</v>
      </c>
      <c r="N48" s="23">
        <v>100533.33333333326</v>
      </c>
      <c r="O48" s="23">
        <f>Tableau1[[#This Row],[Productivité]]-Tableau1[[#This Row],[ les Charges]]</f>
        <v>-1624.5800000000891</v>
      </c>
      <c r="R48" s="23">
        <f>VLOOKUP(Tableau1[[#This Row],[Code]],$V$3:$Z$157,4,)</f>
        <v>47460</v>
      </c>
      <c r="S48" s="23">
        <f>VLOOKUP(Tableau1[[#This Row],[Code]],$V$3:$Z$157,5,)</f>
        <v>10890</v>
      </c>
      <c r="V48" s="38" t="s">
        <v>23</v>
      </c>
      <c r="X48" s="22">
        <v>36570</v>
      </c>
      <c r="Y48" s="22">
        <v>47460</v>
      </c>
      <c r="Z48" s="22">
        <v>10890</v>
      </c>
    </row>
    <row r="49" spans="1:26" hidden="1" x14ac:dyDescent="0.25">
      <c r="A49" s="13">
        <v>44227</v>
      </c>
      <c r="B49" t="s">
        <v>80</v>
      </c>
      <c r="C49" t="s">
        <v>41</v>
      </c>
      <c r="D49" t="s">
        <v>24</v>
      </c>
      <c r="E49" s="38">
        <v>180</v>
      </c>
      <c r="F49">
        <v>4345</v>
      </c>
      <c r="G49">
        <v>45</v>
      </c>
      <c r="H49">
        <v>0</v>
      </c>
      <c r="I49">
        <v>130</v>
      </c>
      <c r="J49">
        <v>15</v>
      </c>
      <c r="K49" s="23">
        <f>IF(Tableau1[[#This Row],[Quantité (H)]]=0,0,Tableau1[[#This Row],[Gasoil (L)]]/Tableau1[[#This Row],[Quantité (H)]])</f>
        <v>24.138888888888889</v>
      </c>
      <c r="M49" s="23">
        <v>84883</v>
      </c>
      <c r="N49" s="23">
        <v>77999.999999999942</v>
      </c>
      <c r="O49" s="23">
        <f>Tableau1[[#This Row],[Productivité]]-Tableau1[[#This Row],[ les Charges]]</f>
        <v>-6883.0000000000582</v>
      </c>
      <c r="R49" s="23">
        <f>VLOOKUP(Tableau1[[#This Row],[Code]],$V$3:$Z$157,4,)</f>
        <v>104580</v>
      </c>
      <c r="S49" s="23">
        <f>VLOOKUP(Tableau1[[#This Row],[Code]],$V$3:$Z$157,5,)</f>
        <v>40075</v>
      </c>
      <c r="V49" s="38" t="s">
        <v>24</v>
      </c>
      <c r="X49" s="22">
        <v>64505</v>
      </c>
      <c r="Y49" s="22">
        <v>104580</v>
      </c>
      <c r="Z49" s="22">
        <v>40075</v>
      </c>
    </row>
    <row r="50" spans="1:26" hidden="1" x14ac:dyDescent="0.25">
      <c r="A50" s="13">
        <v>44227</v>
      </c>
      <c r="B50" t="s">
        <v>80</v>
      </c>
      <c r="C50" t="s">
        <v>41</v>
      </c>
      <c r="D50" t="s">
        <v>25</v>
      </c>
      <c r="E50" s="38">
        <v>235</v>
      </c>
      <c r="F50">
        <v>5427</v>
      </c>
      <c r="G50">
        <v>30</v>
      </c>
      <c r="H50">
        <v>0</v>
      </c>
      <c r="I50">
        <v>0</v>
      </c>
      <c r="J50">
        <v>45</v>
      </c>
      <c r="K50" s="23">
        <f>IF(Tableau1[[#This Row],[Quantité (H)]]=0,0,Tableau1[[#This Row],[Gasoil (L)]]/Tableau1[[#This Row],[Quantité (H)]])</f>
        <v>23.093617021276597</v>
      </c>
      <c r="M50" s="23">
        <v>96810.413333333345</v>
      </c>
      <c r="N50" s="23">
        <v>101833.33333333333</v>
      </c>
      <c r="O50" s="23">
        <f>Tableau1[[#This Row],[Productivité]]-Tableau1[[#This Row],[ les Charges]]</f>
        <v>5022.9199999999837</v>
      </c>
      <c r="R50" s="23">
        <f>VLOOKUP(Tableau1[[#This Row],[Code]],$V$3:$Z$157,4,)</f>
        <v>56280</v>
      </c>
      <c r="S50" s="23">
        <f>VLOOKUP(Tableau1[[#This Row],[Code]],$V$3:$Z$157,5,)</f>
        <v>18395.010000000002</v>
      </c>
      <c r="V50" s="6" t="s">
        <v>25</v>
      </c>
      <c r="X50" s="22">
        <v>37884.99</v>
      </c>
      <c r="Y50" s="22">
        <v>56280</v>
      </c>
      <c r="Z50" s="22">
        <v>18395.010000000002</v>
      </c>
    </row>
    <row r="51" spans="1:26" hidden="1" x14ac:dyDescent="0.25">
      <c r="A51" s="13">
        <v>44227</v>
      </c>
      <c r="B51" t="s">
        <v>80</v>
      </c>
      <c r="C51" t="s">
        <v>41</v>
      </c>
      <c r="D51" t="s">
        <v>26</v>
      </c>
      <c r="E51" s="38">
        <v>227</v>
      </c>
      <c r="F51">
        <v>7563</v>
      </c>
      <c r="G51">
        <v>80</v>
      </c>
      <c r="H51">
        <v>0</v>
      </c>
      <c r="I51">
        <v>0</v>
      </c>
      <c r="J51">
        <v>15</v>
      </c>
      <c r="K51" s="23">
        <f>IF(Tableau1[[#This Row],[Quantité (H)]]=0,0,Tableau1[[#This Row],[Gasoil (L)]]/Tableau1[[#This Row],[Quantité (H)]])</f>
        <v>33.317180616740089</v>
      </c>
      <c r="M51" s="23">
        <v>118040.92666666667</v>
      </c>
      <c r="N51" s="23">
        <v>100888.88888888889</v>
      </c>
      <c r="O51" s="23">
        <f>Tableau1[[#This Row],[Productivité]]-Tableau1[[#This Row],[ les Charges]]</f>
        <v>-17152.037777777776</v>
      </c>
      <c r="R51" s="23">
        <f>VLOOKUP(Tableau1[[#This Row],[Code]],$V$3:$Z$157,4,)</f>
        <v>96180</v>
      </c>
      <c r="S51" s="23">
        <f>VLOOKUP(Tableau1[[#This Row],[Code]],$V$3:$Z$157,5,)</f>
        <v>14650</v>
      </c>
      <c r="V51" s="6" t="s">
        <v>26</v>
      </c>
      <c r="X51" s="22">
        <v>81530</v>
      </c>
      <c r="Y51" s="22">
        <v>96180</v>
      </c>
      <c r="Z51" s="22">
        <v>14650</v>
      </c>
    </row>
    <row r="52" spans="1:26" hidden="1" x14ac:dyDescent="0.25">
      <c r="A52" s="13">
        <v>44227</v>
      </c>
      <c r="B52" t="s">
        <v>82</v>
      </c>
      <c r="C52" t="s">
        <v>41</v>
      </c>
      <c r="D52" t="s">
        <v>27</v>
      </c>
      <c r="E52" s="6">
        <v>620</v>
      </c>
      <c r="F52">
        <v>620</v>
      </c>
      <c r="G52">
        <v>0</v>
      </c>
      <c r="H52">
        <v>0</v>
      </c>
      <c r="I52">
        <v>20</v>
      </c>
      <c r="J52">
        <v>3</v>
      </c>
      <c r="K52" s="23">
        <f>IF(Tableau1[[#This Row],[Quantité (H)]]=0,0,Tableau1[[#This Row],[Gasoil (L)]]/Tableau1[[#This Row],[Quantité (H)]])</f>
        <v>1</v>
      </c>
      <c r="M52" s="23">
        <v>26901.666666666668</v>
      </c>
      <c r="N52" s="23">
        <v>20144.444444444445</v>
      </c>
      <c r="O52" s="23">
        <f>Tableau1[[#This Row],[Productivité]]-Tableau1[[#This Row],[ les Charges]]</f>
        <v>-6757.2222222222226</v>
      </c>
      <c r="R52" s="23">
        <f>VLOOKUP(Tableau1[[#This Row],[Code]],$V$3:$Z$157,4,)</f>
        <v>30580</v>
      </c>
      <c r="S52" s="23">
        <f>VLOOKUP(Tableau1[[#This Row],[Code]],$V$3:$Z$157,5,)</f>
        <v>22670</v>
      </c>
      <c r="V52" s="6" t="s">
        <v>27</v>
      </c>
      <c r="X52" s="22">
        <v>7910</v>
      </c>
      <c r="Y52" s="22">
        <v>30580</v>
      </c>
      <c r="Z52" s="22">
        <v>22670</v>
      </c>
    </row>
    <row r="53" spans="1:26" hidden="1" x14ac:dyDescent="0.25">
      <c r="A53" s="13">
        <v>44227</v>
      </c>
      <c r="B53" t="s">
        <v>79</v>
      </c>
      <c r="C53" t="s">
        <v>86</v>
      </c>
      <c r="D53" t="s">
        <v>58</v>
      </c>
      <c r="E53" s="38">
        <v>0</v>
      </c>
      <c r="F53">
        <v>55</v>
      </c>
      <c r="G53">
        <v>0</v>
      </c>
      <c r="H53">
        <v>0</v>
      </c>
      <c r="I53">
        <v>0</v>
      </c>
      <c r="J53">
        <v>0</v>
      </c>
      <c r="K53" s="23">
        <f>IF(Tableau1[[#This Row],[Quantité (H)]]=0,0,Tableau1[[#This Row],[Gasoil (L)]]/Tableau1[[#This Row],[Quantité (H)]])</f>
        <v>0</v>
      </c>
      <c r="L53" s="23">
        <v>19.214501510574017</v>
      </c>
      <c r="M53" s="23">
        <v>19085</v>
      </c>
      <c r="N53" s="23">
        <v>10800</v>
      </c>
      <c r="O53" s="23">
        <f>Tableau1[[#This Row],[Productivité]]-Tableau1[[#This Row],[ les Charges]]</f>
        <v>-8285</v>
      </c>
      <c r="R53" s="23">
        <f>VLOOKUP(Tableau1[[#This Row],[Code]],$V$3:$Z$157,4,)</f>
        <v>12350</v>
      </c>
      <c r="S53" s="23">
        <f>VLOOKUP(Tableau1[[#This Row],[Code]],$V$3:$Z$157,5,)</f>
        <v>8370</v>
      </c>
      <c r="V53" s="8" t="s">
        <v>130</v>
      </c>
      <c r="X53" s="22">
        <v>291.64999999999998</v>
      </c>
      <c r="Z53" s="22">
        <v>-291.64999999999998</v>
      </c>
    </row>
    <row r="54" spans="1:26" hidden="1" x14ac:dyDescent="0.25">
      <c r="A54" s="13">
        <v>44227</v>
      </c>
      <c r="B54" t="s">
        <v>80</v>
      </c>
      <c r="C54" t="s">
        <v>86</v>
      </c>
      <c r="D54" t="s">
        <v>58</v>
      </c>
      <c r="E54" s="38">
        <v>162</v>
      </c>
      <c r="F54">
        <v>263</v>
      </c>
      <c r="G54">
        <v>0</v>
      </c>
      <c r="H54">
        <v>0</v>
      </c>
      <c r="I54">
        <v>0</v>
      </c>
      <c r="J54">
        <v>0</v>
      </c>
      <c r="K54" s="23">
        <f>IF(Tableau1[[#This Row],[Quantité (H)]]=0,0,Tableau1[[#This Row],[Gasoil (L)]]/Tableau1[[#This Row],[Quantité (H)]])</f>
        <v>1.6234567901234569</v>
      </c>
      <c r="L54" s="23">
        <v>19.214501510574017</v>
      </c>
      <c r="O54" s="23">
        <f>Tableau1[[#This Row],[Productivité]]-Tableau1[[#This Row],[ les Charges]]</f>
        <v>0</v>
      </c>
      <c r="R54" s="23">
        <f>VLOOKUP(Tableau1[[#This Row],[Code]],$V$3:$Z$157,4,)</f>
        <v>12350</v>
      </c>
      <c r="S54" s="23">
        <f>VLOOKUP(Tableau1[[#This Row],[Code]],$V$3:$Z$157,5,)</f>
        <v>8370</v>
      </c>
      <c r="V54" s="6" t="s">
        <v>137</v>
      </c>
      <c r="X54" s="22">
        <v>10545</v>
      </c>
      <c r="Y54" s="22">
        <v>17820</v>
      </c>
      <c r="Z54" s="22">
        <v>7275</v>
      </c>
    </row>
    <row r="55" spans="1:26" hidden="1" x14ac:dyDescent="0.25">
      <c r="A55" s="13">
        <v>44227</v>
      </c>
      <c r="B55" t="s">
        <v>82</v>
      </c>
      <c r="C55" t="s">
        <v>86</v>
      </c>
      <c r="D55" t="s">
        <v>59</v>
      </c>
      <c r="E55" s="6">
        <v>186</v>
      </c>
      <c r="F55">
        <v>186</v>
      </c>
      <c r="G55">
        <v>0</v>
      </c>
      <c r="H55">
        <v>0</v>
      </c>
      <c r="I55">
        <v>0</v>
      </c>
      <c r="J55">
        <v>0</v>
      </c>
      <c r="K55" s="23">
        <f>IF(Tableau1[[#This Row],[Quantité (H)]]=0,0,Tableau1[[#This Row],[Gasoil (L)]]/Tableau1[[#This Row],[Quantité (H)]])</f>
        <v>1</v>
      </c>
      <c r="L55" s="23">
        <v>38.9937106918239</v>
      </c>
      <c r="M55" s="23">
        <v>7124</v>
      </c>
      <c r="N55" s="23">
        <v>13200.000000000002</v>
      </c>
      <c r="O55" s="23">
        <f>Tableau1[[#This Row],[Productivité]]-Tableau1[[#This Row],[ les Charges]]</f>
        <v>6076.0000000000018</v>
      </c>
      <c r="R55" s="23">
        <f>VLOOKUP(Tableau1[[#This Row],[Code]],$V$3:$Z$157,4,)</f>
        <v>5720</v>
      </c>
      <c r="S55" s="23">
        <f>VLOOKUP(Tableau1[[#This Row],[Code]],$V$3:$Z$157,5,)</f>
        <v>2250</v>
      </c>
      <c r="V55" s="8" t="s">
        <v>123</v>
      </c>
      <c r="X55" s="22">
        <v>17455</v>
      </c>
      <c r="Y55" s="22">
        <v>40040</v>
      </c>
      <c r="Z55" s="22">
        <v>22585</v>
      </c>
    </row>
    <row r="56" spans="1:26" hidden="1" x14ac:dyDescent="0.25">
      <c r="A56" s="13">
        <v>44227</v>
      </c>
      <c r="B56" t="s">
        <v>80</v>
      </c>
      <c r="C56" t="s">
        <v>86</v>
      </c>
      <c r="D56" t="s">
        <v>60</v>
      </c>
      <c r="E56" s="38">
        <v>243</v>
      </c>
      <c r="F56">
        <v>250</v>
      </c>
      <c r="G56">
        <v>0</v>
      </c>
      <c r="H56">
        <v>0</v>
      </c>
      <c r="I56">
        <v>0</v>
      </c>
      <c r="J56">
        <v>0</v>
      </c>
      <c r="K56" s="23">
        <f>IF(Tableau1[[#This Row],[Quantité (H)]]=0,0,Tableau1[[#This Row],[Gasoil (L)]]/Tableau1[[#This Row],[Quantité (H)]])</f>
        <v>1.0288065843621399</v>
      </c>
      <c r="L56" s="23">
        <v>250</v>
      </c>
      <c r="M56" s="23">
        <v>11900</v>
      </c>
      <c r="N56" s="23">
        <v>16200.000000000002</v>
      </c>
      <c r="O56" s="23">
        <f>Tableau1[[#This Row],[Productivité]]-Tableau1[[#This Row],[ les Charges]]</f>
        <v>4300.0000000000018</v>
      </c>
      <c r="R56" s="23">
        <f>VLOOKUP(Tableau1[[#This Row],[Code]],$V$3:$Z$157,4,)</f>
        <v>12480</v>
      </c>
      <c r="S56" s="23">
        <f>VLOOKUP(Tableau1[[#This Row],[Code]],$V$3:$Z$157,5,)</f>
        <v>10400</v>
      </c>
      <c r="V56" s="8" t="s">
        <v>128</v>
      </c>
      <c r="X56" s="22">
        <v>39308.300000000003</v>
      </c>
      <c r="Y56" s="22">
        <v>79380</v>
      </c>
      <c r="Z56" s="22">
        <v>40071.699999999997</v>
      </c>
    </row>
    <row r="57" spans="1:26" hidden="1" x14ac:dyDescent="0.25">
      <c r="A57" s="13">
        <v>44227</v>
      </c>
      <c r="B57" t="s">
        <v>79</v>
      </c>
      <c r="C57" t="s">
        <v>86</v>
      </c>
      <c r="D57" t="s">
        <v>61</v>
      </c>
      <c r="E57" s="38">
        <v>0.4</v>
      </c>
      <c r="F57">
        <v>33</v>
      </c>
      <c r="G57">
        <v>0</v>
      </c>
      <c r="H57">
        <v>0</v>
      </c>
      <c r="I57">
        <v>0</v>
      </c>
      <c r="J57">
        <v>0</v>
      </c>
      <c r="K57" s="23">
        <f>IF(Tableau1[[#This Row],[Quantité (H)]]=0,0,Tableau1[[#This Row],[Gasoil (L)]]/Tableau1[[#This Row],[Quantité (H)]])</f>
        <v>82.5</v>
      </c>
      <c r="L57" s="23">
        <v>298</v>
      </c>
      <c r="M57" s="23">
        <v>8743.8888888888887</v>
      </c>
      <c r="N57" s="23">
        <v>26.666666666666671</v>
      </c>
      <c r="O57" s="23">
        <f>Tableau1[[#This Row],[Productivité]]-Tableau1[[#This Row],[ les Charges]]</f>
        <v>-8717.2222222222226</v>
      </c>
      <c r="R57" s="23">
        <f>VLOOKUP(Tableau1[[#This Row],[Code]],$V$3:$Z$157,4,)</f>
        <v>12285</v>
      </c>
      <c r="S57" s="23">
        <f>VLOOKUP(Tableau1[[#This Row],[Code]],$V$3:$Z$157,5,)</f>
        <v>10225</v>
      </c>
      <c r="V57" s="8" t="s">
        <v>127</v>
      </c>
      <c r="Z57" s="22">
        <v>0</v>
      </c>
    </row>
    <row r="58" spans="1:26" hidden="1" x14ac:dyDescent="0.25">
      <c r="A58" s="13">
        <v>44227</v>
      </c>
      <c r="B58" t="s">
        <v>80</v>
      </c>
      <c r="C58" t="s">
        <v>86</v>
      </c>
      <c r="D58" t="s">
        <v>61</v>
      </c>
      <c r="E58" s="38">
        <v>0</v>
      </c>
      <c r="F58">
        <v>170</v>
      </c>
      <c r="G58">
        <v>0</v>
      </c>
      <c r="H58">
        <v>0</v>
      </c>
      <c r="I58">
        <v>0</v>
      </c>
      <c r="J58">
        <v>0</v>
      </c>
      <c r="K58" s="23">
        <f>IF(Tableau1[[#This Row],[Quantité (H)]]=0,0,Tableau1[[#This Row],[Gasoil (L)]]/Tableau1[[#This Row],[Quantité (H)]])</f>
        <v>0</v>
      </c>
      <c r="L58" s="23">
        <v>298</v>
      </c>
      <c r="O58" s="23">
        <f>Tableau1[[#This Row],[Productivité]]-Tableau1[[#This Row],[ les Charges]]</f>
        <v>0</v>
      </c>
      <c r="R58" s="23">
        <f>VLOOKUP(Tableau1[[#This Row],[Code]],$V$3:$Z$157,4,)</f>
        <v>12285</v>
      </c>
      <c r="S58" s="23">
        <f>VLOOKUP(Tableau1[[#This Row],[Code]],$V$3:$Z$157,5,)</f>
        <v>10225</v>
      </c>
      <c r="V58" s="8" t="s">
        <v>129</v>
      </c>
      <c r="X58" s="22">
        <v>32991.620000000003</v>
      </c>
      <c r="Y58" s="22">
        <v>79380</v>
      </c>
      <c r="Z58" s="22">
        <v>46388.38</v>
      </c>
    </row>
    <row r="59" spans="1:26" hidden="1" x14ac:dyDescent="0.25">
      <c r="A59" s="13">
        <v>44227</v>
      </c>
      <c r="B59" t="s">
        <v>82</v>
      </c>
      <c r="C59" t="s">
        <v>86</v>
      </c>
      <c r="D59" t="s">
        <v>61</v>
      </c>
      <c r="E59" s="6">
        <v>95</v>
      </c>
      <c r="F59">
        <v>95</v>
      </c>
      <c r="G59">
        <v>0</v>
      </c>
      <c r="H59">
        <v>0</v>
      </c>
      <c r="I59">
        <v>0</v>
      </c>
      <c r="J59">
        <v>0</v>
      </c>
      <c r="K59" s="23">
        <f>IF(Tableau1[[#This Row],[Quantité (H)]]=0,0,Tableau1[[#This Row],[Gasoil (L)]]/Tableau1[[#This Row],[Quantité (H)]])</f>
        <v>1</v>
      </c>
      <c r="L59" s="23">
        <v>298</v>
      </c>
      <c r="O59" s="23">
        <f>Tableau1[[#This Row],[Productivité]]-Tableau1[[#This Row],[ les Charges]]</f>
        <v>0</v>
      </c>
      <c r="R59" s="23">
        <f>VLOOKUP(Tableau1[[#This Row],[Code]],$V$3:$Z$157,4,)</f>
        <v>12285</v>
      </c>
      <c r="S59" s="23">
        <f>VLOOKUP(Tableau1[[#This Row],[Code]],$V$3:$Z$157,5,)</f>
        <v>10225</v>
      </c>
      <c r="V59" s="6" t="s">
        <v>122</v>
      </c>
      <c r="X59" s="22">
        <v>15255</v>
      </c>
      <c r="Y59" s="22">
        <v>31900</v>
      </c>
      <c r="Z59" s="22">
        <v>16645</v>
      </c>
    </row>
    <row r="60" spans="1:26" hidden="1" x14ac:dyDescent="0.25">
      <c r="A60" s="13">
        <v>44227</v>
      </c>
      <c r="B60" t="s">
        <v>79</v>
      </c>
      <c r="C60" t="s">
        <v>86</v>
      </c>
      <c r="D60" t="s">
        <v>62</v>
      </c>
      <c r="E60" s="38">
        <v>37</v>
      </c>
      <c r="F60">
        <v>259</v>
      </c>
      <c r="G60">
        <v>0</v>
      </c>
      <c r="H60">
        <v>0</v>
      </c>
      <c r="I60">
        <v>0</v>
      </c>
      <c r="J60">
        <v>0</v>
      </c>
      <c r="K60" s="23">
        <f>IF(Tableau1[[#This Row],[Quantité (H)]]=0,0,Tableau1[[#This Row],[Gasoil (L)]]/Tableau1[[#This Row],[Quantité (H)]])</f>
        <v>7</v>
      </c>
      <c r="L60" s="23">
        <v>259</v>
      </c>
      <c r="M60" s="23">
        <v>8343.2222222222226</v>
      </c>
      <c r="N60" s="23">
        <v>2466.666666666667</v>
      </c>
      <c r="O60" s="23">
        <f>Tableau1[[#This Row],[Productivité]]-Tableau1[[#This Row],[ les Charges]]</f>
        <v>-5876.5555555555557</v>
      </c>
      <c r="R60" s="23" t="e">
        <f>VLOOKUP(Tableau1[[#This Row],[Code]],$V$3:$Z$157,4,)</f>
        <v>#N/A</v>
      </c>
      <c r="S60" s="23" t="e">
        <f>VLOOKUP(Tableau1[[#This Row],[Code]],$V$3:$Z$157,5,)</f>
        <v>#N/A</v>
      </c>
      <c r="V60" s="8" t="s">
        <v>58</v>
      </c>
      <c r="X60" s="22">
        <v>3980</v>
      </c>
      <c r="Y60" s="22">
        <v>12350</v>
      </c>
      <c r="Z60" s="22">
        <v>8370</v>
      </c>
    </row>
    <row r="61" spans="1:26" hidden="1" x14ac:dyDescent="0.25">
      <c r="A61" s="13">
        <v>44227</v>
      </c>
      <c r="B61" t="s">
        <v>81</v>
      </c>
      <c r="C61" t="s">
        <v>43</v>
      </c>
      <c r="D61" t="s">
        <v>33</v>
      </c>
      <c r="E61" s="38">
        <v>7</v>
      </c>
      <c r="F61">
        <v>25</v>
      </c>
      <c r="G61">
        <v>0</v>
      </c>
      <c r="H61">
        <v>0</v>
      </c>
      <c r="I61">
        <v>0</v>
      </c>
      <c r="J61">
        <v>0</v>
      </c>
      <c r="K61" s="23">
        <f>IF(Tableau1[[#This Row],[Quantité (H)]]=0,0,Tableau1[[#This Row],[Gasoil (L)]]/Tableau1[[#This Row],[Quantité (H)]])</f>
        <v>3.5714285714285716</v>
      </c>
      <c r="O61" s="23">
        <f>Tableau1[[#This Row],[Productivité]]-Tableau1[[#This Row],[ les Charges]]</f>
        <v>0</v>
      </c>
      <c r="R61" s="23">
        <f>VLOOKUP(Tableau1[[#This Row],[Code]],$V$3:$Z$157,4,)</f>
        <v>30240</v>
      </c>
      <c r="S61" s="23">
        <f>VLOOKUP(Tableau1[[#This Row],[Code]],$V$3:$Z$157,5,)</f>
        <v>25955</v>
      </c>
      <c r="V61" s="6" t="s">
        <v>59</v>
      </c>
      <c r="X61" s="22">
        <v>3470</v>
      </c>
      <c r="Y61" s="22">
        <v>5720</v>
      </c>
      <c r="Z61" s="22">
        <v>2250</v>
      </c>
    </row>
    <row r="62" spans="1:26" hidden="1" x14ac:dyDescent="0.25">
      <c r="A62" s="13">
        <v>44227</v>
      </c>
      <c r="B62" t="s">
        <v>83</v>
      </c>
      <c r="C62" t="s">
        <v>43</v>
      </c>
      <c r="D62" s="65" t="s">
        <v>33</v>
      </c>
      <c r="E62" s="38">
        <v>32</v>
      </c>
      <c r="F62">
        <v>109.9</v>
      </c>
      <c r="G62">
        <v>5</v>
      </c>
      <c r="H62">
        <v>0</v>
      </c>
      <c r="I62">
        <v>0</v>
      </c>
      <c r="J62">
        <v>5</v>
      </c>
      <c r="K62" s="23">
        <f>IF(Tableau1[[#This Row],[Quantité (H)]]=0,0,Tableau1[[#This Row],[Gasoil (L)]]/Tableau1[[#This Row],[Quantité (H)]])</f>
        <v>3.4343750000000002</v>
      </c>
      <c r="M62" s="23">
        <v>7144</v>
      </c>
      <c r="N62" s="23">
        <v>7150</v>
      </c>
      <c r="O62" s="23">
        <f>Tableau1[[#This Row],[Productivité]]-Tableau1[[#This Row],[ les Charges]]</f>
        <v>6</v>
      </c>
      <c r="R62" s="23">
        <f>VLOOKUP(Tableau1[[#This Row],[Code]],$V$3:$Z$157,4,)</f>
        <v>30240</v>
      </c>
      <c r="S62" s="23">
        <f>VLOOKUP(Tableau1[[#This Row],[Code]],$V$3:$Z$157,5,)</f>
        <v>25955</v>
      </c>
      <c r="V62" s="6" t="s">
        <v>60</v>
      </c>
      <c r="X62" s="22">
        <v>2080</v>
      </c>
      <c r="Y62" s="22">
        <v>12480</v>
      </c>
      <c r="Z62" s="22">
        <v>10400</v>
      </c>
    </row>
    <row r="63" spans="1:26" hidden="1" x14ac:dyDescent="0.25">
      <c r="A63" s="13">
        <v>44227</v>
      </c>
      <c r="B63" t="s">
        <v>82</v>
      </c>
      <c r="C63" t="s">
        <v>43</v>
      </c>
      <c r="D63" t="s">
        <v>34</v>
      </c>
      <c r="E63" s="8">
        <v>623</v>
      </c>
      <c r="F63">
        <v>623</v>
      </c>
      <c r="G63">
        <v>25</v>
      </c>
      <c r="H63">
        <v>0</v>
      </c>
      <c r="I63">
        <v>20</v>
      </c>
      <c r="J63">
        <v>3</v>
      </c>
      <c r="K63" s="23">
        <f>IF(Tableau1[[#This Row],[Quantité (H)]]=0,0,Tableau1[[#This Row],[Gasoil (L)]]/Tableau1[[#This Row],[Quantité (H)]])</f>
        <v>1</v>
      </c>
      <c r="M63" s="23">
        <v>23831</v>
      </c>
      <c r="N63" s="23">
        <v>17416.666666666668</v>
      </c>
      <c r="O63" s="23">
        <f>Tableau1[[#This Row],[Productivité]]-Tableau1[[#This Row],[ les Charges]]</f>
        <v>-6414.3333333333321</v>
      </c>
      <c r="R63" s="23">
        <f>VLOOKUP(Tableau1[[#This Row],[Code]],$V$3:$Z$157,4,)</f>
        <v>16380</v>
      </c>
      <c r="S63" s="23">
        <f>VLOOKUP(Tableau1[[#This Row],[Code]],$V$3:$Z$157,5,)</f>
        <v>10710</v>
      </c>
      <c r="V63" s="6" t="s">
        <v>61</v>
      </c>
      <c r="X63" s="22">
        <v>2060</v>
      </c>
      <c r="Y63" s="22">
        <v>12285</v>
      </c>
      <c r="Z63" s="22">
        <v>10225</v>
      </c>
    </row>
    <row r="64" spans="1:26" hidden="1" x14ac:dyDescent="0.25">
      <c r="A64" s="13">
        <v>44227</v>
      </c>
      <c r="B64" t="s">
        <v>79</v>
      </c>
      <c r="C64" t="s">
        <v>87</v>
      </c>
      <c r="D64" t="s">
        <v>63</v>
      </c>
      <c r="E64" s="38">
        <v>2</v>
      </c>
      <c r="F64">
        <v>0</v>
      </c>
      <c r="G64">
        <v>0</v>
      </c>
      <c r="H64">
        <v>0</v>
      </c>
      <c r="I64">
        <v>0</v>
      </c>
      <c r="J64">
        <v>0</v>
      </c>
      <c r="K64" s="23">
        <f>IF(Tableau1[[#This Row],[Quantité (H)]]=0,0,Tableau1[[#This Row],[Gasoil (L)]]/Tableau1[[#This Row],[Quantité (H)]])</f>
        <v>0</v>
      </c>
      <c r="L64" s="23">
        <v>190</v>
      </c>
      <c r="M64" s="23">
        <v>20360</v>
      </c>
      <c r="N64" s="23">
        <v>18922.222222222226</v>
      </c>
      <c r="O64" s="23">
        <f>Tableau1[[#This Row],[Productivité]]-Tableau1[[#This Row],[ les Charges]]</f>
        <v>-1437.7777777777737</v>
      </c>
      <c r="R64" s="23">
        <f>VLOOKUP(Tableau1[[#This Row],[Code]],$V$3:$Z$157,4,)</f>
        <v>11050</v>
      </c>
      <c r="S64" s="23">
        <f>VLOOKUP(Tableau1[[#This Row],[Code]],$V$3:$Z$157,5,)</f>
        <v>9630</v>
      </c>
      <c r="V64" s="6" t="s">
        <v>138</v>
      </c>
      <c r="X64" s="22">
        <v>10553.32</v>
      </c>
      <c r="Z64" s="22">
        <v>-10553.32</v>
      </c>
    </row>
    <row r="65" spans="1:26" hidden="1" x14ac:dyDescent="0.25">
      <c r="A65" s="13">
        <v>44227</v>
      </c>
      <c r="B65" t="s">
        <v>80</v>
      </c>
      <c r="C65" t="s">
        <v>87</v>
      </c>
      <c r="D65" t="s">
        <v>63</v>
      </c>
      <c r="E65" s="38">
        <v>260</v>
      </c>
      <c r="F65">
        <v>190</v>
      </c>
      <c r="G65">
        <v>10</v>
      </c>
      <c r="H65">
        <v>0</v>
      </c>
      <c r="I65">
        <v>0</v>
      </c>
      <c r="J65">
        <v>0</v>
      </c>
      <c r="K65" s="23">
        <f>IF(Tableau1[[#This Row],[Quantité (H)]]=0,0,Tableau1[[#This Row],[Gasoil (L)]]/Tableau1[[#This Row],[Quantité (H)]])</f>
        <v>0.73076923076923073</v>
      </c>
      <c r="L65" s="23">
        <v>190</v>
      </c>
      <c r="O65" s="23">
        <f>Tableau1[[#This Row],[Productivité]]-Tableau1[[#This Row],[ les Charges]]</f>
        <v>0</v>
      </c>
      <c r="R65" s="23">
        <f>VLOOKUP(Tableau1[[#This Row],[Code]],$V$3:$Z$157,4,)</f>
        <v>11050</v>
      </c>
      <c r="S65" s="23">
        <f>VLOOKUP(Tableau1[[#This Row],[Code]],$V$3:$Z$157,5,)</f>
        <v>9630</v>
      </c>
      <c r="V65" s="8" t="s">
        <v>33</v>
      </c>
      <c r="X65" s="22">
        <v>4285</v>
      </c>
      <c r="Y65" s="22">
        <v>30240</v>
      </c>
      <c r="Z65" s="22">
        <v>25955</v>
      </c>
    </row>
    <row r="66" spans="1:26" hidden="1" x14ac:dyDescent="0.25">
      <c r="A66" s="13">
        <v>44255</v>
      </c>
      <c r="B66" t="s">
        <v>80</v>
      </c>
      <c r="C66" t="s">
        <v>92</v>
      </c>
      <c r="D66" t="s">
        <v>31</v>
      </c>
      <c r="E66" s="3">
        <v>8</v>
      </c>
      <c r="F66">
        <v>95</v>
      </c>
      <c r="G66">
        <v>0</v>
      </c>
      <c r="H66">
        <v>0</v>
      </c>
      <c r="I66">
        <v>0</v>
      </c>
      <c r="J66">
        <v>0</v>
      </c>
      <c r="K66" s="23">
        <f>IF(Tableau1[[#This Row],[Quantité (H)]]=0,0,Tableau1[[#This Row],[Gasoil (L)]]/Tableau1[[#This Row],[Quantité (H)]])</f>
        <v>11.875</v>
      </c>
      <c r="M66" s="23">
        <v>950</v>
      </c>
      <c r="N66" s="23">
        <v>1288.8888888888889</v>
      </c>
      <c r="O66" s="23">
        <f>Tableau1[[#This Row],[Productivité]]-Tableau1[[#This Row],[ les Charges]]</f>
        <v>338.88888888888891</v>
      </c>
      <c r="R66" s="23">
        <f>VLOOKUP(Tableau1[[#This Row],[Code]],$V$3:$Z$157,4,)</f>
        <v>800</v>
      </c>
      <c r="S66" s="23">
        <f>VLOOKUP(Tableau1[[#This Row],[Code]],$V$3:$Z$157,5,)</f>
        <v>75</v>
      </c>
      <c r="V66" s="19" t="s">
        <v>34</v>
      </c>
      <c r="X66" s="22">
        <v>5670</v>
      </c>
      <c r="Y66" s="22">
        <v>16380</v>
      </c>
      <c r="Z66" s="22">
        <v>10710</v>
      </c>
    </row>
    <row r="67" spans="1:26" hidden="1" x14ac:dyDescent="0.25">
      <c r="A67" s="13">
        <v>44255</v>
      </c>
      <c r="B67" t="s">
        <v>80</v>
      </c>
      <c r="C67" t="s">
        <v>40</v>
      </c>
      <c r="D67" t="s">
        <v>16</v>
      </c>
      <c r="E67" s="65">
        <v>36</v>
      </c>
      <c r="F67">
        <v>275</v>
      </c>
      <c r="G67">
        <v>15</v>
      </c>
      <c r="H67">
        <v>0</v>
      </c>
      <c r="I67">
        <v>0</v>
      </c>
      <c r="J67">
        <v>0</v>
      </c>
      <c r="K67" s="23">
        <f>IF(Tableau1[[#This Row],[Quantité (H)]]=0,0,Tableau1[[#This Row],[Gasoil (L)]]/Tableau1[[#This Row],[Quantité (H)]])</f>
        <v>7.6388888888888893</v>
      </c>
      <c r="M67" s="23">
        <v>3323</v>
      </c>
      <c r="N67" s="23">
        <v>8000</v>
      </c>
      <c r="O67" s="23">
        <f>Tableau1[[#This Row],[Productivité]]-Tableau1[[#This Row],[ les Charges]]</f>
        <v>4677</v>
      </c>
      <c r="R67" s="23">
        <f>VLOOKUP(Tableau1[[#This Row],[Code]],$V$3:$Z$157,4,)</f>
        <v>14800</v>
      </c>
      <c r="S67" s="23">
        <f>VLOOKUP(Tableau1[[#This Row],[Code]],$V$3:$Z$157,5,)</f>
        <v>4838.34</v>
      </c>
      <c r="V67" t="s">
        <v>35</v>
      </c>
      <c r="X67" s="22">
        <v>6555</v>
      </c>
      <c r="Y67" s="22">
        <v>23580</v>
      </c>
      <c r="Z67" s="22">
        <v>17025</v>
      </c>
    </row>
    <row r="68" spans="1:26" hidden="1" x14ac:dyDescent="0.25">
      <c r="A68" s="13">
        <v>44255</v>
      </c>
      <c r="B68" t="s">
        <v>83</v>
      </c>
      <c r="C68" t="s">
        <v>40</v>
      </c>
      <c r="D68" t="s">
        <v>17</v>
      </c>
      <c r="E68" s="65">
        <v>35</v>
      </c>
      <c r="F68">
        <v>255</v>
      </c>
      <c r="G68">
        <v>4</v>
      </c>
      <c r="H68">
        <v>0</v>
      </c>
      <c r="I68">
        <v>0</v>
      </c>
      <c r="J68">
        <v>0</v>
      </c>
      <c r="K68" s="23">
        <f>IF(Tableau1[[#This Row],[Quantité (H)]]=0,0,Tableau1[[#This Row],[Gasoil (L)]]/Tableau1[[#This Row],[Quantité (H)]])</f>
        <v>7.2857142857142856</v>
      </c>
      <c r="M68" s="23">
        <v>3266</v>
      </c>
      <c r="N68" s="23">
        <v>7777.7777777777783</v>
      </c>
      <c r="O68" s="23">
        <f>Tableau1[[#This Row],[Productivité]]-Tableau1[[#This Row],[ les Charges]]</f>
        <v>4511.7777777777783</v>
      </c>
      <c r="R68" s="23">
        <f>VLOOKUP(Tableau1[[#This Row],[Code]],$V$3:$Z$157,4,)</f>
        <v>11400</v>
      </c>
      <c r="S68" s="23">
        <f>VLOOKUP(Tableau1[[#This Row],[Code]],$V$3:$Z$157,5,)</f>
        <v>7070</v>
      </c>
      <c r="V68" s="9" t="s">
        <v>63</v>
      </c>
      <c r="X68" s="22">
        <v>1420</v>
      </c>
      <c r="Y68" s="22">
        <v>11050</v>
      </c>
      <c r="Z68" s="22">
        <v>9630</v>
      </c>
    </row>
    <row r="69" spans="1:26" hidden="1" x14ac:dyDescent="0.25">
      <c r="A69" s="13">
        <v>44255</v>
      </c>
      <c r="B69" t="s">
        <v>82</v>
      </c>
      <c r="C69" t="s">
        <v>40</v>
      </c>
      <c r="D69" t="s">
        <v>19</v>
      </c>
      <c r="E69" s="3">
        <v>34.5</v>
      </c>
      <c r="F69">
        <v>50</v>
      </c>
      <c r="G69">
        <v>0</v>
      </c>
      <c r="H69">
        <v>0</v>
      </c>
      <c r="I69">
        <v>50</v>
      </c>
      <c r="J69">
        <v>2</v>
      </c>
      <c r="K69" s="23">
        <f>IF(Tableau1[[#This Row],[Quantité (H)]]=0,0,Tableau1[[#This Row],[Gasoil (L)]]/Tableau1[[#This Row],[Quantité (H)]])</f>
        <v>1.4492753623188406</v>
      </c>
      <c r="M69" s="23">
        <v>2270</v>
      </c>
      <c r="N69" s="23">
        <v>7666.666666666667</v>
      </c>
      <c r="O69" s="23">
        <f>Tableau1[[#This Row],[Productivité]]-Tableau1[[#This Row],[ les Charges]]</f>
        <v>5396.666666666667</v>
      </c>
      <c r="R69" s="23">
        <f>VLOOKUP(Tableau1[[#This Row],[Code]],$V$3:$Z$157,4,)</f>
        <v>11200</v>
      </c>
      <c r="S69" s="23">
        <f>VLOOKUP(Tableau1[[#This Row],[Code]],$V$3:$Z$157,5,)</f>
        <v>5505</v>
      </c>
      <c r="V69" s="7" t="s">
        <v>105</v>
      </c>
      <c r="X69" s="22">
        <v>3240</v>
      </c>
      <c r="Y69" s="22">
        <v>10920</v>
      </c>
      <c r="Z69" s="22">
        <v>7680</v>
      </c>
    </row>
    <row r="70" spans="1:26" hidden="1" x14ac:dyDescent="0.25">
      <c r="A70" s="13">
        <v>44255</v>
      </c>
      <c r="B70" t="s">
        <v>79</v>
      </c>
      <c r="C70" t="s">
        <v>85</v>
      </c>
      <c r="D70" t="s">
        <v>44</v>
      </c>
      <c r="E70" s="3">
        <v>26</v>
      </c>
      <c r="F70">
        <v>206</v>
      </c>
      <c r="G70">
        <v>0</v>
      </c>
      <c r="H70">
        <v>0</v>
      </c>
      <c r="I70">
        <v>0</v>
      </c>
      <c r="J70">
        <v>0</v>
      </c>
      <c r="K70" s="23">
        <f>IF(Tableau1[[#This Row],[Quantité (H)]]=0,0,Tableau1[[#This Row],[Gasoil (L)]]/Tableau1[[#This Row],[Quantité (H)]])</f>
        <v>7.9230769230769234</v>
      </c>
      <c r="L70" s="23">
        <v>32</v>
      </c>
      <c r="O70" s="23">
        <f>Tableau1[[#This Row],[Productivité]]-Tableau1[[#This Row],[ les Charges]]</f>
        <v>0</v>
      </c>
      <c r="R70" s="23">
        <f>VLOOKUP(Tableau1[[#This Row],[Code]],$V$3:$Z$157,4,)</f>
        <v>46340</v>
      </c>
      <c r="S70" s="23">
        <f>VLOOKUP(Tableau1[[#This Row],[Code]],$V$3:$Z$157,5,)</f>
        <v>36500</v>
      </c>
      <c r="V70" s="9" t="s">
        <v>64</v>
      </c>
      <c r="X70" s="22">
        <v>1330</v>
      </c>
      <c r="Y70" s="22">
        <v>9600</v>
      </c>
      <c r="Z70" s="22">
        <v>8270</v>
      </c>
    </row>
    <row r="71" spans="1:26" hidden="1" x14ac:dyDescent="0.25">
      <c r="A71" s="13">
        <v>44255</v>
      </c>
      <c r="B71" t="s">
        <v>82</v>
      </c>
      <c r="C71" t="s">
        <v>85</v>
      </c>
      <c r="D71" t="s">
        <v>44</v>
      </c>
      <c r="E71" s="3">
        <v>12</v>
      </c>
      <c r="F71">
        <v>130</v>
      </c>
      <c r="G71">
        <v>0</v>
      </c>
      <c r="H71">
        <v>0</v>
      </c>
      <c r="I71">
        <v>0</v>
      </c>
      <c r="J71">
        <v>0</v>
      </c>
      <c r="K71" s="23">
        <f>IF(Tableau1[[#This Row],[Quantité (H)]]=0,0,Tableau1[[#This Row],[Gasoil (L)]]/Tableau1[[#This Row],[Quantité (H)]])</f>
        <v>10.833333333333334</v>
      </c>
      <c r="L71" s="23">
        <v>32</v>
      </c>
      <c r="O71" s="23">
        <f>Tableau1[[#This Row],[Productivité]]-Tableau1[[#This Row],[ les Charges]]</f>
        <v>0</v>
      </c>
      <c r="R71" s="23">
        <f>VLOOKUP(Tableau1[[#This Row],[Code]],$V$3:$Z$157,4,)</f>
        <v>46340</v>
      </c>
      <c r="S71" s="23">
        <f>VLOOKUP(Tableau1[[#This Row],[Code]],$V$3:$Z$157,5,)</f>
        <v>36500</v>
      </c>
      <c r="V71" s="7" t="s">
        <v>65</v>
      </c>
      <c r="X71" s="22">
        <v>2580</v>
      </c>
      <c r="Y71" s="22">
        <v>18400</v>
      </c>
      <c r="Z71" s="22">
        <v>15820</v>
      </c>
    </row>
    <row r="72" spans="1:26" hidden="1" x14ac:dyDescent="0.25">
      <c r="A72" s="13">
        <v>44255</v>
      </c>
      <c r="B72" t="s">
        <v>83</v>
      </c>
      <c r="C72" t="s">
        <v>85</v>
      </c>
      <c r="D72" t="s">
        <v>44</v>
      </c>
      <c r="E72" s="3">
        <v>54</v>
      </c>
      <c r="F72">
        <v>273</v>
      </c>
      <c r="G72">
        <v>0</v>
      </c>
      <c r="H72">
        <v>0</v>
      </c>
      <c r="I72">
        <v>0</v>
      </c>
      <c r="J72">
        <v>0</v>
      </c>
      <c r="K72" s="23">
        <f>IF(Tableau1[[#This Row],[Quantité (H)]]=0,0,Tableau1[[#This Row],[Gasoil (L)]]/Tableau1[[#This Row],[Quantité (H)]])</f>
        <v>5.0555555555555554</v>
      </c>
      <c r="L72" s="23">
        <v>32</v>
      </c>
      <c r="M72" s="23">
        <v>6160</v>
      </c>
      <c r="N72" s="23">
        <v>26577.777777777781</v>
      </c>
      <c r="O72" s="23">
        <f>Tableau1[[#This Row],[Productivité]]-Tableau1[[#This Row],[ les Charges]]</f>
        <v>20417.777777777781</v>
      </c>
      <c r="R72" s="23">
        <f>VLOOKUP(Tableau1[[#This Row],[Code]],$V$3:$Z$157,4,)</f>
        <v>46340</v>
      </c>
      <c r="S72" s="23">
        <f>VLOOKUP(Tableau1[[#This Row],[Code]],$V$3:$Z$157,5,)</f>
        <v>36500</v>
      </c>
      <c r="V72" s="7" t="s">
        <v>66</v>
      </c>
      <c r="X72" s="22">
        <v>380</v>
      </c>
      <c r="Y72" s="22">
        <v>9600</v>
      </c>
      <c r="Z72" s="22">
        <v>9220</v>
      </c>
    </row>
    <row r="73" spans="1:26" hidden="1" x14ac:dyDescent="0.25">
      <c r="A73" s="13">
        <v>44255</v>
      </c>
      <c r="B73" t="s">
        <v>83</v>
      </c>
      <c r="C73" t="s">
        <v>85</v>
      </c>
      <c r="D73" t="s">
        <v>45</v>
      </c>
      <c r="E73" s="3">
        <v>196</v>
      </c>
      <c r="F73">
        <v>1053</v>
      </c>
      <c r="G73">
        <v>0</v>
      </c>
      <c r="H73">
        <v>0</v>
      </c>
      <c r="I73">
        <v>0</v>
      </c>
      <c r="J73">
        <v>3</v>
      </c>
      <c r="K73" s="23">
        <f>IF(Tableau1[[#This Row],[Quantité (H)]]=0,0,Tableau1[[#This Row],[Gasoil (L)]]/Tableau1[[#This Row],[Quantité (H)]])</f>
        <v>5.3724489795918364</v>
      </c>
      <c r="L73" s="23">
        <v>33</v>
      </c>
      <c r="M73" s="23">
        <v>10740</v>
      </c>
      <c r="N73" s="23">
        <v>56622.222222222226</v>
      </c>
      <c r="O73" s="23">
        <f>Tableau1[[#This Row],[Productivité]]-Tableau1[[#This Row],[ les Charges]]</f>
        <v>45882.222222222226</v>
      </c>
      <c r="R73" s="23">
        <f>VLOOKUP(Tableau1[[#This Row],[Code]],$V$3:$Z$157,4,)</f>
        <v>64680</v>
      </c>
      <c r="S73" s="23">
        <f>VLOOKUP(Tableau1[[#This Row],[Code]],$V$3:$Z$157,5,)</f>
        <v>57080</v>
      </c>
      <c r="V73" s="7" t="s">
        <v>67</v>
      </c>
      <c r="X73" s="22">
        <v>1150</v>
      </c>
      <c r="Y73" s="22">
        <v>6600</v>
      </c>
      <c r="Z73" s="22">
        <v>5450</v>
      </c>
    </row>
    <row r="74" spans="1:26" hidden="1" x14ac:dyDescent="0.25">
      <c r="A74" s="13">
        <v>44255</v>
      </c>
      <c r="B74" t="s">
        <v>83</v>
      </c>
      <c r="C74" t="s">
        <v>85</v>
      </c>
      <c r="D74" t="s">
        <v>46</v>
      </c>
      <c r="E74" s="3">
        <v>199</v>
      </c>
      <c r="F74">
        <v>1188</v>
      </c>
      <c r="G74">
        <v>0</v>
      </c>
      <c r="H74">
        <v>0</v>
      </c>
      <c r="I74">
        <v>0</v>
      </c>
      <c r="J74">
        <v>3</v>
      </c>
      <c r="K74" s="23">
        <f>IF(Tableau1[[#This Row],[Quantité (H)]]=0,0,Tableau1[[#This Row],[Gasoil (L)]]/Tableau1[[#This Row],[Quantité (H)]])</f>
        <v>5.9698492462311554</v>
      </c>
      <c r="L74" s="23">
        <v>58.981876332622605</v>
      </c>
      <c r="O74" s="23">
        <f>Tableau1[[#This Row],[Productivité]]-Tableau1[[#This Row],[ les Charges]]</f>
        <v>0</v>
      </c>
      <c r="R74" s="23">
        <f>VLOOKUP(Tableau1[[#This Row],[Code]],$V$3:$Z$157,4,)</f>
        <v>48720</v>
      </c>
      <c r="S74" s="23">
        <f>VLOOKUP(Tableau1[[#This Row],[Code]],$V$3:$Z$157,5,)</f>
        <v>26090.82</v>
      </c>
      <c r="V74" s="9" t="s">
        <v>68</v>
      </c>
      <c r="X74" s="22">
        <v>200</v>
      </c>
      <c r="Y74" s="22">
        <v>7200</v>
      </c>
      <c r="Z74" s="22">
        <v>7000</v>
      </c>
    </row>
    <row r="75" spans="1:26" hidden="1" x14ac:dyDescent="0.25">
      <c r="A75" s="13">
        <v>44255</v>
      </c>
      <c r="B75" t="s">
        <v>80</v>
      </c>
      <c r="C75" t="s">
        <v>85</v>
      </c>
      <c r="D75" t="s">
        <v>47</v>
      </c>
      <c r="E75" s="3">
        <v>53</v>
      </c>
      <c r="F75">
        <v>362</v>
      </c>
      <c r="G75">
        <v>0</v>
      </c>
      <c r="H75">
        <v>0</v>
      </c>
      <c r="I75">
        <v>0</v>
      </c>
      <c r="J75">
        <v>0</v>
      </c>
      <c r="K75" s="23">
        <f>IF(Tableau1[[#This Row],[Quantité (H)]]=0,0,Tableau1[[#This Row],[Gasoil (L)]]/Tableau1[[#This Row],[Quantité (H)]])</f>
        <v>6.8301886792452828</v>
      </c>
      <c r="L75" s="23">
        <v>67.126965861143077</v>
      </c>
      <c r="O75" s="23">
        <f>Tableau1[[#This Row],[Productivité]]-Tableau1[[#This Row],[ les Charges]]</f>
        <v>0</v>
      </c>
      <c r="R75" s="23">
        <f>VLOOKUP(Tableau1[[#This Row],[Code]],$V$3:$Z$157,4,)</f>
        <v>65240</v>
      </c>
      <c r="S75" s="23">
        <f>VLOOKUP(Tableau1[[#This Row],[Code]],$V$3:$Z$157,5,)</f>
        <v>54030.82</v>
      </c>
      <c r="V75" s="9" t="s">
        <v>69</v>
      </c>
      <c r="X75" s="22">
        <v>2770</v>
      </c>
      <c r="Y75" s="22">
        <v>6900</v>
      </c>
      <c r="Z75" s="22">
        <v>4130</v>
      </c>
    </row>
    <row r="76" spans="1:26" hidden="1" x14ac:dyDescent="0.25">
      <c r="A76" s="13">
        <v>44255</v>
      </c>
      <c r="B76" t="s">
        <v>79</v>
      </c>
      <c r="C76" t="s">
        <v>85</v>
      </c>
      <c r="D76" s="65" t="s">
        <v>47</v>
      </c>
      <c r="E76" s="3">
        <v>59</v>
      </c>
      <c r="F76">
        <v>141</v>
      </c>
      <c r="G76">
        <v>0</v>
      </c>
      <c r="H76">
        <v>0</v>
      </c>
      <c r="I76">
        <v>0</v>
      </c>
      <c r="J76">
        <v>0</v>
      </c>
      <c r="K76" s="23">
        <f>IF(Tableau1[[#This Row],[Quantité (H)]]=0,0,Tableau1[[#This Row],[Gasoil (L)]]/Tableau1[[#This Row],[Quantité (H)]])</f>
        <v>2.3898305084745761</v>
      </c>
      <c r="L76" s="23">
        <v>67.126965861143077</v>
      </c>
      <c r="M76" s="23">
        <v>5030</v>
      </c>
      <c r="N76" s="23">
        <v>32355.555555555558</v>
      </c>
      <c r="O76" s="23">
        <f>Tableau1[[#This Row],[Productivité]]-Tableau1[[#This Row],[ les Charges]]</f>
        <v>27325.555555555558</v>
      </c>
      <c r="R76" s="23">
        <f>VLOOKUP(Tableau1[[#This Row],[Code]],$V$3:$Z$157,4,)</f>
        <v>65240</v>
      </c>
      <c r="S76" s="23">
        <f>VLOOKUP(Tableau1[[#This Row],[Code]],$V$3:$Z$157,5,)</f>
        <v>54030.82</v>
      </c>
      <c r="V76" s="9" t="s">
        <v>70</v>
      </c>
      <c r="X76" s="22">
        <v>2000</v>
      </c>
      <c r="Y76" s="22">
        <v>7500</v>
      </c>
      <c r="Z76" s="22">
        <v>5500</v>
      </c>
    </row>
    <row r="77" spans="1:26" hidden="1" x14ac:dyDescent="0.25">
      <c r="A77" s="13">
        <v>44255</v>
      </c>
      <c r="B77" t="s">
        <v>82</v>
      </c>
      <c r="C77" t="s">
        <v>85</v>
      </c>
      <c r="D77" t="s">
        <v>48</v>
      </c>
      <c r="E77" s="3">
        <v>84</v>
      </c>
      <c r="F77">
        <v>206</v>
      </c>
      <c r="G77">
        <v>0</v>
      </c>
      <c r="H77">
        <v>0</v>
      </c>
      <c r="I77">
        <v>0</v>
      </c>
      <c r="J77">
        <v>0</v>
      </c>
      <c r="K77" s="23">
        <f>IF(Tableau1[[#This Row],[Quantité (H)]]=0,0,Tableau1[[#This Row],[Gasoil (L)]]/Tableau1[[#This Row],[Quantité (H)]])</f>
        <v>2.4523809523809526</v>
      </c>
      <c r="L77" s="23">
        <v>206</v>
      </c>
      <c r="M77" s="23">
        <v>2330</v>
      </c>
      <c r="N77" s="23">
        <v>13066.666666666666</v>
      </c>
      <c r="O77" s="23">
        <f>Tableau1[[#This Row],[Productivité]]-Tableau1[[#This Row],[ les Charges]]</f>
        <v>10736.666666666666</v>
      </c>
      <c r="R77" s="23">
        <f>VLOOKUP(Tableau1[[#This Row],[Code]],$V$3:$Z$157,4,)</f>
        <v>17400</v>
      </c>
      <c r="S77" s="23">
        <f>VLOOKUP(Tableau1[[#This Row],[Code]],$V$3:$Z$157,5,)</f>
        <v>8595</v>
      </c>
      <c r="V77" s="7" t="s">
        <v>71</v>
      </c>
      <c r="X77" s="22">
        <v>3380</v>
      </c>
      <c r="Y77" s="22">
        <v>7200</v>
      </c>
      <c r="Z77" s="22">
        <v>3820</v>
      </c>
    </row>
    <row r="78" spans="1:26" hidden="1" x14ac:dyDescent="0.25">
      <c r="A78" s="13">
        <v>44255</v>
      </c>
      <c r="B78" t="s">
        <v>79</v>
      </c>
      <c r="C78" t="s">
        <v>85</v>
      </c>
      <c r="D78" t="s">
        <v>49</v>
      </c>
      <c r="E78" s="65">
        <v>4</v>
      </c>
      <c r="F78">
        <v>252</v>
      </c>
      <c r="G78">
        <v>0</v>
      </c>
      <c r="H78">
        <v>0</v>
      </c>
      <c r="I78">
        <v>0</v>
      </c>
      <c r="J78">
        <v>0</v>
      </c>
      <c r="K78" s="23">
        <f>IF(Tableau1[[#This Row],[Quantité (H)]]=0,0,Tableau1[[#This Row],[Gasoil (L)]]/Tableau1[[#This Row],[Quantité (H)]])</f>
        <v>63</v>
      </c>
      <c r="L78" s="23">
        <v>43.986526501708802</v>
      </c>
      <c r="M78" s="23">
        <v>14680</v>
      </c>
      <c r="N78" s="23">
        <v>6377.7777777777774</v>
      </c>
      <c r="O78" s="23">
        <f>Tableau1[[#This Row],[Productivité]]-Tableau1[[#This Row],[ les Charges]]</f>
        <v>-8302.2222222222226</v>
      </c>
      <c r="R78" s="23">
        <f>VLOOKUP(Tableau1[[#This Row],[Code]],$V$3:$Z$157,4,)</f>
        <v>17625</v>
      </c>
      <c r="S78" s="23">
        <f>VLOOKUP(Tableau1[[#This Row],[Code]],$V$3:$Z$157,5,)</f>
        <v>9555</v>
      </c>
      <c r="V78" s="9" t="s">
        <v>72</v>
      </c>
      <c r="X78" s="22">
        <v>3438</v>
      </c>
      <c r="Y78" s="22">
        <v>7500</v>
      </c>
      <c r="Z78" s="22">
        <v>4062</v>
      </c>
    </row>
    <row r="79" spans="1:26" hidden="1" x14ac:dyDescent="0.25">
      <c r="A79" s="13">
        <v>44255</v>
      </c>
      <c r="B79" t="s">
        <v>80</v>
      </c>
      <c r="C79" t="s">
        <v>85</v>
      </c>
      <c r="D79" t="s">
        <v>49</v>
      </c>
      <c r="E79" s="65">
        <v>37</v>
      </c>
      <c r="F79">
        <v>283</v>
      </c>
      <c r="G79">
        <v>0</v>
      </c>
      <c r="H79">
        <v>0</v>
      </c>
      <c r="I79">
        <v>0</v>
      </c>
      <c r="J79">
        <v>0</v>
      </c>
      <c r="K79" s="23">
        <f>IF(Tableau1[[#This Row],[Quantité (H)]]=0,0,Tableau1[[#This Row],[Gasoil (L)]]/Tableau1[[#This Row],[Quantité (H)]])</f>
        <v>7.6486486486486482</v>
      </c>
      <c r="L79" s="23">
        <v>43.986526501708802</v>
      </c>
      <c r="M79" s="23">
        <v>14680</v>
      </c>
      <c r="N79" s="23">
        <v>6377.7777777777774</v>
      </c>
      <c r="O79" s="23">
        <f>Tableau1[[#This Row],[Productivité]]-Tableau1[[#This Row],[ les Charges]]</f>
        <v>-8302.2222222222226</v>
      </c>
      <c r="R79" s="23">
        <f>VLOOKUP(Tableau1[[#This Row],[Code]],$V$3:$Z$157,4,)</f>
        <v>17625</v>
      </c>
      <c r="S79" s="23">
        <f>VLOOKUP(Tableau1[[#This Row],[Code]],$V$3:$Z$157,5,)</f>
        <v>9555</v>
      </c>
      <c r="V79" s="7" t="s">
        <v>73</v>
      </c>
      <c r="X79" s="22">
        <v>1992</v>
      </c>
      <c r="Y79" s="22">
        <v>6000</v>
      </c>
      <c r="Z79" s="22">
        <v>4008</v>
      </c>
    </row>
    <row r="80" spans="1:26" hidden="1" x14ac:dyDescent="0.25">
      <c r="A80" s="13">
        <v>44255</v>
      </c>
      <c r="B80" t="s">
        <v>83</v>
      </c>
      <c r="C80" t="s">
        <v>85</v>
      </c>
      <c r="D80" t="s">
        <v>50</v>
      </c>
      <c r="E80" s="3">
        <v>25.5</v>
      </c>
      <c r="F80">
        <v>111</v>
      </c>
      <c r="G80">
        <v>0</v>
      </c>
      <c r="H80">
        <v>0</v>
      </c>
      <c r="I80">
        <v>0</v>
      </c>
      <c r="J80">
        <v>0</v>
      </c>
      <c r="K80" s="23">
        <f>IF(Tableau1[[#This Row],[Quantité (H)]]=0,0,Tableau1[[#This Row],[Gasoil (L)]]/Tableau1[[#This Row],[Quantité (H)]])</f>
        <v>4.3529411764705879</v>
      </c>
      <c r="L80" s="23">
        <v>34.482758620689658</v>
      </c>
      <c r="O80" s="23">
        <f>Tableau1[[#This Row],[Productivité]]-Tableau1[[#This Row],[ les Charges]]</f>
        <v>0</v>
      </c>
      <c r="R80" s="23">
        <f>VLOOKUP(Tableau1[[#This Row],[Code]],$V$3:$Z$157,4,)</f>
        <v>26250</v>
      </c>
      <c r="S80" s="23">
        <f>VLOOKUP(Tableau1[[#This Row],[Code]],$V$3:$Z$157,5,)</f>
        <v>21570</v>
      </c>
      <c r="V80" s="10" t="s">
        <v>74</v>
      </c>
      <c r="X80" s="22">
        <v>1780</v>
      </c>
      <c r="Y80" s="22">
        <v>6600</v>
      </c>
      <c r="Z80" s="22">
        <v>4820</v>
      </c>
    </row>
    <row r="81" spans="1:26" hidden="1" x14ac:dyDescent="0.25">
      <c r="A81" s="13">
        <v>44255</v>
      </c>
      <c r="B81" t="s">
        <v>80</v>
      </c>
      <c r="C81" t="s">
        <v>85</v>
      </c>
      <c r="D81" t="s">
        <v>50</v>
      </c>
      <c r="E81" s="3">
        <v>115</v>
      </c>
      <c r="F81">
        <v>259</v>
      </c>
      <c r="G81">
        <v>0</v>
      </c>
      <c r="H81">
        <v>0</v>
      </c>
      <c r="I81">
        <v>0</v>
      </c>
      <c r="J81">
        <v>0</v>
      </c>
      <c r="K81" s="23">
        <f>IF(Tableau1[[#This Row],[Quantité (H)]]=0,0,Tableau1[[#This Row],[Gasoil (L)]]/Tableau1[[#This Row],[Quantité (H)]])</f>
        <v>2.2521739130434781</v>
      </c>
      <c r="L81" s="23">
        <v>34.482758620689658</v>
      </c>
      <c r="M81" s="23">
        <v>3700</v>
      </c>
      <c r="N81" s="23">
        <v>21855.555555555555</v>
      </c>
      <c r="O81" s="23">
        <f>Tableau1[[#This Row],[Productivité]]-Tableau1[[#This Row],[ les Charges]]</f>
        <v>18155.555555555555</v>
      </c>
      <c r="R81" s="23">
        <f>VLOOKUP(Tableau1[[#This Row],[Code]],$V$3:$Z$157,4,)</f>
        <v>26250</v>
      </c>
      <c r="S81" s="23">
        <f>VLOOKUP(Tableau1[[#This Row],[Code]],$V$3:$Z$157,5,)</f>
        <v>21570</v>
      </c>
      <c r="V81" t="s">
        <v>75</v>
      </c>
      <c r="X81" s="22">
        <v>2130</v>
      </c>
      <c r="Y81" s="22">
        <v>6600</v>
      </c>
      <c r="Z81" s="22">
        <v>4470</v>
      </c>
    </row>
    <row r="82" spans="1:26" hidden="1" x14ac:dyDescent="0.25">
      <c r="A82" s="13">
        <v>44255</v>
      </c>
      <c r="B82" t="s">
        <v>80</v>
      </c>
      <c r="C82" t="s">
        <v>85</v>
      </c>
      <c r="D82" t="s">
        <v>54</v>
      </c>
      <c r="E82" s="3">
        <v>47</v>
      </c>
      <c r="F82">
        <v>451</v>
      </c>
      <c r="G82">
        <v>0</v>
      </c>
      <c r="H82">
        <v>0</v>
      </c>
      <c r="I82">
        <v>0</v>
      </c>
      <c r="J82">
        <v>0</v>
      </c>
      <c r="K82" s="23">
        <f>IF(Tableau1[[#This Row],[Quantité (H)]]=0,0,Tableau1[[#This Row],[Gasoil (L)]]/Tableau1[[#This Row],[Quantité (H)]])</f>
        <v>9.5957446808510642</v>
      </c>
      <c r="L82" s="23">
        <v>33</v>
      </c>
      <c r="O82" s="23">
        <f>Tableau1[[#This Row],[Productivité]]-Tableau1[[#This Row],[ les Charges]]</f>
        <v>0</v>
      </c>
      <c r="R82" s="23">
        <f>VLOOKUP(Tableau1[[#This Row],[Code]],$V$3:$Z$157,4,)</f>
        <v>52500</v>
      </c>
      <c r="S82" s="23">
        <f>VLOOKUP(Tableau1[[#This Row],[Code]],$V$3:$Z$157,5,)</f>
        <v>44820</v>
      </c>
      <c r="V82" t="s">
        <v>76</v>
      </c>
      <c r="X82" s="22">
        <v>1940</v>
      </c>
      <c r="Y82" s="22">
        <v>7500</v>
      </c>
      <c r="Z82" s="22">
        <v>5560</v>
      </c>
    </row>
    <row r="83" spans="1:26" hidden="1" x14ac:dyDescent="0.25">
      <c r="A83" s="13">
        <v>44255</v>
      </c>
      <c r="B83" t="s">
        <v>79</v>
      </c>
      <c r="C83" t="s">
        <v>85</v>
      </c>
      <c r="D83" t="s">
        <v>54</v>
      </c>
      <c r="E83" s="3">
        <v>63</v>
      </c>
      <c r="F83">
        <v>115</v>
      </c>
      <c r="G83">
        <v>0</v>
      </c>
      <c r="H83">
        <v>0</v>
      </c>
      <c r="I83">
        <v>0</v>
      </c>
      <c r="J83">
        <v>0</v>
      </c>
      <c r="K83" s="23">
        <f>IF(Tableau1[[#This Row],[Quantité (H)]]=0,0,Tableau1[[#This Row],[Gasoil (L)]]/Tableau1[[#This Row],[Quantité (H)]])</f>
        <v>1.8253968253968254</v>
      </c>
      <c r="L83" s="23">
        <v>33</v>
      </c>
      <c r="M83" s="23">
        <v>5810</v>
      </c>
      <c r="N83" s="23">
        <v>33000</v>
      </c>
      <c r="O83" s="23">
        <f>Tableau1[[#This Row],[Productivité]]-Tableau1[[#This Row],[ les Charges]]</f>
        <v>27190</v>
      </c>
      <c r="R83" s="23">
        <f>VLOOKUP(Tableau1[[#This Row],[Code]],$V$3:$Z$157,4,)</f>
        <v>52500</v>
      </c>
      <c r="S83" s="23">
        <f>VLOOKUP(Tableau1[[#This Row],[Code]],$V$3:$Z$157,5,)</f>
        <v>44820</v>
      </c>
      <c r="V83" t="s">
        <v>77</v>
      </c>
      <c r="X83" s="22">
        <v>1300</v>
      </c>
      <c r="Y83" s="22">
        <v>6300</v>
      </c>
      <c r="Z83" s="22">
        <v>5000</v>
      </c>
    </row>
    <row r="84" spans="1:26" hidden="1" x14ac:dyDescent="0.25">
      <c r="A84" s="13">
        <v>44255</v>
      </c>
      <c r="B84" t="s">
        <v>80</v>
      </c>
      <c r="C84" t="s">
        <v>85</v>
      </c>
      <c r="D84" t="s">
        <v>56</v>
      </c>
      <c r="E84" s="3">
        <v>0</v>
      </c>
      <c r="F84">
        <v>1181</v>
      </c>
      <c r="G84">
        <v>0</v>
      </c>
      <c r="H84">
        <v>0</v>
      </c>
      <c r="I84">
        <v>0</v>
      </c>
      <c r="J84">
        <v>0</v>
      </c>
      <c r="K84" s="23">
        <f>IF(Tableau1[[#This Row],[Quantité (H)]]=0,0,Tableau1[[#This Row],[Gasoil (L)]]/Tableau1[[#This Row],[Quantité (H)]])</f>
        <v>0</v>
      </c>
      <c r="L84" s="23">
        <v>46.504133389379298</v>
      </c>
      <c r="M84" s="23">
        <v>35140</v>
      </c>
      <c r="N84" s="23">
        <v>14777.777777777779</v>
      </c>
      <c r="O84" s="23">
        <f>Tableau1[[#This Row],[Productivité]]-Tableau1[[#This Row],[ les Charges]]</f>
        <v>-20362.222222222219</v>
      </c>
      <c r="R84" s="23">
        <f>VLOOKUP(Tableau1[[#This Row],[Code]],$V$3:$Z$157,4,)</f>
        <v>30900</v>
      </c>
      <c r="S84" s="23">
        <f>VLOOKUP(Tableau1[[#This Row],[Code]],$V$3:$Z$157,5,)</f>
        <v>9895.0999999999985</v>
      </c>
      <c r="V84" t="s">
        <v>78</v>
      </c>
      <c r="X84" s="22">
        <v>2460</v>
      </c>
      <c r="Y84" s="22">
        <v>6600</v>
      </c>
      <c r="Z84" s="22">
        <v>4140</v>
      </c>
    </row>
    <row r="85" spans="1:26" hidden="1" x14ac:dyDescent="0.25">
      <c r="A85" s="13">
        <v>44255</v>
      </c>
      <c r="B85" t="s">
        <v>82</v>
      </c>
      <c r="C85" t="s">
        <v>85</v>
      </c>
      <c r="D85" t="s">
        <v>56</v>
      </c>
      <c r="E85" s="3">
        <v>38</v>
      </c>
      <c r="F85">
        <v>2138</v>
      </c>
      <c r="G85">
        <v>0</v>
      </c>
      <c r="H85">
        <v>0</v>
      </c>
      <c r="I85">
        <v>0</v>
      </c>
      <c r="J85">
        <v>2</v>
      </c>
      <c r="K85" s="23">
        <f>IF(Tableau1[[#This Row],[Quantité (H)]]=0,0,Tableau1[[#This Row],[Gasoil (L)]]/Tableau1[[#This Row],[Quantité (H)]])</f>
        <v>56.263157894736842</v>
      </c>
      <c r="L85" s="23">
        <v>46.504133389379298</v>
      </c>
      <c r="O85" s="23">
        <f>Tableau1[[#This Row],[Productivité]]-Tableau1[[#This Row],[ les Charges]]</f>
        <v>0</v>
      </c>
      <c r="R85" s="23">
        <f>VLOOKUP(Tableau1[[#This Row],[Code]],$V$3:$Z$157,4,)</f>
        <v>30900</v>
      </c>
      <c r="S85" s="23">
        <f>VLOOKUP(Tableau1[[#This Row],[Code]],$V$3:$Z$157,5,)</f>
        <v>9895.0999999999985</v>
      </c>
      <c r="V85" t="s">
        <v>132</v>
      </c>
      <c r="X85" s="22">
        <v>1100</v>
      </c>
      <c r="Y85" s="22">
        <v>7800</v>
      </c>
      <c r="Z85" s="22">
        <v>6700</v>
      </c>
    </row>
    <row r="86" spans="1:26" hidden="1" x14ac:dyDescent="0.25">
      <c r="A86" s="13">
        <v>44255</v>
      </c>
      <c r="B86" t="s">
        <v>79</v>
      </c>
      <c r="C86" t="s">
        <v>85</v>
      </c>
      <c r="D86" t="s">
        <v>57</v>
      </c>
      <c r="E86" s="3">
        <v>0</v>
      </c>
      <c r="F86">
        <v>401</v>
      </c>
      <c r="G86">
        <v>0</v>
      </c>
      <c r="H86">
        <v>0</v>
      </c>
      <c r="I86">
        <v>0</v>
      </c>
      <c r="J86">
        <v>0</v>
      </c>
      <c r="K86" s="23">
        <f>IF(Tableau1[[#This Row],[Quantité (H)]]=0,0,Tableau1[[#This Row],[Gasoil (L)]]/Tableau1[[#This Row],[Quantité (H)]])</f>
        <v>0</v>
      </c>
      <c r="L86" s="23">
        <v>58.168362627196998</v>
      </c>
      <c r="M86" s="23">
        <v>33740</v>
      </c>
      <c r="N86" s="23">
        <v>0</v>
      </c>
      <c r="O86" s="23">
        <f>Tableau1[[#This Row],[Productivité]]-Tableau1[[#This Row],[ les Charges]]</f>
        <v>-33740</v>
      </c>
      <c r="R86" s="23">
        <f>VLOOKUP(Tableau1[[#This Row],[Code]],$V$3:$Z$157,4,)</f>
        <v>26240</v>
      </c>
      <c r="S86" s="23">
        <f>VLOOKUP(Tableau1[[#This Row],[Code]],$V$3:$Z$157,5,)</f>
        <v>-7906.1699999999983</v>
      </c>
    </row>
    <row r="87" spans="1:26" hidden="1" x14ac:dyDescent="0.25">
      <c r="A87" s="13">
        <v>44255</v>
      </c>
      <c r="B87" t="s">
        <v>80</v>
      </c>
      <c r="C87" t="s">
        <v>85</v>
      </c>
      <c r="D87" s="65" t="s">
        <v>57</v>
      </c>
      <c r="E87" s="3">
        <v>0</v>
      </c>
      <c r="F87">
        <v>1064</v>
      </c>
      <c r="G87">
        <v>0</v>
      </c>
      <c r="H87">
        <v>0</v>
      </c>
      <c r="I87">
        <v>0</v>
      </c>
      <c r="J87">
        <v>0</v>
      </c>
      <c r="K87" s="23">
        <f>IF(Tableau1[[#This Row],[Quantité (H)]]=0,0,Tableau1[[#This Row],[Gasoil (L)]]/Tableau1[[#This Row],[Quantité (H)]])</f>
        <v>0</v>
      </c>
      <c r="L87" s="23">
        <v>58.168362627196998</v>
      </c>
      <c r="O87" s="23">
        <f>Tableau1[[#This Row],[Productivité]]-Tableau1[[#This Row],[ les Charges]]</f>
        <v>0</v>
      </c>
      <c r="R87" s="23">
        <f>VLOOKUP(Tableau1[[#This Row],[Code]],$V$3:$Z$157,4,)</f>
        <v>26240</v>
      </c>
      <c r="S87" s="23">
        <f>VLOOKUP(Tableau1[[#This Row],[Code]],$V$3:$Z$157,5,)</f>
        <v>-7906.1699999999983</v>
      </c>
    </row>
    <row r="88" spans="1:26" hidden="1" x14ac:dyDescent="0.25">
      <c r="A88" s="13">
        <v>44255</v>
      </c>
      <c r="B88" t="s">
        <v>82</v>
      </c>
      <c r="C88" t="s">
        <v>85</v>
      </c>
      <c r="D88" t="s">
        <v>57</v>
      </c>
      <c r="E88" s="3">
        <v>0</v>
      </c>
      <c r="F88">
        <v>602</v>
      </c>
      <c r="G88">
        <v>0</v>
      </c>
      <c r="H88">
        <v>0</v>
      </c>
      <c r="I88">
        <v>0</v>
      </c>
      <c r="J88">
        <v>0</v>
      </c>
      <c r="K88" s="23">
        <f>IF(Tableau1[[#This Row],[Quantité (H)]]=0,0,Tableau1[[#This Row],[Gasoil (L)]]/Tableau1[[#This Row],[Quantité (H)]])</f>
        <v>0</v>
      </c>
      <c r="L88" s="23">
        <v>58.168362627196998</v>
      </c>
      <c r="O88" s="23">
        <f>Tableau1[[#This Row],[Productivité]]-Tableau1[[#This Row],[ les Charges]]</f>
        <v>0</v>
      </c>
      <c r="R88" s="23">
        <f>VLOOKUP(Tableau1[[#This Row],[Code]],$V$3:$Z$157,4,)</f>
        <v>26240</v>
      </c>
      <c r="S88" s="23">
        <f>VLOOKUP(Tableau1[[#This Row],[Code]],$V$3:$Z$157,5,)</f>
        <v>-7906.1699999999983</v>
      </c>
    </row>
    <row r="89" spans="1:26" hidden="1" x14ac:dyDescent="0.25">
      <c r="A89" s="13">
        <v>44255</v>
      </c>
      <c r="B89" t="s">
        <v>83</v>
      </c>
      <c r="C89" t="s">
        <v>85</v>
      </c>
      <c r="D89" t="s">
        <v>57</v>
      </c>
      <c r="E89" s="3">
        <v>0</v>
      </c>
      <c r="F89">
        <v>1077</v>
      </c>
      <c r="G89">
        <v>0</v>
      </c>
      <c r="H89">
        <v>0</v>
      </c>
      <c r="I89">
        <v>0</v>
      </c>
      <c r="J89">
        <v>0</v>
      </c>
      <c r="K89" s="23">
        <f>IF(Tableau1[[#This Row],[Quantité (H)]]=0,0,Tableau1[[#This Row],[Gasoil (L)]]/Tableau1[[#This Row],[Quantité (H)]])</f>
        <v>0</v>
      </c>
      <c r="L89" s="23">
        <v>58.168362627196998</v>
      </c>
      <c r="O89" s="23">
        <f>Tableau1[[#This Row],[Productivité]]-Tableau1[[#This Row],[ les Charges]]</f>
        <v>0</v>
      </c>
      <c r="R89" s="23">
        <f>VLOOKUP(Tableau1[[#This Row],[Code]],$V$3:$Z$157,4,)</f>
        <v>26240</v>
      </c>
      <c r="S89" s="23">
        <f>VLOOKUP(Tableau1[[#This Row],[Code]],$V$3:$Z$157,5,)</f>
        <v>-7906.1699999999983</v>
      </c>
    </row>
    <row r="90" spans="1:26" hidden="1" x14ac:dyDescent="0.25">
      <c r="A90" s="13">
        <v>44255</v>
      </c>
      <c r="B90" t="s">
        <v>80</v>
      </c>
      <c r="C90" t="s">
        <v>85</v>
      </c>
      <c r="D90" t="s">
        <v>55</v>
      </c>
      <c r="E90" s="3">
        <v>49</v>
      </c>
      <c r="F90">
        <v>448</v>
      </c>
      <c r="G90">
        <v>0</v>
      </c>
      <c r="H90">
        <v>0</v>
      </c>
      <c r="I90">
        <v>0</v>
      </c>
      <c r="J90">
        <v>0</v>
      </c>
      <c r="K90" s="23">
        <f>IF(Tableau1[[#This Row],[Quantité (H)]]=0,0,Tableau1[[#This Row],[Gasoil (L)]]/Tableau1[[#This Row],[Quantité (H)]])</f>
        <v>9.1428571428571423</v>
      </c>
      <c r="L90" s="23">
        <v>37</v>
      </c>
      <c r="O90" s="23">
        <f>Tableau1[[#This Row],[Productivité]]-Tableau1[[#This Row],[ les Charges]]</f>
        <v>0</v>
      </c>
      <c r="R90" s="23">
        <f>VLOOKUP(Tableau1[[#This Row],[Code]],$V$3:$Z$157,4,)</f>
        <v>32480</v>
      </c>
      <c r="S90" s="23">
        <f>VLOOKUP(Tableau1[[#This Row],[Code]],$V$3:$Z$157,5,)</f>
        <v>27150</v>
      </c>
    </row>
    <row r="91" spans="1:26" hidden="1" x14ac:dyDescent="0.25">
      <c r="A91" s="13">
        <v>44255</v>
      </c>
      <c r="B91" t="s">
        <v>79</v>
      </c>
      <c r="C91" t="s">
        <v>85</v>
      </c>
      <c r="D91" t="s">
        <v>55</v>
      </c>
      <c r="E91" s="3">
        <v>65</v>
      </c>
      <c r="F91">
        <v>184</v>
      </c>
      <c r="G91">
        <v>0</v>
      </c>
      <c r="H91">
        <v>0</v>
      </c>
      <c r="I91">
        <v>0</v>
      </c>
      <c r="J91">
        <v>0</v>
      </c>
      <c r="K91" s="23">
        <f>IF(Tableau1[[#This Row],[Quantité (H)]]=0,0,Tableau1[[#This Row],[Gasoil (L)]]/Tableau1[[#This Row],[Quantité (H)]])</f>
        <v>2.8307692307692309</v>
      </c>
      <c r="L91" s="23">
        <v>37</v>
      </c>
      <c r="M91" s="23">
        <v>6320</v>
      </c>
      <c r="N91" s="23">
        <v>34200</v>
      </c>
      <c r="O91" s="23">
        <f>Tableau1[[#This Row],[Productivité]]-Tableau1[[#This Row],[ les Charges]]</f>
        <v>27880</v>
      </c>
      <c r="R91" s="23">
        <f>VLOOKUP(Tableau1[[#This Row],[Code]],$V$3:$Z$157,4,)</f>
        <v>32480</v>
      </c>
      <c r="S91" s="23">
        <f>VLOOKUP(Tableau1[[#This Row],[Code]],$V$3:$Z$157,5,)</f>
        <v>27150</v>
      </c>
    </row>
    <row r="92" spans="1:26" hidden="1" x14ac:dyDescent="0.25">
      <c r="A92" s="13">
        <v>44255</v>
      </c>
      <c r="B92" t="s">
        <v>82</v>
      </c>
      <c r="C92" t="s">
        <v>85</v>
      </c>
      <c r="D92" t="s">
        <v>52</v>
      </c>
      <c r="E92" s="3">
        <v>22</v>
      </c>
      <c r="F92">
        <v>125</v>
      </c>
      <c r="G92">
        <v>0</v>
      </c>
      <c r="H92">
        <v>0</v>
      </c>
      <c r="I92">
        <v>0</v>
      </c>
      <c r="J92">
        <v>0</v>
      </c>
      <c r="K92" s="23">
        <f>IF(Tableau1[[#This Row],[Quantité (H)]]=0,0,Tableau1[[#This Row],[Gasoil (L)]]/Tableau1[[#This Row],[Quantité (H)]])</f>
        <v>5.6818181818181817</v>
      </c>
      <c r="L92" s="23">
        <v>286</v>
      </c>
      <c r="O92" s="23">
        <f>Tableau1[[#This Row],[Productivité]]-Tableau1[[#This Row],[ les Charges]]</f>
        <v>0</v>
      </c>
      <c r="R92" s="23">
        <f>VLOOKUP(Tableau1[[#This Row],[Code]],$V$3:$Z$157,4,)</f>
        <v>16825</v>
      </c>
      <c r="S92" s="23">
        <f>VLOOKUP(Tableau1[[#This Row],[Code]],$V$3:$Z$157,5,)</f>
        <v>14365</v>
      </c>
    </row>
    <row r="93" spans="1:26" hidden="1" x14ac:dyDescent="0.25">
      <c r="A93" s="13">
        <v>44255</v>
      </c>
      <c r="B93" t="s">
        <v>80</v>
      </c>
      <c r="C93" t="s">
        <v>85</v>
      </c>
      <c r="D93" t="s">
        <v>52</v>
      </c>
      <c r="E93" s="3">
        <v>19</v>
      </c>
      <c r="F93">
        <v>161</v>
      </c>
      <c r="G93">
        <v>0</v>
      </c>
      <c r="H93">
        <v>0</v>
      </c>
      <c r="I93">
        <v>0</v>
      </c>
      <c r="J93">
        <v>4</v>
      </c>
      <c r="K93" s="23">
        <f>IF(Tableau1[[#This Row],[Quantité (H)]]=0,0,Tableau1[[#This Row],[Gasoil (L)]]/Tableau1[[#This Row],[Quantité (H)]])</f>
        <v>8.473684210526315</v>
      </c>
      <c r="L93" s="23">
        <v>286</v>
      </c>
      <c r="M93" s="23">
        <v>3850</v>
      </c>
      <c r="N93" s="23">
        <v>12300</v>
      </c>
      <c r="O93" s="23">
        <f>Tableau1[[#This Row],[Productivité]]-Tableau1[[#This Row],[ les Charges]]</f>
        <v>8450</v>
      </c>
      <c r="R93" s="23">
        <f>VLOOKUP(Tableau1[[#This Row],[Code]],$V$3:$Z$157,4,)</f>
        <v>16825</v>
      </c>
      <c r="S93" s="23">
        <f>VLOOKUP(Tableau1[[#This Row],[Code]],$V$3:$Z$157,5,)</f>
        <v>14365</v>
      </c>
    </row>
    <row r="94" spans="1:26" hidden="1" x14ac:dyDescent="0.25">
      <c r="A94" s="13">
        <v>44255</v>
      </c>
      <c r="B94" t="s">
        <v>82</v>
      </c>
      <c r="C94" t="s">
        <v>42</v>
      </c>
      <c r="D94" t="s">
        <v>28</v>
      </c>
      <c r="E94" s="65">
        <v>7</v>
      </c>
      <c r="F94">
        <v>50</v>
      </c>
      <c r="G94">
        <v>0</v>
      </c>
      <c r="H94">
        <v>0</v>
      </c>
      <c r="I94">
        <v>0</v>
      </c>
      <c r="J94">
        <v>0</v>
      </c>
      <c r="K94" s="23">
        <f>IF(Tableau1[[#This Row],[Quantité (H)]]=0,0,Tableau1[[#This Row],[Gasoil (L)]]/Tableau1[[#This Row],[Quantité (H)]])</f>
        <v>7.1428571428571432</v>
      </c>
      <c r="O94" s="23">
        <f>Tableau1[[#This Row],[Productivité]]-Tableau1[[#This Row],[ les Charges]]</f>
        <v>0</v>
      </c>
      <c r="R94" s="23">
        <f>VLOOKUP(Tableau1[[#This Row],[Code]],$V$3:$Z$157,4,)</f>
        <v>61200</v>
      </c>
      <c r="S94" s="23">
        <f>VLOOKUP(Tableau1[[#This Row],[Code]],$V$3:$Z$157,5,)</f>
        <v>36270</v>
      </c>
    </row>
    <row r="95" spans="1:26" hidden="1" x14ac:dyDescent="0.25">
      <c r="A95" s="13">
        <v>44255</v>
      </c>
      <c r="B95" t="s">
        <v>79</v>
      </c>
      <c r="C95" t="s">
        <v>42</v>
      </c>
      <c r="D95" t="s">
        <v>28</v>
      </c>
      <c r="E95" s="65">
        <v>156</v>
      </c>
      <c r="F95">
        <v>456</v>
      </c>
      <c r="G95">
        <v>0</v>
      </c>
      <c r="H95">
        <v>0</v>
      </c>
      <c r="I95">
        <v>0</v>
      </c>
      <c r="J95">
        <v>0</v>
      </c>
      <c r="K95" s="23">
        <f>IF(Tableau1[[#This Row],[Quantité (H)]]=0,0,Tableau1[[#This Row],[Gasoil (L)]]/Tableau1[[#This Row],[Quantité (H)]])</f>
        <v>2.9230769230769229</v>
      </c>
      <c r="M95" s="23">
        <v>9023</v>
      </c>
      <c r="N95" s="23">
        <v>57955.555555555555</v>
      </c>
      <c r="O95" s="23">
        <f>Tableau1[[#This Row],[Productivité]]-Tableau1[[#This Row],[ les Charges]]</f>
        <v>48932.555555555555</v>
      </c>
      <c r="R95" s="23">
        <f>VLOOKUP(Tableau1[[#This Row],[Code]],$V$3:$Z$157,4,)</f>
        <v>61200</v>
      </c>
      <c r="S95" s="23">
        <f>VLOOKUP(Tableau1[[#This Row],[Code]],$V$3:$Z$157,5,)</f>
        <v>36270</v>
      </c>
    </row>
    <row r="96" spans="1:26" hidden="1" x14ac:dyDescent="0.25">
      <c r="A96" s="13">
        <v>44255</v>
      </c>
      <c r="B96" t="s">
        <v>79</v>
      </c>
      <c r="C96" t="s">
        <v>42</v>
      </c>
      <c r="D96" t="s">
        <v>29</v>
      </c>
      <c r="E96" s="65">
        <v>119</v>
      </c>
      <c r="F96">
        <v>699</v>
      </c>
      <c r="G96">
        <v>10</v>
      </c>
      <c r="H96">
        <v>0</v>
      </c>
      <c r="I96">
        <v>25</v>
      </c>
      <c r="J96">
        <v>3</v>
      </c>
      <c r="K96" s="23">
        <f>IF(Tableau1[[#This Row],[Quantité (H)]]=0,0,Tableau1[[#This Row],[Gasoil (L)]]/Tableau1[[#This Row],[Quantité (H)]])</f>
        <v>5.8739495798319323</v>
      </c>
      <c r="M96" s="23">
        <v>10580</v>
      </c>
      <c r="N96" s="23">
        <v>42311.111111111109</v>
      </c>
      <c r="O96" s="23">
        <f>Tableau1[[#This Row],[Productivité]]-Tableau1[[#This Row],[ les Charges]]</f>
        <v>31731.111111111109</v>
      </c>
      <c r="R96" s="23">
        <f>VLOOKUP(Tableau1[[#This Row],[Code]],$V$3:$Z$157,4,)</f>
        <v>79800</v>
      </c>
      <c r="S96" s="23">
        <f>VLOOKUP(Tableau1[[#This Row],[Code]],$V$3:$Z$157,5,)</f>
        <v>67812.800000000003</v>
      </c>
    </row>
    <row r="97" spans="1:19" hidden="1" x14ac:dyDescent="0.25">
      <c r="A97" s="13">
        <v>44255</v>
      </c>
      <c r="B97" t="s">
        <v>79</v>
      </c>
      <c r="C97" t="s">
        <v>42</v>
      </c>
      <c r="D97" t="s">
        <v>94</v>
      </c>
      <c r="E97">
        <v>0.5</v>
      </c>
      <c r="F97">
        <v>20</v>
      </c>
      <c r="G97">
        <v>0</v>
      </c>
      <c r="H97">
        <v>0</v>
      </c>
      <c r="I97">
        <v>0</v>
      </c>
      <c r="J97">
        <v>0</v>
      </c>
      <c r="K97" s="23">
        <f>IF(Tableau1[[#This Row],[Quantité (H)]]=0,0,Tableau1[[#This Row],[Gasoil (L)]]/Tableau1[[#This Row],[Quantité (H)]])</f>
        <v>40</v>
      </c>
      <c r="O97" s="23">
        <f>Tableau1[[#This Row],[Productivité]]-Tableau1[[#This Row],[ les Charges]]</f>
        <v>0</v>
      </c>
      <c r="R97" s="23">
        <f>VLOOKUP(Tableau1[[#This Row],[Code]],$V$3:$Z$157,4,)</f>
        <v>59660</v>
      </c>
      <c r="S97" s="23">
        <f>VLOOKUP(Tableau1[[#This Row],[Code]],$V$3:$Z$157,5,)</f>
        <v>39448.35</v>
      </c>
    </row>
    <row r="98" spans="1:19" hidden="1" x14ac:dyDescent="0.25">
      <c r="A98" s="13">
        <v>44255</v>
      </c>
      <c r="B98" t="s">
        <v>79</v>
      </c>
      <c r="C98" t="s">
        <v>173</v>
      </c>
      <c r="D98" t="s">
        <v>36</v>
      </c>
      <c r="E98" s="65">
        <v>17</v>
      </c>
      <c r="F98">
        <v>423</v>
      </c>
      <c r="G98">
        <v>0</v>
      </c>
      <c r="H98">
        <v>0</v>
      </c>
      <c r="I98">
        <v>25</v>
      </c>
      <c r="J98">
        <v>8</v>
      </c>
      <c r="K98" s="23">
        <f>IF(Tableau1[[#This Row],[Quantité (H)]]=0,0,Tableau1[[#This Row],[Gasoil (L)]]/Tableau1[[#This Row],[Quantité (H)]])</f>
        <v>24.882352941176471</v>
      </c>
      <c r="M98" s="23">
        <v>5785</v>
      </c>
      <c r="N98" s="23">
        <v>21722.222222222223</v>
      </c>
      <c r="O98" s="23">
        <f>Tableau1[[#This Row],[Productivité]]-Tableau1[[#This Row],[ les Charges]]</f>
        <v>15937.222222222223</v>
      </c>
      <c r="R98" s="23">
        <f>VLOOKUP(Tableau1[[#This Row],[Code]],$V$3:$Z$157,4,)</f>
        <v>157950</v>
      </c>
      <c r="S98" s="23">
        <f>VLOOKUP(Tableau1[[#This Row],[Code]],$V$3:$Z$157,5,)</f>
        <v>142665.5</v>
      </c>
    </row>
    <row r="99" spans="1:19" hidden="1" x14ac:dyDescent="0.25">
      <c r="A99" s="13">
        <v>44255</v>
      </c>
      <c r="B99" t="s">
        <v>80</v>
      </c>
      <c r="C99" t="s">
        <v>85</v>
      </c>
      <c r="D99" t="s">
        <v>51</v>
      </c>
      <c r="E99" s="65">
        <v>0</v>
      </c>
      <c r="F99">
        <v>10</v>
      </c>
      <c r="G99">
        <v>0</v>
      </c>
      <c r="H99">
        <v>0</v>
      </c>
      <c r="I99">
        <v>0</v>
      </c>
      <c r="J99">
        <v>0</v>
      </c>
      <c r="K99" s="23">
        <f>IF(Tableau1[[#This Row],[Quantité (H)]]=0,0,Tableau1[[#This Row],[Gasoil (L)]]/Tableau1[[#This Row],[Quantité (H)]])</f>
        <v>0</v>
      </c>
      <c r="M99" s="23">
        <v>290</v>
      </c>
      <c r="N99" s="23">
        <v>0</v>
      </c>
      <c r="O99" s="23">
        <f>Tableau1[[#This Row],[Productivité]]-Tableau1[[#This Row],[ les Charges]]</f>
        <v>-290</v>
      </c>
      <c r="R99" s="23">
        <f>VLOOKUP(Tableau1[[#This Row],[Code]],$V$3:$Z$157,4,)</f>
        <v>20825</v>
      </c>
      <c r="S99" s="23">
        <f>VLOOKUP(Tableau1[[#This Row],[Code]],$V$3:$Z$157,5,)</f>
        <v>12880</v>
      </c>
    </row>
    <row r="100" spans="1:19" hidden="1" x14ac:dyDescent="0.25">
      <c r="A100" s="13">
        <v>44255</v>
      </c>
      <c r="B100" t="s">
        <v>79</v>
      </c>
      <c r="C100" t="s">
        <v>175</v>
      </c>
      <c r="D100" s="65" t="s">
        <v>30</v>
      </c>
      <c r="E100" s="3">
        <v>19</v>
      </c>
      <c r="F100">
        <v>160</v>
      </c>
      <c r="G100">
        <v>0</v>
      </c>
      <c r="H100">
        <v>0</v>
      </c>
      <c r="I100">
        <v>0</v>
      </c>
      <c r="J100">
        <v>8</v>
      </c>
      <c r="K100" s="23">
        <f>IF(Tableau1[[#This Row],[Quantité (H)]]=0,0,Tableau1[[#This Row],[Gasoil (L)]]/Tableau1[[#This Row],[Quantité (H)]])</f>
        <v>8.4210526315789469</v>
      </c>
      <c r="M100" s="23">
        <v>1880</v>
      </c>
      <c r="N100" s="23">
        <v>13722.222222222221</v>
      </c>
      <c r="O100" s="23">
        <f>Tableau1[[#This Row],[Productivité]]-Tableau1[[#This Row],[ les Charges]]</f>
        <v>11842.222222222221</v>
      </c>
      <c r="R100" s="23">
        <f>VLOOKUP(Tableau1[[#This Row],[Code]],$V$3:$Z$157,4,)</f>
        <v>125425</v>
      </c>
      <c r="S100" s="23">
        <f>VLOOKUP(Tableau1[[#This Row],[Code]],$V$3:$Z$157,5,)</f>
        <v>124585</v>
      </c>
    </row>
    <row r="101" spans="1:19" hidden="1" x14ac:dyDescent="0.25">
      <c r="A101" s="13">
        <v>44255</v>
      </c>
      <c r="B101" t="s">
        <v>80</v>
      </c>
      <c r="C101" t="s">
        <v>195</v>
      </c>
      <c r="D101" t="s">
        <v>38</v>
      </c>
      <c r="E101" s="65">
        <v>93</v>
      </c>
      <c r="F101">
        <v>3045</v>
      </c>
      <c r="G101">
        <v>157</v>
      </c>
      <c r="H101">
        <v>25</v>
      </c>
      <c r="I101">
        <v>25</v>
      </c>
      <c r="J101">
        <v>26</v>
      </c>
      <c r="K101" s="23">
        <f>IF(Tableau1[[#This Row],[Quantité (H)]]=0,0,Tableau1[[#This Row],[Gasoil (L)]]/Tableau1[[#This Row],[Quantité (H)]])</f>
        <v>32.741935483870968</v>
      </c>
      <c r="M101" s="23">
        <v>40205</v>
      </c>
      <c r="N101" s="23">
        <v>118833.33333333334</v>
      </c>
      <c r="O101" s="23">
        <f>Tableau1[[#This Row],[Productivité]]-Tableau1[[#This Row],[ les Charges]]</f>
        <v>78628.333333333343</v>
      </c>
      <c r="R101" s="23">
        <f>VLOOKUP(Tableau1[[#This Row],[Code]],$V$3:$Z$157,4,)</f>
        <v>197800</v>
      </c>
      <c r="S101" s="23">
        <f>VLOOKUP(Tableau1[[#This Row],[Code]],$V$3:$Z$157,5,)</f>
        <v>151683.24</v>
      </c>
    </row>
    <row r="102" spans="1:19" hidden="1" x14ac:dyDescent="0.25">
      <c r="A102" s="13">
        <v>44255</v>
      </c>
      <c r="B102" t="s">
        <v>80</v>
      </c>
      <c r="C102" t="s">
        <v>39</v>
      </c>
      <c r="D102" t="s">
        <v>11</v>
      </c>
      <c r="E102" s="65">
        <v>0</v>
      </c>
      <c r="F102">
        <v>24</v>
      </c>
      <c r="G102">
        <v>65</v>
      </c>
      <c r="H102">
        <v>0</v>
      </c>
      <c r="I102">
        <v>0</v>
      </c>
      <c r="J102">
        <v>0</v>
      </c>
      <c r="K102" s="23">
        <f>IF(Tableau1[[#This Row],[Quantité (H)]]=0,0,Tableau1[[#This Row],[Gasoil (L)]]/Tableau1[[#This Row],[Quantité (H)]])</f>
        <v>0</v>
      </c>
      <c r="M102" s="23">
        <v>2450</v>
      </c>
      <c r="N102" s="23">
        <v>0</v>
      </c>
      <c r="O102" s="23">
        <f>Tableau1[[#This Row],[Productivité]]-Tableau1[[#This Row],[ les Charges]]</f>
        <v>-2450</v>
      </c>
      <c r="R102" s="23">
        <f>VLOOKUP(Tableau1[[#This Row],[Code]],$V$3:$Z$157,4,)</f>
        <v>47500</v>
      </c>
      <c r="S102" s="23">
        <f>VLOOKUP(Tableau1[[#This Row],[Code]],$V$3:$Z$157,5,)</f>
        <v>30180.01</v>
      </c>
    </row>
    <row r="103" spans="1:19" hidden="1" x14ac:dyDescent="0.25">
      <c r="A103" s="13">
        <v>44255</v>
      </c>
      <c r="B103" t="s">
        <v>83</v>
      </c>
      <c r="C103" t="s">
        <v>39</v>
      </c>
      <c r="D103" t="s">
        <v>13</v>
      </c>
      <c r="E103" s="3">
        <v>125.5</v>
      </c>
      <c r="F103">
        <v>1243</v>
      </c>
      <c r="G103">
        <v>31</v>
      </c>
      <c r="H103">
        <v>0</v>
      </c>
      <c r="I103">
        <v>0</v>
      </c>
      <c r="J103">
        <v>3</v>
      </c>
      <c r="K103" s="23">
        <f>IF(Tableau1[[#This Row],[Quantité (H)]]=0,0,Tableau1[[#This Row],[Gasoil (L)]]/Tableau1[[#This Row],[Quantité (H)]])</f>
        <v>9.904382470119522</v>
      </c>
      <c r="O103" s="23">
        <f>Tableau1[[#This Row],[Productivité]]-Tableau1[[#This Row],[ les Charges]]</f>
        <v>0</v>
      </c>
      <c r="R103" s="23">
        <f>VLOOKUP(Tableau1[[#This Row],[Code]],$V$3:$Z$157,4,)</f>
        <v>60400</v>
      </c>
      <c r="S103" s="23">
        <f>VLOOKUP(Tableau1[[#This Row],[Code]],$V$3:$Z$157,5,)</f>
        <v>54930</v>
      </c>
    </row>
    <row r="104" spans="1:19" hidden="1" x14ac:dyDescent="0.25">
      <c r="A104" s="13">
        <v>44255</v>
      </c>
      <c r="B104" t="s">
        <v>82</v>
      </c>
      <c r="C104" t="s">
        <v>39</v>
      </c>
      <c r="D104" t="s">
        <v>13</v>
      </c>
      <c r="E104" s="3">
        <v>14</v>
      </c>
      <c r="F104">
        <v>147</v>
      </c>
      <c r="G104">
        <v>0</v>
      </c>
      <c r="H104">
        <v>0</v>
      </c>
      <c r="I104">
        <v>0</v>
      </c>
      <c r="J104">
        <v>3</v>
      </c>
      <c r="K104" s="23">
        <f>IF(Tableau1[[#This Row],[Quantité (H)]]=0,0,Tableau1[[#This Row],[Gasoil (L)]]/Tableau1[[#This Row],[Quantité (H)]])</f>
        <v>10.5</v>
      </c>
      <c r="M104" s="23">
        <v>16742</v>
      </c>
      <c r="N104" s="23">
        <v>56575</v>
      </c>
      <c r="O104" s="23">
        <f>Tableau1[[#This Row],[Productivité]]-Tableau1[[#This Row],[ les Charges]]</f>
        <v>39833</v>
      </c>
      <c r="R104" s="23">
        <f>VLOOKUP(Tableau1[[#This Row],[Code]],$V$3:$Z$157,4,)</f>
        <v>60400</v>
      </c>
      <c r="S104" s="23">
        <f>VLOOKUP(Tableau1[[#This Row],[Code]],$V$3:$Z$157,5,)</f>
        <v>54930</v>
      </c>
    </row>
    <row r="105" spans="1:19" hidden="1" x14ac:dyDescent="0.25">
      <c r="A105" s="13">
        <v>44255</v>
      </c>
      <c r="B105" t="s">
        <v>80</v>
      </c>
      <c r="C105" t="s">
        <v>39</v>
      </c>
      <c r="D105" t="s">
        <v>14</v>
      </c>
      <c r="E105" s="65">
        <v>81</v>
      </c>
      <c r="F105">
        <v>1679</v>
      </c>
      <c r="G105">
        <v>0</v>
      </c>
      <c r="H105">
        <v>0</v>
      </c>
      <c r="I105">
        <v>5</v>
      </c>
      <c r="J105">
        <v>0</v>
      </c>
      <c r="K105" s="23">
        <f>IF(Tableau1[[#This Row],[Quantité (H)]]=0,0,Tableau1[[#This Row],[Gasoil (L)]]/Tableau1[[#This Row],[Quantité (H)]])</f>
        <v>20.728395061728396</v>
      </c>
      <c r="M105" s="23">
        <v>19479</v>
      </c>
      <c r="N105" s="23">
        <v>32850</v>
      </c>
      <c r="O105" s="23">
        <f>Tableau1[[#This Row],[Productivité]]-Tableau1[[#This Row],[ les Charges]]</f>
        <v>13371</v>
      </c>
      <c r="R105" s="23">
        <f>VLOOKUP(Tableau1[[#This Row],[Code]],$V$3:$Z$157,4,)</f>
        <v>51000</v>
      </c>
      <c r="S105" s="23">
        <f>VLOOKUP(Tableau1[[#This Row],[Code]],$V$3:$Z$157,5,)</f>
        <v>30047.599999999999</v>
      </c>
    </row>
    <row r="106" spans="1:19" hidden="1" x14ac:dyDescent="0.25">
      <c r="A106" s="13">
        <v>44255</v>
      </c>
      <c r="B106" t="s">
        <v>84</v>
      </c>
      <c r="C106" t="s">
        <v>41</v>
      </c>
      <c r="D106" t="s">
        <v>20</v>
      </c>
      <c r="E106" s="65">
        <v>0</v>
      </c>
      <c r="F106">
        <v>0</v>
      </c>
      <c r="G106">
        <v>0</v>
      </c>
      <c r="H106">
        <v>0</v>
      </c>
      <c r="I106">
        <v>0</v>
      </c>
      <c r="J106">
        <v>9</v>
      </c>
      <c r="K106" s="23">
        <f>IF(Tableau1[[#This Row],[Quantité (H)]]=0,0,Tableau1[[#This Row],[Gasoil (L)]]/Tableau1[[#This Row],[Quantité (H)]])</f>
        <v>0</v>
      </c>
      <c r="O106" s="23">
        <f>Tableau1[[#This Row],[Productivité]]-Tableau1[[#This Row],[ les Charges]]</f>
        <v>0</v>
      </c>
      <c r="R106" s="23">
        <f>VLOOKUP(Tableau1[[#This Row],[Code]],$V$3:$Z$157,4,)</f>
        <v>63000</v>
      </c>
      <c r="S106" s="23">
        <f>VLOOKUP(Tableau1[[#This Row],[Code]],$V$3:$Z$157,5,)</f>
        <v>27974.190000000002</v>
      </c>
    </row>
    <row r="107" spans="1:19" hidden="1" x14ac:dyDescent="0.25">
      <c r="A107" s="13">
        <v>44255</v>
      </c>
      <c r="B107" t="s">
        <v>79</v>
      </c>
      <c r="C107" t="s">
        <v>41</v>
      </c>
      <c r="D107" t="s">
        <v>20</v>
      </c>
      <c r="E107" s="65">
        <v>9</v>
      </c>
      <c r="F107">
        <v>169</v>
      </c>
      <c r="G107">
        <v>0</v>
      </c>
      <c r="H107">
        <v>0</v>
      </c>
      <c r="I107">
        <v>30</v>
      </c>
      <c r="J107">
        <v>5</v>
      </c>
      <c r="K107" s="23">
        <f>IF(Tableau1[[#This Row],[Quantité (H)]]=0,0,Tableau1[[#This Row],[Gasoil (L)]]/Tableau1[[#This Row],[Quantité (H)]])</f>
        <v>18.777777777777779</v>
      </c>
      <c r="M107" s="23">
        <v>2885</v>
      </c>
      <c r="N107" s="23">
        <v>7300.0000000000082</v>
      </c>
      <c r="O107" s="23">
        <f>Tableau1[[#This Row],[Productivité]]-Tableau1[[#This Row],[ les Charges]]</f>
        <v>4415.0000000000082</v>
      </c>
      <c r="R107" s="23">
        <f>VLOOKUP(Tableau1[[#This Row],[Code]],$V$3:$Z$157,4,)</f>
        <v>63000</v>
      </c>
      <c r="S107" s="23">
        <f>VLOOKUP(Tableau1[[#This Row],[Code]],$V$3:$Z$157,5,)</f>
        <v>27974.190000000002</v>
      </c>
    </row>
    <row r="108" spans="1:19" hidden="1" x14ac:dyDescent="0.25">
      <c r="A108" s="13">
        <v>44255</v>
      </c>
      <c r="B108" t="s">
        <v>83</v>
      </c>
      <c r="C108" t="s">
        <v>41</v>
      </c>
      <c r="D108" t="s">
        <v>21</v>
      </c>
      <c r="E108" s="65">
        <v>114</v>
      </c>
      <c r="F108">
        <v>1607</v>
      </c>
      <c r="G108">
        <v>5</v>
      </c>
      <c r="H108">
        <v>0</v>
      </c>
      <c r="I108">
        <v>40</v>
      </c>
      <c r="J108">
        <v>3</v>
      </c>
      <c r="K108" s="23">
        <f>IF(Tableau1[[#This Row],[Quantité (H)]]=0,0,Tableau1[[#This Row],[Gasoil (L)]]/Tableau1[[#This Row],[Quantité (H)]])</f>
        <v>14.096491228070175</v>
      </c>
      <c r="O108" s="23">
        <f>Tableau1[[#This Row],[Productivité]]-Tableau1[[#This Row],[ les Charges]]</f>
        <v>0</v>
      </c>
      <c r="R108" s="23">
        <f>VLOOKUP(Tableau1[[#This Row],[Code]],$V$3:$Z$157,4,)</f>
        <v>62160</v>
      </c>
      <c r="S108" s="23">
        <f>VLOOKUP(Tableau1[[#This Row],[Code]],$V$3:$Z$157,5,)</f>
        <v>44278.34</v>
      </c>
    </row>
    <row r="109" spans="1:19" hidden="1" x14ac:dyDescent="0.25">
      <c r="A109" s="13">
        <v>44255</v>
      </c>
      <c r="B109" t="s">
        <v>80</v>
      </c>
      <c r="C109" t="s">
        <v>41</v>
      </c>
      <c r="D109" t="s">
        <v>21</v>
      </c>
      <c r="E109" s="65">
        <v>0</v>
      </c>
      <c r="F109">
        <v>0</v>
      </c>
      <c r="G109">
        <v>10</v>
      </c>
      <c r="H109">
        <v>0</v>
      </c>
      <c r="I109">
        <v>0</v>
      </c>
      <c r="J109">
        <v>0</v>
      </c>
      <c r="K109" s="23">
        <f>IF(Tableau1[[#This Row],[Quantité (H)]]=0,0,Tableau1[[#This Row],[Gasoil (L)]]/Tableau1[[#This Row],[Quantité (H)]])</f>
        <v>0</v>
      </c>
      <c r="M109" s="23">
        <v>18205</v>
      </c>
      <c r="N109" s="23">
        <v>46233.333333333328</v>
      </c>
      <c r="O109" s="23">
        <f>Tableau1[[#This Row],[Productivité]]-Tableau1[[#This Row],[ les Charges]]</f>
        <v>28028.333333333328</v>
      </c>
      <c r="R109" s="23">
        <f>VLOOKUP(Tableau1[[#This Row],[Code]],$V$3:$Z$157,4,)</f>
        <v>62160</v>
      </c>
      <c r="S109" s="23">
        <f>VLOOKUP(Tableau1[[#This Row],[Code]],$V$3:$Z$157,5,)</f>
        <v>44278.34</v>
      </c>
    </row>
    <row r="110" spans="1:19" hidden="1" x14ac:dyDescent="0.25">
      <c r="A110" s="13">
        <v>44255</v>
      </c>
      <c r="B110" t="s">
        <v>79</v>
      </c>
      <c r="C110" t="s">
        <v>41</v>
      </c>
      <c r="D110" t="s">
        <v>22</v>
      </c>
      <c r="E110" s="65">
        <v>148</v>
      </c>
      <c r="F110">
        <v>1941</v>
      </c>
      <c r="G110">
        <v>5</v>
      </c>
      <c r="H110">
        <v>0</v>
      </c>
      <c r="I110">
        <v>15</v>
      </c>
      <c r="J110">
        <v>8</v>
      </c>
      <c r="K110" s="23">
        <f>IF(Tableau1[[#This Row],[Quantité (H)]]=0,0,Tableau1[[#This Row],[Gasoil (L)]]/Tableau1[[#This Row],[Quantité (H)]])</f>
        <v>13.114864864864865</v>
      </c>
      <c r="M110" s="23">
        <v>22433</v>
      </c>
      <c r="N110" s="23">
        <v>64133.333333333278</v>
      </c>
      <c r="O110" s="23">
        <f>Tableau1[[#This Row],[Productivité]]-Tableau1[[#This Row],[ les Charges]]</f>
        <v>41700.333333333278</v>
      </c>
      <c r="R110" s="23">
        <f>VLOOKUP(Tableau1[[#This Row],[Code]],$V$3:$Z$157,4,)</f>
        <v>66780</v>
      </c>
      <c r="S110" s="23">
        <f>VLOOKUP(Tableau1[[#This Row],[Code]],$V$3:$Z$157,5,)</f>
        <v>53210</v>
      </c>
    </row>
    <row r="111" spans="1:19" hidden="1" x14ac:dyDescent="0.25">
      <c r="A111" s="13">
        <v>44255</v>
      </c>
      <c r="B111" t="s">
        <v>80</v>
      </c>
      <c r="C111" t="s">
        <v>41</v>
      </c>
      <c r="D111" t="s">
        <v>23</v>
      </c>
      <c r="E111" s="65">
        <v>170</v>
      </c>
      <c r="F111">
        <v>3779</v>
      </c>
      <c r="G111">
        <v>10</v>
      </c>
      <c r="H111">
        <v>0</v>
      </c>
      <c r="I111">
        <v>60</v>
      </c>
      <c r="J111">
        <v>22</v>
      </c>
      <c r="K111" s="23">
        <f>IF(Tableau1[[#This Row],[Quantité (H)]]=0,0,Tableau1[[#This Row],[Gasoil (L)]]/Tableau1[[#This Row],[Quantité (H)]])</f>
        <v>22.229411764705883</v>
      </c>
      <c r="M111" s="23">
        <v>46800</v>
      </c>
      <c r="N111" s="23">
        <v>73666.666666666599</v>
      </c>
      <c r="O111" s="23">
        <f>Tableau1[[#This Row],[Productivité]]-Tableau1[[#This Row],[ les Charges]]</f>
        <v>26866.666666666599</v>
      </c>
      <c r="R111" s="23">
        <f>VLOOKUP(Tableau1[[#This Row],[Code]],$V$3:$Z$157,4,)</f>
        <v>47460</v>
      </c>
      <c r="S111" s="23">
        <f>VLOOKUP(Tableau1[[#This Row],[Code]],$V$3:$Z$157,5,)</f>
        <v>10890</v>
      </c>
    </row>
    <row r="112" spans="1:19" hidden="1" x14ac:dyDescent="0.25">
      <c r="A112" s="13">
        <v>44255</v>
      </c>
      <c r="B112" t="s">
        <v>80</v>
      </c>
      <c r="C112" t="s">
        <v>41</v>
      </c>
      <c r="D112" t="s">
        <v>24</v>
      </c>
      <c r="E112" s="65">
        <v>224</v>
      </c>
      <c r="F112">
        <v>5680</v>
      </c>
      <c r="G112">
        <v>45</v>
      </c>
      <c r="H112">
        <v>0</v>
      </c>
      <c r="I112">
        <v>0</v>
      </c>
      <c r="J112">
        <v>5</v>
      </c>
      <c r="K112" s="23">
        <f>IF(Tableau1[[#This Row],[Quantité (H)]]=0,0,Tableau1[[#This Row],[Gasoil (L)]]/Tableau1[[#This Row],[Quantité (H)]])</f>
        <v>25.357142857142858</v>
      </c>
      <c r="M112" s="23">
        <v>58505</v>
      </c>
      <c r="N112" s="23">
        <v>97066.666666666584</v>
      </c>
      <c r="O112" s="23">
        <f>Tableau1[[#This Row],[Productivité]]-Tableau1[[#This Row],[ les Charges]]</f>
        <v>38561.666666666584</v>
      </c>
      <c r="R112" s="23">
        <f>VLOOKUP(Tableau1[[#This Row],[Code]],$V$3:$Z$157,4,)</f>
        <v>104580</v>
      </c>
      <c r="S112" s="23">
        <f>VLOOKUP(Tableau1[[#This Row],[Code]],$V$3:$Z$157,5,)</f>
        <v>40075</v>
      </c>
    </row>
    <row r="113" spans="1:19" hidden="1" x14ac:dyDescent="0.25">
      <c r="A113" s="13">
        <v>44255</v>
      </c>
      <c r="B113" t="s">
        <v>80</v>
      </c>
      <c r="C113" t="s">
        <v>41</v>
      </c>
      <c r="D113" t="s">
        <v>25</v>
      </c>
      <c r="E113" s="65">
        <v>182</v>
      </c>
      <c r="F113">
        <v>4459</v>
      </c>
      <c r="G113">
        <v>15</v>
      </c>
      <c r="H113">
        <v>0</v>
      </c>
      <c r="I113">
        <v>0</v>
      </c>
      <c r="J113">
        <v>20</v>
      </c>
      <c r="K113" s="23">
        <f>IF(Tableau1[[#This Row],[Quantité (H)]]=0,0,Tableau1[[#This Row],[Gasoil (L)]]/Tableau1[[#This Row],[Quantité (H)]])</f>
        <v>24.5</v>
      </c>
      <c r="M113" s="23">
        <v>46780</v>
      </c>
      <c r="N113" s="23">
        <v>78866.666666666657</v>
      </c>
      <c r="O113" s="23">
        <f>Tableau1[[#This Row],[Productivité]]-Tableau1[[#This Row],[ les Charges]]</f>
        <v>32086.666666666657</v>
      </c>
      <c r="R113" s="23">
        <f>VLOOKUP(Tableau1[[#This Row],[Code]],$V$3:$Z$157,4,)</f>
        <v>56280</v>
      </c>
      <c r="S113" s="23">
        <f>VLOOKUP(Tableau1[[#This Row],[Code]],$V$3:$Z$157,5,)</f>
        <v>18395.010000000002</v>
      </c>
    </row>
    <row r="114" spans="1:19" hidden="1" x14ac:dyDescent="0.25">
      <c r="A114" s="13">
        <v>44255</v>
      </c>
      <c r="B114" t="s">
        <v>80</v>
      </c>
      <c r="C114" t="s">
        <v>41</v>
      </c>
      <c r="D114" t="s">
        <v>26</v>
      </c>
      <c r="E114" s="65">
        <v>220</v>
      </c>
      <c r="F114">
        <v>7277</v>
      </c>
      <c r="G114">
        <v>5</v>
      </c>
      <c r="H114">
        <v>0</v>
      </c>
      <c r="I114">
        <v>20</v>
      </c>
      <c r="J114">
        <v>23</v>
      </c>
      <c r="K114" s="23">
        <f>IF(Tableau1[[#This Row],[Quantité (H)]]=0,0,Tableau1[[#This Row],[Gasoil (L)]]/Tableau1[[#This Row],[Quantité (H)]])</f>
        <v>33.077272727272728</v>
      </c>
      <c r="M114" s="23">
        <v>74425</v>
      </c>
      <c r="N114" s="23">
        <v>97777.777777777781</v>
      </c>
      <c r="O114" s="23">
        <f>Tableau1[[#This Row],[Productivité]]-Tableau1[[#This Row],[ les Charges]]</f>
        <v>23352.777777777781</v>
      </c>
      <c r="R114" s="23">
        <f>VLOOKUP(Tableau1[[#This Row],[Code]],$V$3:$Z$157,4,)</f>
        <v>96180</v>
      </c>
      <c r="S114" s="23">
        <f>VLOOKUP(Tableau1[[#This Row],[Code]],$V$3:$Z$157,5,)</f>
        <v>14650</v>
      </c>
    </row>
    <row r="115" spans="1:19" hidden="1" x14ac:dyDescent="0.25">
      <c r="A115" s="13">
        <v>44255</v>
      </c>
      <c r="B115" t="s">
        <v>83</v>
      </c>
      <c r="C115" t="s">
        <v>41</v>
      </c>
      <c r="D115" s="65" t="s">
        <v>27</v>
      </c>
      <c r="E115" s="65">
        <v>175</v>
      </c>
      <c r="F115">
        <v>1506</v>
      </c>
      <c r="G115">
        <v>20</v>
      </c>
      <c r="H115">
        <v>0</v>
      </c>
      <c r="I115">
        <v>33</v>
      </c>
      <c r="J115">
        <v>3</v>
      </c>
      <c r="K115" s="23">
        <f>IF(Tableau1[[#This Row],[Quantité (H)]]=0,0,Tableau1[[#This Row],[Gasoil (L)]]/Tableau1[[#This Row],[Quantité (H)]])</f>
        <v>8.605714285714285</v>
      </c>
      <c r="M115" s="23">
        <v>17699</v>
      </c>
      <c r="N115" s="23">
        <v>35972.222222222219</v>
      </c>
      <c r="O115" s="23">
        <f>Tableau1[[#This Row],[Productivité]]-Tableau1[[#This Row],[ les Charges]]</f>
        <v>18273.222222222219</v>
      </c>
      <c r="R115" s="23">
        <f>VLOOKUP(Tableau1[[#This Row],[Code]],$V$3:$Z$157,4,)</f>
        <v>30580</v>
      </c>
      <c r="S115" s="23">
        <f>VLOOKUP(Tableau1[[#This Row],[Code]],$V$3:$Z$157,5,)</f>
        <v>22670</v>
      </c>
    </row>
    <row r="116" spans="1:19" hidden="1" x14ac:dyDescent="0.25">
      <c r="A116" s="13">
        <v>44255</v>
      </c>
      <c r="B116" t="s">
        <v>80</v>
      </c>
      <c r="C116" t="s">
        <v>86</v>
      </c>
      <c r="D116" t="s">
        <v>58</v>
      </c>
      <c r="E116" s="3">
        <v>109</v>
      </c>
      <c r="F116">
        <v>110</v>
      </c>
      <c r="G116">
        <v>0</v>
      </c>
      <c r="H116">
        <v>0</v>
      </c>
      <c r="I116">
        <v>0</v>
      </c>
      <c r="J116">
        <v>0</v>
      </c>
      <c r="K116" s="23">
        <f>IF(Tableau1[[#This Row],[Quantité (H)]]=0,0,Tableau1[[#This Row],[Gasoil (L)]]/Tableau1[[#This Row],[Quantité (H)]])</f>
        <v>1.0091743119266054</v>
      </c>
      <c r="L116" s="23">
        <v>11.006825938566553</v>
      </c>
      <c r="O116" s="23">
        <f>Tableau1[[#This Row],[Productivité]]-Tableau1[[#This Row],[ les Charges]]</f>
        <v>0</v>
      </c>
      <c r="R116" s="23">
        <f>VLOOKUP(Tableau1[[#This Row],[Code]],$V$3:$Z$157,4,)</f>
        <v>12350</v>
      </c>
      <c r="S116" s="23">
        <f>VLOOKUP(Tableau1[[#This Row],[Code]],$V$3:$Z$157,5,)</f>
        <v>8370</v>
      </c>
    </row>
    <row r="117" spans="1:19" hidden="1" x14ac:dyDescent="0.25">
      <c r="A117" s="13">
        <v>44255</v>
      </c>
      <c r="B117" t="s">
        <v>82</v>
      </c>
      <c r="C117" t="s">
        <v>86</v>
      </c>
      <c r="D117" t="s">
        <v>58</v>
      </c>
      <c r="E117" s="3">
        <v>0</v>
      </c>
      <c r="F117">
        <v>83</v>
      </c>
      <c r="G117">
        <v>0</v>
      </c>
      <c r="H117">
        <v>0</v>
      </c>
      <c r="I117">
        <v>0</v>
      </c>
      <c r="J117">
        <v>0</v>
      </c>
      <c r="K117" s="23">
        <f>IF(Tableau1[[#This Row],[Quantité (H)]]=0,0,Tableau1[[#This Row],[Gasoil (L)]]/Tableau1[[#This Row],[Quantité (H)]])</f>
        <v>0</v>
      </c>
      <c r="L117" s="23">
        <v>11.006825938566553</v>
      </c>
      <c r="O117" s="23">
        <f>Tableau1[[#This Row],[Productivité]]-Tableau1[[#This Row],[ les Charges]]</f>
        <v>0</v>
      </c>
      <c r="R117" s="23">
        <f>VLOOKUP(Tableau1[[#This Row],[Code]],$V$3:$Z$157,4,)</f>
        <v>12350</v>
      </c>
      <c r="S117" s="23">
        <f>VLOOKUP(Tableau1[[#This Row],[Code]],$V$3:$Z$157,5,)</f>
        <v>8370</v>
      </c>
    </row>
    <row r="118" spans="1:19" hidden="1" x14ac:dyDescent="0.25">
      <c r="A118" s="13">
        <v>44255</v>
      </c>
      <c r="B118" t="s">
        <v>79</v>
      </c>
      <c r="C118" t="s">
        <v>86</v>
      </c>
      <c r="D118" t="s">
        <v>58</v>
      </c>
      <c r="E118" s="3">
        <v>2</v>
      </c>
      <c r="F118">
        <v>65</v>
      </c>
      <c r="G118">
        <v>0</v>
      </c>
      <c r="H118">
        <v>0</v>
      </c>
      <c r="I118">
        <v>0</v>
      </c>
      <c r="J118">
        <v>0</v>
      </c>
      <c r="K118" s="23">
        <f>IF(Tableau1[[#This Row],[Quantité (H)]]=0,0,Tableau1[[#This Row],[Gasoil (L)]]/Tableau1[[#This Row],[Quantité (H)]])</f>
        <v>32.5</v>
      </c>
      <c r="L118" s="23">
        <v>11.006825938566553</v>
      </c>
      <c r="M118" s="23">
        <v>3035</v>
      </c>
      <c r="N118" s="23">
        <v>7400</v>
      </c>
      <c r="O118" s="23">
        <f>Tableau1[[#This Row],[Productivité]]-Tableau1[[#This Row],[ les Charges]]</f>
        <v>4365</v>
      </c>
      <c r="R118" s="23">
        <f>VLOOKUP(Tableau1[[#This Row],[Code]],$V$3:$Z$157,4,)</f>
        <v>12350</v>
      </c>
      <c r="S118" s="23">
        <f>VLOOKUP(Tableau1[[#This Row],[Code]],$V$3:$Z$157,5,)</f>
        <v>8370</v>
      </c>
    </row>
    <row r="119" spans="1:19" hidden="1" x14ac:dyDescent="0.25">
      <c r="A119" s="13">
        <v>44255</v>
      </c>
      <c r="B119" t="s">
        <v>82</v>
      </c>
      <c r="C119" t="s">
        <v>86</v>
      </c>
      <c r="D119" t="s">
        <v>59</v>
      </c>
      <c r="E119" s="65">
        <v>90</v>
      </c>
      <c r="F119">
        <v>179</v>
      </c>
      <c r="G119">
        <v>0</v>
      </c>
      <c r="H119">
        <v>0</v>
      </c>
      <c r="I119">
        <v>0</v>
      </c>
      <c r="J119">
        <v>0</v>
      </c>
      <c r="K119" s="23">
        <f>IF(Tableau1[[#This Row],[Quantité (H)]]=0,0,Tableau1[[#This Row],[Gasoil (L)]]/Tableau1[[#This Row],[Quantité (H)]])</f>
        <v>1.9888888888888889</v>
      </c>
      <c r="L119" s="23">
        <v>35.728542914171655</v>
      </c>
      <c r="M119" s="23">
        <v>2410</v>
      </c>
      <c r="N119" s="23">
        <v>6000</v>
      </c>
      <c r="O119" s="23">
        <f>Tableau1[[#This Row],[Productivité]]-Tableau1[[#This Row],[ les Charges]]</f>
        <v>3590</v>
      </c>
      <c r="R119" s="23">
        <f>VLOOKUP(Tableau1[[#This Row],[Code]],$V$3:$Z$157,4,)</f>
        <v>5720</v>
      </c>
      <c r="S119" s="23">
        <f>VLOOKUP(Tableau1[[#This Row],[Code]],$V$3:$Z$157,5,)</f>
        <v>2250</v>
      </c>
    </row>
    <row r="120" spans="1:19" hidden="1" x14ac:dyDescent="0.25">
      <c r="A120" s="13">
        <v>44255</v>
      </c>
      <c r="B120" t="s">
        <v>80</v>
      </c>
      <c r="C120" t="s">
        <v>86</v>
      </c>
      <c r="D120" t="s">
        <v>60</v>
      </c>
      <c r="E120" s="65">
        <v>234</v>
      </c>
      <c r="F120">
        <v>230</v>
      </c>
      <c r="G120">
        <v>0</v>
      </c>
      <c r="H120">
        <v>0</v>
      </c>
      <c r="I120">
        <v>0</v>
      </c>
      <c r="J120">
        <v>0</v>
      </c>
      <c r="K120" s="23">
        <f>IF(Tableau1[[#This Row],[Quantité (H)]]=0,0,Tableau1[[#This Row],[Gasoil (L)]]/Tableau1[[#This Row],[Quantité (H)]])</f>
        <v>0.98290598290598286</v>
      </c>
      <c r="L120" s="23">
        <v>230</v>
      </c>
      <c r="M120" s="23">
        <v>2300</v>
      </c>
      <c r="N120" s="23">
        <v>15600.000000000002</v>
      </c>
      <c r="O120" s="23">
        <f>Tableau1[[#This Row],[Productivité]]-Tableau1[[#This Row],[ les Charges]]</f>
        <v>13300.000000000002</v>
      </c>
      <c r="R120" s="23">
        <f>VLOOKUP(Tableau1[[#This Row],[Code]],$V$3:$Z$157,4,)</f>
        <v>12480</v>
      </c>
      <c r="S120" s="23">
        <f>VLOOKUP(Tableau1[[#This Row],[Code]],$V$3:$Z$157,5,)</f>
        <v>10400</v>
      </c>
    </row>
    <row r="121" spans="1:19" hidden="1" x14ac:dyDescent="0.25">
      <c r="A121" s="13">
        <v>44255</v>
      </c>
      <c r="B121" t="s">
        <v>82</v>
      </c>
      <c r="C121" t="s">
        <v>86</v>
      </c>
      <c r="D121" t="s">
        <v>61</v>
      </c>
      <c r="E121" s="65">
        <v>0</v>
      </c>
      <c r="F121">
        <v>52</v>
      </c>
      <c r="G121">
        <v>0</v>
      </c>
      <c r="H121">
        <v>0</v>
      </c>
      <c r="I121">
        <v>0</v>
      </c>
      <c r="J121">
        <v>0</v>
      </c>
      <c r="K121" s="23">
        <f>IF(Tableau1[[#This Row],[Quantité (H)]]=0,0,Tableau1[[#This Row],[Gasoil (L)]]/Tableau1[[#This Row],[Quantité (H)]])</f>
        <v>0</v>
      </c>
      <c r="L121" s="23">
        <v>3.5483870967741935</v>
      </c>
      <c r="O121" s="23">
        <f>Tableau1[[#This Row],[Productivité]]-Tableau1[[#This Row],[ les Charges]]</f>
        <v>0</v>
      </c>
      <c r="R121" s="23">
        <f>VLOOKUP(Tableau1[[#This Row],[Code]],$V$3:$Z$157,4,)</f>
        <v>12285</v>
      </c>
      <c r="S121" s="23">
        <f>VLOOKUP(Tableau1[[#This Row],[Code]],$V$3:$Z$157,5,)</f>
        <v>10225</v>
      </c>
    </row>
    <row r="122" spans="1:19" hidden="1" x14ac:dyDescent="0.25">
      <c r="A122" s="13">
        <v>44255</v>
      </c>
      <c r="B122" t="s">
        <v>84</v>
      </c>
      <c r="C122" t="s">
        <v>86</v>
      </c>
      <c r="D122" t="s">
        <v>61</v>
      </c>
      <c r="E122" s="65">
        <v>0</v>
      </c>
      <c r="F122">
        <v>0</v>
      </c>
      <c r="G122">
        <v>0</v>
      </c>
      <c r="H122">
        <v>0</v>
      </c>
      <c r="I122">
        <v>0</v>
      </c>
      <c r="J122">
        <v>175</v>
      </c>
      <c r="K122" s="23">
        <f>IF(Tableau1[[#This Row],[Quantité (H)]]=0,0,Tableau1[[#This Row],[Gasoil (L)]]/Tableau1[[#This Row],[Quantité (H)]])</f>
        <v>0</v>
      </c>
      <c r="L122" s="23">
        <v>3.5483870967741935</v>
      </c>
      <c r="O122" s="23">
        <f>Tableau1[[#This Row],[Productivité]]-Tableau1[[#This Row],[ les Charges]]</f>
        <v>0</v>
      </c>
      <c r="R122" s="23">
        <f>VLOOKUP(Tableau1[[#This Row],[Code]],$V$3:$Z$157,4,)</f>
        <v>12285</v>
      </c>
      <c r="S122" s="23">
        <f>VLOOKUP(Tableau1[[#This Row],[Code]],$V$3:$Z$157,5,)</f>
        <v>10225</v>
      </c>
    </row>
    <row r="123" spans="1:19" hidden="1" x14ac:dyDescent="0.25">
      <c r="A123" s="13">
        <v>44255</v>
      </c>
      <c r="B123" t="s">
        <v>80</v>
      </c>
      <c r="C123" t="s">
        <v>86</v>
      </c>
      <c r="D123" t="s">
        <v>61</v>
      </c>
      <c r="E123">
        <v>0</v>
      </c>
      <c r="F123">
        <v>47</v>
      </c>
      <c r="G123">
        <v>0</v>
      </c>
      <c r="H123">
        <v>0</v>
      </c>
      <c r="I123">
        <v>0</v>
      </c>
      <c r="J123">
        <v>0</v>
      </c>
      <c r="K123" s="23">
        <f>IF(Tableau1[[#This Row],[Quantité (H)]]=0,0,Tableau1[[#This Row],[Gasoil (L)]]/Tableau1[[#This Row],[Quantité (H)]])</f>
        <v>0</v>
      </c>
      <c r="L123" s="23">
        <v>3.5483870967741935</v>
      </c>
      <c r="M123" s="23">
        <v>2493</v>
      </c>
      <c r="N123" s="23">
        <v>11666.666666666668</v>
      </c>
      <c r="O123" s="23">
        <f>Tableau1[[#This Row],[Productivité]]-Tableau1[[#This Row],[ les Charges]]</f>
        <v>9173.6666666666679</v>
      </c>
      <c r="R123" s="23">
        <f>VLOOKUP(Tableau1[[#This Row],[Code]],$V$3:$Z$157,4,)</f>
        <v>12285</v>
      </c>
      <c r="S123" s="23">
        <f>VLOOKUP(Tableau1[[#This Row],[Code]],$V$3:$Z$157,5,)</f>
        <v>10225</v>
      </c>
    </row>
    <row r="124" spans="1:19" hidden="1" x14ac:dyDescent="0.25">
      <c r="A124" s="13">
        <v>44255</v>
      </c>
      <c r="B124" t="s">
        <v>83</v>
      </c>
      <c r="C124" t="s">
        <v>43</v>
      </c>
      <c r="D124" t="s">
        <v>33</v>
      </c>
      <c r="E124" s="65">
        <v>93</v>
      </c>
      <c r="F124">
        <v>241</v>
      </c>
      <c r="G124">
        <v>16</v>
      </c>
      <c r="H124">
        <v>0</v>
      </c>
      <c r="I124">
        <v>6</v>
      </c>
      <c r="J124">
        <v>0</v>
      </c>
      <c r="K124" s="23">
        <f>IF(Tableau1[[#This Row],[Quantité (H)]]=0,0,Tableau1[[#This Row],[Gasoil (L)]]/Tableau1[[#This Row],[Quantité (H)]])</f>
        <v>2.5913978494623655</v>
      </c>
      <c r="M124" s="23">
        <v>3158</v>
      </c>
      <c r="N124" s="23">
        <v>17050</v>
      </c>
      <c r="O124" s="23">
        <f>Tableau1[[#This Row],[Productivité]]-Tableau1[[#This Row],[ les Charges]]</f>
        <v>13892</v>
      </c>
      <c r="R124" s="23">
        <f>VLOOKUP(Tableau1[[#This Row],[Code]],$V$3:$Z$157,4,)</f>
        <v>30240</v>
      </c>
      <c r="S124" s="23">
        <f>VLOOKUP(Tableau1[[#This Row],[Code]],$V$3:$Z$157,5,)</f>
        <v>25955</v>
      </c>
    </row>
    <row r="125" spans="1:19" hidden="1" x14ac:dyDescent="0.25">
      <c r="A125" s="13">
        <v>44255</v>
      </c>
      <c r="B125" t="s">
        <v>82</v>
      </c>
      <c r="C125" t="s">
        <v>43</v>
      </c>
      <c r="D125" t="s">
        <v>34</v>
      </c>
      <c r="E125" s="65">
        <v>83</v>
      </c>
      <c r="F125">
        <v>264</v>
      </c>
      <c r="G125">
        <v>0</v>
      </c>
      <c r="H125">
        <v>6</v>
      </c>
      <c r="I125">
        <v>0</v>
      </c>
      <c r="J125">
        <v>3</v>
      </c>
      <c r="K125" s="23">
        <f>IF(Tableau1[[#This Row],[Quantité (H)]]=0,0,Tableau1[[#This Row],[Gasoil (L)]]/Tableau1[[#This Row],[Quantité (H)]])</f>
        <v>3.1807228915662651</v>
      </c>
      <c r="M125" s="23">
        <v>13327</v>
      </c>
      <c r="N125" s="23">
        <v>15216.666666666668</v>
      </c>
      <c r="O125" s="23">
        <f>Tableau1[[#This Row],[Productivité]]-Tableau1[[#This Row],[ les Charges]]</f>
        <v>1889.6666666666679</v>
      </c>
      <c r="R125" s="23">
        <f>VLOOKUP(Tableau1[[#This Row],[Code]],$V$3:$Z$157,4,)</f>
        <v>16380</v>
      </c>
      <c r="S125" s="23">
        <f>VLOOKUP(Tableau1[[#This Row],[Code]],$V$3:$Z$157,5,)</f>
        <v>10710</v>
      </c>
    </row>
    <row r="126" spans="1:19" hidden="1" x14ac:dyDescent="0.25">
      <c r="A126" s="13">
        <v>44255</v>
      </c>
      <c r="B126" t="s">
        <v>83</v>
      </c>
      <c r="C126" t="s">
        <v>43</v>
      </c>
      <c r="D126" s="65" t="s">
        <v>35</v>
      </c>
      <c r="E126" s="65">
        <v>69</v>
      </c>
      <c r="F126">
        <v>368</v>
      </c>
      <c r="G126">
        <v>0</v>
      </c>
      <c r="H126">
        <v>0</v>
      </c>
      <c r="I126">
        <v>0</v>
      </c>
      <c r="J126">
        <v>0</v>
      </c>
      <c r="K126" s="23">
        <f>IF(Tableau1[[#This Row],[Quantité (H)]]=0,0,Tableau1[[#This Row],[Gasoil (L)]]/Tableau1[[#This Row],[Quantité (H)]])</f>
        <v>5.333333333333333</v>
      </c>
      <c r="O126" s="23">
        <f>Tableau1[[#This Row],[Productivité]]-Tableau1[[#This Row],[ les Charges]]</f>
        <v>0</v>
      </c>
      <c r="R126" s="23">
        <f>VLOOKUP(Tableau1[[#This Row],[Code]],$V$3:$Z$157,4,)</f>
        <v>23580</v>
      </c>
      <c r="S126" s="23">
        <f>VLOOKUP(Tableau1[[#This Row],[Code]],$V$3:$Z$157,5,)</f>
        <v>17025</v>
      </c>
    </row>
    <row r="127" spans="1:19" hidden="1" x14ac:dyDescent="0.25">
      <c r="A127" s="13">
        <v>44255</v>
      </c>
      <c r="B127" t="s">
        <v>80</v>
      </c>
      <c r="C127" t="s">
        <v>87</v>
      </c>
      <c r="D127" t="s">
        <v>63</v>
      </c>
      <c r="E127" s="65">
        <v>58</v>
      </c>
      <c r="F127">
        <v>0</v>
      </c>
      <c r="G127">
        <v>0</v>
      </c>
      <c r="H127">
        <v>0</v>
      </c>
      <c r="I127">
        <v>0</v>
      </c>
      <c r="J127">
        <v>0</v>
      </c>
      <c r="K127" s="23">
        <f>IF(Tableau1[[#This Row],[Quantité (H)]]=0,0,Tableau1[[#This Row],[Gasoil (L)]]/Tableau1[[#This Row],[Quantité (H)]])</f>
        <v>0</v>
      </c>
      <c r="L127" s="23">
        <v>128</v>
      </c>
      <c r="O127" s="23">
        <f>Tableau1[[#This Row],[Productivité]]-Tableau1[[#This Row],[ les Charges]]</f>
        <v>0</v>
      </c>
      <c r="R127" s="23">
        <f>VLOOKUP(Tableau1[[#This Row],[Code]],$V$3:$Z$157,4,)</f>
        <v>11050</v>
      </c>
      <c r="S127" s="23">
        <f>VLOOKUP(Tableau1[[#This Row],[Code]],$V$3:$Z$157,5,)</f>
        <v>9630</v>
      </c>
    </row>
    <row r="128" spans="1:19" hidden="1" x14ac:dyDescent="0.25">
      <c r="A128" s="13">
        <v>44255</v>
      </c>
      <c r="B128" t="s">
        <v>79</v>
      </c>
      <c r="C128" t="s">
        <v>87</v>
      </c>
      <c r="D128" t="s">
        <v>63</v>
      </c>
      <c r="E128" s="3">
        <v>49</v>
      </c>
      <c r="F128">
        <v>128</v>
      </c>
      <c r="G128">
        <v>0</v>
      </c>
      <c r="H128">
        <v>0</v>
      </c>
      <c r="I128">
        <v>0</v>
      </c>
      <c r="J128">
        <v>0</v>
      </c>
      <c r="K128" s="23">
        <f>IF(Tableau1[[#This Row],[Quantité (H)]]=0,0,Tableau1[[#This Row],[Gasoil (L)]]/Tableau1[[#This Row],[Quantité (H)]])</f>
        <v>2.6122448979591835</v>
      </c>
      <c r="L128" s="23">
        <v>128</v>
      </c>
      <c r="M128" s="23">
        <v>1280</v>
      </c>
      <c r="N128" s="23">
        <v>7727.7777777777792</v>
      </c>
      <c r="O128" s="23">
        <f>Tableau1[[#This Row],[Productivité]]-Tableau1[[#This Row],[ les Charges]]</f>
        <v>6447.7777777777792</v>
      </c>
      <c r="R128" s="23">
        <f>VLOOKUP(Tableau1[[#This Row],[Code]],$V$3:$Z$157,4,)</f>
        <v>11050</v>
      </c>
      <c r="S128" s="23">
        <f>VLOOKUP(Tableau1[[#This Row],[Code]],$V$3:$Z$157,5,)</f>
        <v>9630</v>
      </c>
    </row>
    <row r="129" spans="1:19" hidden="1" x14ac:dyDescent="0.25">
      <c r="A129" s="13">
        <v>44255</v>
      </c>
      <c r="B129" t="s">
        <v>80</v>
      </c>
      <c r="C129" t="s">
        <v>87</v>
      </c>
      <c r="D129" t="s">
        <v>105</v>
      </c>
      <c r="E129" s="65">
        <v>171</v>
      </c>
      <c r="F129">
        <v>317</v>
      </c>
      <c r="G129">
        <v>0</v>
      </c>
      <c r="H129">
        <v>0</v>
      </c>
      <c r="I129">
        <v>0</v>
      </c>
      <c r="J129">
        <v>0</v>
      </c>
      <c r="K129" s="23">
        <f>IF(Tableau1[[#This Row],[Quantité (H)]]=0,0,Tableau1[[#This Row],[Gasoil (L)]]/Tableau1[[#This Row],[Quantité (H)]])</f>
        <v>1.8538011695906433</v>
      </c>
      <c r="L129" s="23">
        <v>19.293974437005478</v>
      </c>
      <c r="M129" s="23">
        <v>3410</v>
      </c>
      <c r="N129" s="23">
        <v>12350.000000000002</v>
      </c>
      <c r="O129" s="23">
        <f>Tableau1[[#This Row],[Productivité]]-Tableau1[[#This Row],[ les Charges]]</f>
        <v>8940.0000000000018</v>
      </c>
      <c r="R129" s="23">
        <f>VLOOKUP(Tableau1[[#This Row],[Code]],$V$3:$Z$157,4,)</f>
        <v>10920</v>
      </c>
      <c r="S129" s="23">
        <f>VLOOKUP(Tableau1[[#This Row],[Code]],$V$3:$Z$157,5,)</f>
        <v>7680</v>
      </c>
    </row>
    <row r="130" spans="1:19" hidden="1" x14ac:dyDescent="0.25">
      <c r="A130" s="13">
        <v>44286</v>
      </c>
      <c r="B130" t="s">
        <v>80</v>
      </c>
      <c r="C130" t="s">
        <v>40</v>
      </c>
      <c r="D130" t="s">
        <v>16</v>
      </c>
      <c r="E130" s="65">
        <v>91</v>
      </c>
      <c r="F130">
        <v>632</v>
      </c>
      <c r="G130">
        <v>0</v>
      </c>
      <c r="H130">
        <v>0</v>
      </c>
      <c r="I130">
        <v>0</v>
      </c>
      <c r="J130">
        <v>0</v>
      </c>
      <c r="K130" s="23">
        <f>IF(Tableau1[[#This Row],[Quantité (H)]]=0,0,Tableau1[[#This Row],[Gasoil (L)]]/Tableau1[[#This Row],[Quantité (H)]])</f>
        <v>6.9450549450549453</v>
      </c>
      <c r="M130" s="23">
        <v>5745.58</v>
      </c>
      <c r="N130" s="23">
        <v>17200</v>
      </c>
      <c r="O130" s="23">
        <f>Tableau1[[#This Row],[Productivité]]-Tableau1[[#This Row],[ les Charges]]</f>
        <v>11454.42</v>
      </c>
      <c r="R130" s="23">
        <f>VLOOKUP(Tableau1[[#This Row],[Code]],$V$3:$Z$157,4,)</f>
        <v>14800</v>
      </c>
      <c r="S130" s="23">
        <f>VLOOKUP(Tableau1[[#This Row],[Code]],$V$3:$Z$157,5,)</f>
        <v>4838.34</v>
      </c>
    </row>
    <row r="131" spans="1:19" hidden="1" x14ac:dyDescent="0.25">
      <c r="A131" s="13">
        <v>44286</v>
      </c>
      <c r="B131" t="s">
        <v>83</v>
      </c>
      <c r="C131" t="s">
        <v>40</v>
      </c>
      <c r="D131" t="s">
        <v>17</v>
      </c>
      <c r="E131" s="65">
        <v>61</v>
      </c>
      <c r="F131">
        <v>599</v>
      </c>
      <c r="G131">
        <v>17</v>
      </c>
      <c r="H131">
        <v>0</v>
      </c>
      <c r="I131">
        <v>0</v>
      </c>
      <c r="J131">
        <v>0</v>
      </c>
      <c r="K131" s="23">
        <f>IF(Tableau1[[#This Row],[Quantité (H)]]=0,0,Tableau1[[#This Row],[Gasoil (L)]]/Tableau1[[#This Row],[Quantité (H)]])</f>
        <v>9.8196721311475414</v>
      </c>
      <c r="L131" s="23">
        <v>4.6669263731982857</v>
      </c>
      <c r="M131" s="23">
        <v>3317.71</v>
      </c>
      <c r="N131" s="23">
        <v>12200</v>
      </c>
      <c r="O131" s="23">
        <f>Tableau1[[#This Row],[Productivité]]-Tableau1[[#This Row],[ les Charges]]</f>
        <v>8882.2900000000009</v>
      </c>
      <c r="R131" s="23">
        <f>VLOOKUP(Tableau1[[#This Row],[Code]],$V$3:$Z$157,4,)</f>
        <v>11400</v>
      </c>
      <c r="S131" s="23">
        <f>VLOOKUP(Tableau1[[#This Row],[Code]],$V$3:$Z$157,5,)</f>
        <v>7070</v>
      </c>
    </row>
    <row r="132" spans="1:19" hidden="1" x14ac:dyDescent="0.25">
      <c r="A132" s="13">
        <v>44286</v>
      </c>
      <c r="B132" t="s">
        <v>82</v>
      </c>
      <c r="C132" t="s">
        <v>40</v>
      </c>
      <c r="D132" t="s">
        <v>19</v>
      </c>
      <c r="E132" s="3">
        <v>20</v>
      </c>
      <c r="F132">
        <v>75</v>
      </c>
      <c r="G132">
        <v>0</v>
      </c>
      <c r="H132">
        <v>0</v>
      </c>
      <c r="I132">
        <v>0</v>
      </c>
      <c r="J132">
        <v>2</v>
      </c>
      <c r="K132" s="23">
        <f>IF(Tableau1[[#This Row],[Quantité (H)]]=0,0,Tableau1[[#This Row],[Gasoil (L)]]/Tableau1[[#This Row],[Quantité (H)]])</f>
        <v>3.75</v>
      </c>
      <c r="O132" s="23">
        <f>Tableau1[[#This Row],[Productivité]]-Tableau1[[#This Row],[ les Charges]]</f>
        <v>0</v>
      </c>
      <c r="R132" s="23">
        <f>VLOOKUP(Tableau1[[#This Row],[Code]],$V$3:$Z$157,4,)</f>
        <v>11200</v>
      </c>
      <c r="S132" s="23">
        <f>VLOOKUP(Tableau1[[#This Row],[Code]],$V$3:$Z$157,5,)</f>
        <v>5505</v>
      </c>
    </row>
    <row r="133" spans="1:19" hidden="1" x14ac:dyDescent="0.25">
      <c r="A133" s="13">
        <v>44286</v>
      </c>
      <c r="B133" t="s">
        <v>116</v>
      </c>
      <c r="C133" t="s">
        <v>40</v>
      </c>
      <c r="D133" t="s">
        <v>19</v>
      </c>
      <c r="E133" s="3">
        <v>43</v>
      </c>
      <c r="F133">
        <v>475</v>
      </c>
      <c r="G133">
        <v>6</v>
      </c>
      <c r="H133">
        <v>0</v>
      </c>
      <c r="I133">
        <v>0</v>
      </c>
      <c r="J133">
        <v>0</v>
      </c>
      <c r="K133" s="23">
        <f>IF(Tableau1[[#This Row],[Quantité (H)]]=0,0,Tableau1[[#This Row],[Gasoil (L)]]/Tableau1[[#This Row],[Quantité (H)]])</f>
        <v>11.046511627906977</v>
      </c>
      <c r="M133" s="23">
        <v>5755.42</v>
      </c>
      <c r="N133" s="23">
        <v>12600</v>
      </c>
      <c r="O133" s="23">
        <f>Tableau1[[#This Row],[Productivité]]-Tableau1[[#This Row],[ les Charges]]</f>
        <v>6844.58</v>
      </c>
      <c r="R133" s="23">
        <f>VLOOKUP(Tableau1[[#This Row],[Code]],$V$3:$Z$157,4,)</f>
        <v>11200</v>
      </c>
      <c r="S133" s="23">
        <f>VLOOKUP(Tableau1[[#This Row],[Code]],$V$3:$Z$157,5,)</f>
        <v>5505</v>
      </c>
    </row>
    <row r="134" spans="1:19" hidden="1" x14ac:dyDescent="0.25">
      <c r="A134" s="13">
        <v>44286</v>
      </c>
      <c r="B134" t="s">
        <v>83</v>
      </c>
      <c r="C134" t="s">
        <v>85</v>
      </c>
      <c r="D134" t="s">
        <v>44</v>
      </c>
      <c r="E134" s="3">
        <v>198</v>
      </c>
      <c r="F134">
        <v>827</v>
      </c>
      <c r="G134">
        <v>0</v>
      </c>
      <c r="H134">
        <v>0</v>
      </c>
      <c r="I134">
        <v>0</v>
      </c>
      <c r="J134">
        <v>2.5</v>
      </c>
      <c r="K134" s="23">
        <f>IF(Tableau1[[#This Row],[Quantité (H)]]=0,0,Tableau1[[#This Row],[Gasoil (L)]]/Tableau1[[#This Row],[Quantité (H)]])</f>
        <v>4.1767676767676765</v>
      </c>
      <c r="L134" s="23">
        <v>79.366602687140116</v>
      </c>
      <c r="M134" s="23">
        <v>28926.02</v>
      </c>
      <c r="N134" s="23">
        <v>55440</v>
      </c>
      <c r="O134" s="23">
        <f>Tableau1[[#This Row],[Productivité]]-Tableau1[[#This Row],[ les Charges]]</f>
        <v>26513.98</v>
      </c>
      <c r="R134" s="23">
        <f>VLOOKUP(Tableau1[[#This Row],[Code]],$V$3:$Z$157,4,)</f>
        <v>46340</v>
      </c>
      <c r="S134" s="23">
        <f>VLOOKUP(Tableau1[[#This Row],[Code]],$V$3:$Z$157,5,)</f>
        <v>36500</v>
      </c>
    </row>
    <row r="135" spans="1:19" hidden="1" x14ac:dyDescent="0.25">
      <c r="A135" s="13">
        <v>44286</v>
      </c>
      <c r="B135" t="s">
        <v>83</v>
      </c>
      <c r="C135" t="s">
        <v>85</v>
      </c>
      <c r="D135" t="s">
        <v>45</v>
      </c>
      <c r="E135" s="3">
        <v>60</v>
      </c>
      <c r="F135">
        <v>230</v>
      </c>
      <c r="G135">
        <v>0</v>
      </c>
      <c r="H135">
        <v>0</v>
      </c>
      <c r="I135">
        <v>0</v>
      </c>
      <c r="J135">
        <v>0</v>
      </c>
      <c r="K135" s="23">
        <f>IF(Tableau1[[#This Row],[Quantité (H)]]=0,0,Tableau1[[#This Row],[Gasoil (L)]]/Tableau1[[#This Row],[Quantité (H)]])</f>
        <v>3.8333333333333335</v>
      </c>
      <c r="L135" s="23">
        <v>32.035398230088497</v>
      </c>
      <c r="O135" s="23">
        <f>Tableau1[[#This Row],[Productivité]]-Tableau1[[#This Row],[ les Charges]]</f>
        <v>0</v>
      </c>
      <c r="R135" s="23">
        <f>VLOOKUP(Tableau1[[#This Row],[Code]],$V$3:$Z$157,4,)</f>
        <v>64680</v>
      </c>
      <c r="S135" s="23">
        <f>VLOOKUP(Tableau1[[#This Row],[Code]],$V$3:$Z$157,5,)</f>
        <v>57080</v>
      </c>
    </row>
    <row r="136" spans="1:19" hidden="1" x14ac:dyDescent="0.25">
      <c r="A136" s="13">
        <v>44286</v>
      </c>
      <c r="B136" t="s">
        <v>80</v>
      </c>
      <c r="C136" t="s">
        <v>85</v>
      </c>
      <c r="D136" s="65" t="s">
        <v>45</v>
      </c>
      <c r="E136" s="3">
        <v>159</v>
      </c>
      <c r="F136">
        <v>491</v>
      </c>
      <c r="G136">
        <v>0</v>
      </c>
      <c r="H136">
        <v>0</v>
      </c>
      <c r="I136">
        <v>0</v>
      </c>
      <c r="J136">
        <v>0</v>
      </c>
      <c r="K136" s="23">
        <f>IF(Tableau1[[#This Row],[Quantité (H)]]=0,0,Tableau1[[#This Row],[Gasoil (L)]]/Tableau1[[#This Row],[Quantité (H)]])</f>
        <v>3.0880503144654088</v>
      </c>
      <c r="L136" s="23">
        <v>32.035398230088497</v>
      </c>
      <c r="M136" s="23">
        <v>32810.46</v>
      </c>
      <c r="N136" s="23">
        <v>61320</v>
      </c>
      <c r="O136" s="23">
        <f>Tableau1[[#This Row],[Productivité]]-Tableau1[[#This Row],[ les Charges]]</f>
        <v>28509.54</v>
      </c>
      <c r="R136" s="23">
        <f>VLOOKUP(Tableau1[[#This Row],[Code]],$V$3:$Z$157,4,)</f>
        <v>64680</v>
      </c>
      <c r="S136" s="23">
        <f>VLOOKUP(Tableau1[[#This Row],[Code]],$V$3:$Z$157,5,)</f>
        <v>57080</v>
      </c>
    </row>
    <row r="137" spans="1:19" hidden="1" x14ac:dyDescent="0.25">
      <c r="A137" s="13">
        <v>44286</v>
      </c>
      <c r="B137" t="s">
        <v>79</v>
      </c>
      <c r="C137" t="s">
        <v>85</v>
      </c>
      <c r="D137" t="s">
        <v>45</v>
      </c>
      <c r="E137" s="3">
        <v>0</v>
      </c>
      <c r="F137">
        <v>365</v>
      </c>
      <c r="G137">
        <v>0</v>
      </c>
      <c r="H137">
        <v>0</v>
      </c>
      <c r="I137">
        <v>0</v>
      </c>
      <c r="J137">
        <v>0</v>
      </c>
      <c r="K137" s="23">
        <f>IF(Tableau1[[#This Row],[Quantité (H)]]=0,0,Tableau1[[#This Row],[Gasoil (L)]]/Tableau1[[#This Row],[Quantité (H)]])</f>
        <v>0</v>
      </c>
      <c r="L137" s="23">
        <v>32.035398230088497</v>
      </c>
      <c r="M137" s="23">
        <v>32810.46</v>
      </c>
      <c r="N137" s="23">
        <v>61320</v>
      </c>
      <c r="O137" s="23">
        <f>Tableau1[[#This Row],[Productivité]]-Tableau1[[#This Row],[ les Charges]]</f>
        <v>28509.54</v>
      </c>
      <c r="R137" s="23">
        <f>VLOOKUP(Tableau1[[#This Row],[Code]],$V$3:$Z$157,4,)</f>
        <v>64680</v>
      </c>
      <c r="S137" s="23">
        <f>VLOOKUP(Tableau1[[#This Row],[Code]],$V$3:$Z$157,5,)</f>
        <v>57080</v>
      </c>
    </row>
    <row r="138" spans="1:19" hidden="1" x14ac:dyDescent="0.25">
      <c r="A138" s="13">
        <v>44286</v>
      </c>
      <c r="B138" t="s">
        <v>83</v>
      </c>
      <c r="C138" t="s">
        <v>85</v>
      </c>
      <c r="D138" t="s">
        <v>46</v>
      </c>
      <c r="E138" s="3">
        <v>188</v>
      </c>
      <c r="F138">
        <v>964</v>
      </c>
      <c r="G138">
        <v>0</v>
      </c>
      <c r="H138">
        <v>0</v>
      </c>
      <c r="I138">
        <v>0</v>
      </c>
      <c r="J138">
        <v>2.5</v>
      </c>
      <c r="K138" s="23">
        <f>IF(Tableau1[[#This Row],[Quantité (H)]]=0,0,Tableau1[[#This Row],[Gasoil (L)]]/Tableau1[[#This Row],[Quantité (H)]])</f>
        <v>5.1276595744680851</v>
      </c>
      <c r="L138" s="23">
        <v>58.981876332622605</v>
      </c>
      <c r="M138" s="23">
        <v>7256.74</v>
      </c>
      <c r="N138" s="23">
        <v>52640</v>
      </c>
      <c r="O138" s="23">
        <f>Tableau1[[#This Row],[Productivité]]-Tableau1[[#This Row],[ les Charges]]</f>
        <v>45383.26</v>
      </c>
      <c r="R138" s="23">
        <f>VLOOKUP(Tableau1[[#This Row],[Code]],$V$3:$Z$157,4,)</f>
        <v>48720</v>
      </c>
      <c r="S138" s="23">
        <f>VLOOKUP(Tableau1[[#This Row],[Code]],$V$3:$Z$157,5,)</f>
        <v>26090.82</v>
      </c>
    </row>
    <row r="139" spans="1:19" hidden="1" x14ac:dyDescent="0.25">
      <c r="A139" s="13">
        <v>44286</v>
      </c>
      <c r="B139" t="s">
        <v>79</v>
      </c>
      <c r="C139" t="s">
        <v>85</v>
      </c>
      <c r="D139" t="s">
        <v>47</v>
      </c>
      <c r="E139" s="3">
        <v>180</v>
      </c>
      <c r="F139">
        <v>1542.76</v>
      </c>
      <c r="G139">
        <v>0</v>
      </c>
      <c r="H139">
        <v>0</v>
      </c>
      <c r="I139">
        <v>0</v>
      </c>
      <c r="J139">
        <v>0</v>
      </c>
      <c r="K139" s="23">
        <f>IF(Tableau1[[#This Row],[Quantité (H)]]=0,0,Tableau1[[#This Row],[Gasoil (L)]]/Tableau1[[#This Row],[Quantité (H)]])</f>
        <v>8.5708888888888897</v>
      </c>
      <c r="L139" s="23">
        <v>67.126965861143077</v>
      </c>
      <c r="O139" s="23">
        <f>Tableau1[[#This Row],[Productivité]]-Tableau1[[#This Row],[ les Charges]]</f>
        <v>0</v>
      </c>
      <c r="R139" s="23">
        <f>VLOOKUP(Tableau1[[#This Row],[Code]],$V$3:$Z$157,4,)</f>
        <v>65240</v>
      </c>
      <c r="S139" s="23">
        <f>VLOOKUP(Tableau1[[#This Row],[Code]],$V$3:$Z$157,5,)</f>
        <v>54030.82</v>
      </c>
    </row>
    <row r="140" spans="1:19" hidden="1" x14ac:dyDescent="0.25">
      <c r="A140" s="13">
        <v>44286</v>
      </c>
      <c r="B140" t="s">
        <v>80</v>
      </c>
      <c r="C140" t="s">
        <v>85</v>
      </c>
      <c r="D140" t="s">
        <v>47</v>
      </c>
      <c r="E140" s="3">
        <v>94</v>
      </c>
      <c r="F140">
        <v>0</v>
      </c>
      <c r="G140">
        <v>0</v>
      </c>
      <c r="H140">
        <v>0</v>
      </c>
      <c r="I140">
        <v>0</v>
      </c>
      <c r="J140">
        <v>0</v>
      </c>
      <c r="K140" s="23">
        <f>IF(Tableau1[[#This Row],[Quantité (H)]]=0,0,Tableau1[[#This Row],[Gasoil (L)]]/Tableau1[[#This Row],[Quantité (H)]])</f>
        <v>0</v>
      </c>
      <c r="L140" s="23">
        <v>67.126965861143077</v>
      </c>
      <c r="M140" s="23">
        <v>12474.14</v>
      </c>
      <c r="N140" s="23">
        <v>74872</v>
      </c>
      <c r="O140" s="23">
        <f>Tableau1[[#This Row],[Productivité]]-Tableau1[[#This Row],[ les Charges]]</f>
        <v>62397.86</v>
      </c>
      <c r="R140" s="23">
        <f>VLOOKUP(Tableau1[[#This Row],[Code]],$V$3:$Z$157,4,)</f>
        <v>65240</v>
      </c>
      <c r="S140" s="23">
        <f>VLOOKUP(Tableau1[[#This Row],[Code]],$V$3:$Z$157,5,)</f>
        <v>54030.82</v>
      </c>
    </row>
    <row r="141" spans="1:19" hidden="1" x14ac:dyDescent="0.25">
      <c r="A141" s="13">
        <v>44286</v>
      </c>
      <c r="B141" t="s">
        <v>82</v>
      </c>
      <c r="C141" t="s">
        <v>85</v>
      </c>
      <c r="D141" t="s">
        <v>48</v>
      </c>
      <c r="E141" s="3">
        <v>46</v>
      </c>
      <c r="F141">
        <v>0</v>
      </c>
      <c r="G141">
        <v>0</v>
      </c>
      <c r="H141">
        <v>0</v>
      </c>
      <c r="I141">
        <v>0</v>
      </c>
      <c r="J141">
        <v>0</v>
      </c>
      <c r="K141" s="23">
        <f>IF(Tableau1[[#This Row],[Quantité (H)]]=0,0,Tableau1[[#This Row],[Gasoil (L)]]/Tableau1[[#This Row],[Quantité (H)]])</f>
        <v>0</v>
      </c>
      <c r="L141" s="23">
        <v>84.615384615384613</v>
      </c>
      <c r="O141" s="23">
        <f>Tableau1[[#This Row],[Productivité]]-Tableau1[[#This Row],[ les Charges]]</f>
        <v>0</v>
      </c>
      <c r="R141" s="23">
        <f>VLOOKUP(Tableau1[[#This Row],[Code]],$V$3:$Z$157,4,)</f>
        <v>17400</v>
      </c>
      <c r="S141" s="23">
        <f>VLOOKUP(Tableau1[[#This Row],[Code]],$V$3:$Z$157,5,)</f>
        <v>8595</v>
      </c>
    </row>
    <row r="142" spans="1:19" hidden="1" x14ac:dyDescent="0.25">
      <c r="A142" s="13">
        <v>44286</v>
      </c>
      <c r="B142" t="s">
        <v>80</v>
      </c>
      <c r="C142" t="s">
        <v>85</v>
      </c>
      <c r="D142" t="s">
        <v>48</v>
      </c>
      <c r="E142" s="3">
        <v>107</v>
      </c>
      <c r="F142">
        <v>363</v>
      </c>
      <c r="G142">
        <v>0</v>
      </c>
      <c r="H142">
        <v>0</v>
      </c>
      <c r="I142">
        <v>0</v>
      </c>
      <c r="J142">
        <v>1</v>
      </c>
      <c r="K142" s="23">
        <f>IF(Tableau1[[#This Row],[Quantité (H)]]=0,0,Tableau1[[#This Row],[Gasoil (L)]]/Tableau1[[#This Row],[Quantité (H)]])</f>
        <v>3.3925233644859811</v>
      </c>
      <c r="L142" s="23">
        <v>84.615384615384613</v>
      </c>
      <c r="M142" s="23">
        <v>14076.27</v>
      </c>
      <c r="N142" s="23">
        <v>22800</v>
      </c>
      <c r="O142" s="23">
        <f>Tableau1[[#This Row],[Productivité]]-Tableau1[[#This Row],[ les Charges]]</f>
        <v>8723.73</v>
      </c>
      <c r="R142" s="23">
        <f>VLOOKUP(Tableau1[[#This Row],[Code]],$V$3:$Z$157,4,)</f>
        <v>17400</v>
      </c>
      <c r="S142" s="23">
        <f>VLOOKUP(Tableau1[[#This Row],[Code]],$V$3:$Z$157,5,)</f>
        <v>8595</v>
      </c>
    </row>
    <row r="143" spans="1:19" hidden="1" x14ac:dyDescent="0.25">
      <c r="A143" s="13">
        <v>44286</v>
      </c>
      <c r="B143" t="s">
        <v>80</v>
      </c>
      <c r="C143" t="s">
        <v>85</v>
      </c>
      <c r="D143" t="s">
        <v>49</v>
      </c>
      <c r="E143" s="65">
        <v>167</v>
      </c>
      <c r="F143">
        <v>723</v>
      </c>
      <c r="G143">
        <v>0</v>
      </c>
      <c r="H143">
        <v>0</v>
      </c>
      <c r="I143">
        <v>0</v>
      </c>
      <c r="J143">
        <v>0</v>
      </c>
      <c r="K143" s="23">
        <f>IF(Tableau1[[#This Row],[Quantité (H)]]=0,0,Tableau1[[#This Row],[Gasoil (L)]]/Tableau1[[#This Row],[Quantité (H)]])</f>
        <v>4.3293413173652695</v>
      </c>
      <c r="L143" s="23">
        <v>49.116847826086953</v>
      </c>
      <c r="M143" s="23">
        <v>18106.259999999998</v>
      </c>
      <c r="N143" s="23">
        <v>22350</v>
      </c>
      <c r="O143" s="23">
        <f>Tableau1[[#This Row],[Productivité]]-Tableau1[[#This Row],[ les Charges]]</f>
        <v>4243.7400000000016</v>
      </c>
      <c r="R143" s="23">
        <f>VLOOKUP(Tableau1[[#This Row],[Code]],$V$3:$Z$157,4,)</f>
        <v>17625</v>
      </c>
      <c r="S143" s="23">
        <f>VLOOKUP(Tableau1[[#This Row],[Code]],$V$3:$Z$157,5,)</f>
        <v>9555</v>
      </c>
    </row>
    <row r="144" spans="1:19" hidden="1" x14ac:dyDescent="0.25">
      <c r="A144" s="13">
        <v>44286</v>
      </c>
      <c r="B144" t="s">
        <v>83</v>
      </c>
      <c r="C144" t="s">
        <v>85</v>
      </c>
      <c r="D144" t="s">
        <v>50</v>
      </c>
      <c r="E144" s="3">
        <v>108</v>
      </c>
      <c r="F144">
        <v>152</v>
      </c>
      <c r="G144">
        <v>0</v>
      </c>
      <c r="H144">
        <v>0</v>
      </c>
      <c r="I144">
        <v>0</v>
      </c>
      <c r="J144">
        <v>0</v>
      </c>
      <c r="K144" s="23">
        <f>IF(Tableau1[[#This Row],[Quantité (H)]]=0,0,Tableau1[[#This Row],[Gasoil (L)]]/Tableau1[[#This Row],[Quantité (H)]])</f>
        <v>1.4074074074074074</v>
      </c>
      <c r="L144" s="23">
        <v>34.482758620689658</v>
      </c>
      <c r="M144" s="23">
        <v>953.04</v>
      </c>
      <c r="N144" s="23">
        <v>0</v>
      </c>
      <c r="O144" s="23">
        <f>Tableau1[[#This Row],[Productivité]]-Tableau1[[#This Row],[ les Charges]]</f>
        <v>-953.04</v>
      </c>
      <c r="R144" s="23">
        <f>VLOOKUP(Tableau1[[#This Row],[Code]],$V$3:$Z$157,4,)</f>
        <v>26250</v>
      </c>
      <c r="S144" s="23">
        <f>VLOOKUP(Tableau1[[#This Row],[Code]],$V$3:$Z$157,5,)</f>
        <v>21570</v>
      </c>
    </row>
    <row r="145" spans="1:19" hidden="1" x14ac:dyDescent="0.25">
      <c r="A145" s="13">
        <v>44286</v>
      </c>
      <c r="B145" t="s">
        <v>80</v>
      </c>
      <c r="C145" t="s">
        <v>85</v>
      </c>
      <c r="D145" t="s">
        <v>54</v>
      </c>
      <c r="E145" s="65">
        <v>17</v>
      </c>
      <c r="F145">
        <v>0</v>
      </c>
      <c r="G145">
        <v>0</v>
      </c>
      <c r="H145">
        <v>0</v>
      </c>
      <c r="I145">
        <v>0</v>
      </c>
      <c r="J145">
        <v>0</v>
      </c>
      <c r="K145" s="23">
        <f>IF(Tableau1[[#This Row],[Quantité (H)]]=0,0,Tableau1[[#This Row],[Gasoil (L)]]/Tableau1[[#This Row],[Quantité (H)]])</f>
        <v>0</v>
      </c>
      <c r="L145" s="23">
        <v>33</v>
      </c>
      <c r="M145" s="23">
        <v>18127.169999999998</v>
      </c>
      <c r="N145" s="23">
        <v>560</v>
      </c>
      <c r="O145" s="23">
        <f>Tableau1[[#This Row],[Productivité]]-Tableau1[[#This Row],[ les Charges]]</f>
        <v>-17567.169999999998</v>
      </c>
      <c r="R145" s="23">
        <f>VLOOKUP(Tableau1[[#This Row],[Code]],$V$3:$Z$157,4,)</f>
        <v>52500</v>
      </c>
      <c r="S145" s="23">
        <f>VLOOKUP(Tableau1[[#This Row],[Code]],$V$3:$Z$157,5,)</f>
        <v>44820</v>
      </c>
    </row>
    <row r="146" spans="1:19" hidden="1" x14ac:dyDescent="0.25">
      <c r="A146" s="13">
        <v>44286</v>
      </c>
      <c r="B146" t="s">
        <v>79</v>
      </c>
      <c r="C146" t="s">
        <v>85</v>
      </c>
      <c r="D146" t="s">
        <v>54</v>
      </c>
      <c r="E146" s="65">
        <v>159.5</v>
      </c>
      <c r="F146">
        <v>816</v>
      </c>
      <c r="G146">
        <v>0</v>
      </c>
      <c r="H146">
        <v>20</v>
      </c>
      <c r="I146">
        <v>110</v>
      </c>
      <c r="J146">
        <v>0</v>
      </c>
      <c r="K146" s="23">
        <f>IF(Tableau1[[#This Row],[Quantité (H)]]=0,0,Tableau1[[#This Row],[Gasoil (L)]]/Tableau1[[#This Row],[Quantité (H)]])</f>
        <v>5.1159874608150471</v>
      </c>
      <c r="L146" s="23">
        <v>33</v>
      </c>
      <c r="O146" s="23">
        <f>Tableau1[[#This Row],[Productivité]]-Tableau1[[#This Row],[ les Charges]]</f>
        <v>0</v>
      </c>
      <c r="R146" s="23">
        <f>VLOOKUP(Tableau1[[#This Row],[Code]],$V$3:$Z$157,4,)</f>
        <v>52500</v>
      </c>
      <c r="S146" s="23">
        <f>VLOOKUP(Tableau1[[#This Row],[Code]],$V$3:$Z$157,5,)</f>
        <v>44820</v>
      </c>
    </row>
    <row r="147" spans="1:19" hidden="1" x14ac:dyDescent="0.25">
      <c r="A147" s="13">
        <v>44286</v>
      </c>
      <c r="B147" t="s">
        <v>82</v>
      </c>
      <c r="C147" t="s">
        <v>85</v>
      </c>
      <c r="D147" t="s">
        <v>56</v>
      </c>
      <c r="E147" s="65">
        <v>0</v>
      </c>
      <c r="F147">
        <v>2054.3000000000002</v>
      </c>
      <c r="G147">
        <v>0</v>
      </c>
      <c r="H147">
        <v>0</v>
      </c>
      <c r="I147">
        <v>0</v>
      </c>
      <c r="J147">
        <v>0</v>
      </c>
      <c r="K147" s="23">
        <f>IF(Tableau1[[#This Row],[Quantité (H)]]=0,0,Tableau1[[#This Row],[Gasoil (L)]]/Tableau1[[#This Row],[Quantité (H)]])</f>
        <v>0</v>
      </c>
      <c r="O147" s="23">
        <f>Tableau1[[#This Row],[Productivité]]-Tableau1[[#This Row],[ les Charges]]</f>
        <v>0</v>
      </c>
      <c r="R147" s="23">
        <f>VLOOKUP(Tableau1[[#This Row],[Code]],$V$3:$Z$157,4,)</f>
        <v>30900</v>
      </c>
      <c r="S147" s="23">
        <f>VLOOKUP(Tableau1[[#This Row],[Code]],$V$3:$Z$157,5,)</f>
        <v>9895.0999999999985</v>
      </c>
    </row>
    <row r="148" spans="1:19" hidden="1" x14ac:dyDescent="0.25">
      <c r="A148" s="13">
        <v>44286</v>
      </c>
      <c r="B148" t="s">
        <v>80</v>
      </c>
      <c r="C148" t="s">
        <v>85</v>
      </c>
      <c r="D148" t="s">
        <v>56</v>
      </c>
      <c r="E148" s="65">
        <v>95</v>
      </c>
      <c r="F148">
        <v>416</v>
      </c>
      <c r="G148">
        <v>0</v>
      </c>
      <c r="H148">
        <v>0</v>
      </c>
      <c r="I148">
        <v>0</v>
      </c>
      <c r="J148">
        <v>0</v>
      </c>
      <c r="K148" s="23">
        <f>IF(Tableau1[[#This Row],[Quantité (H)]]=0,0,Tableau1[[#This Row],[Gasoil (L)]]/Tableau1[[#This Row],[Quantité (H)]])</f>
        <v>4.3789473684210529</v>
      </c>
      <c r="M148" s="23">
        <v>24919.68</v>
      </c>
      <c r="N148" s="23">
        <v>50100</v>
      </c>
      <c r="O148" s="23">
        <f>Tableau1[[#This Row],[Productivité]]-Tableau1[[#This Row],[ les Charges]]</f>
        <v>25180.32</v>
      </c>
      <c r="R148" s="23">
        <f>VLOOKUP(Tableau1[[#This Row],[Code]],$V$3:$Z$157,4,)</f>
        <v>30900</v>
      </c>
      <c r="S148" s="23">
        <f>VLOOKUP(Tableau1[[#This Row],[Code]],$V$3:$Z$157,5,)</f>
        <v>9895.0999999999985</v>
      </c>
    </row>
    <row r="149" spans="1:19" hidden="1" x14ac:dyDescent="0.25">
      <c r="A149" s="13">
        <v>44286</v>
      </c>
      <c r="B149" t="s">
        <v>80</v>
      </c>
      <c r="C149" t="s">
        <v>85</v>
      </c>
      <c r="D149" t="s">
        <v>57</v>
      </c>
      <c r="E149" s="65">
        <v>0</v>
      </c>
      <c r="F149">
        <v>1411</v>
      </c>
      <c r="G149">
        <v>0</v>
      </c>
      <c r="H149">
        <v>0</v>
      </c>
      <c r="I149">
        <v>0</v>
      </c>
      <c r="J149">
        <v>0</v>
      </c>
      <c r="K149" s="23">
        <f>IF(Tableau1[[#This Row],[Quantité (H)]]=0,0,Tableau1[[#This Row],[Gasoil (L)]]/Tableau1[[#This Row],[Quantité (H)]])</f>
        <v>0</v>
      </c>
      <c r="L149" s="23">
        <v>55.039193729003358</v>
      </c>
      <c r="M149" s="23">
        <v>135142.23000000001</v>
      </c>
      <c r="N149" s="23">
        <v>34650</v>
      </c>
      <c r="O149" s="23">
        <f>Tableau1[[#This Row],[Productivité]]-Tableau1[[#This Row],[ les Charges]]</f>
        <v>-100492.23000000001</v>
      </c>
      <c r="R149" s="23">
        <f>VLOOKUP(Tableau1[[#This Row],[Code]],$V$3:$Z$157,4,)</f>
        <v>26240</v>
      </c>
      <c r="S149" s="23">
        <f>VLOOKUP(Tableau1[[#This Row],[Code]],$V$3:$Z$157,5,)</f>
        <v>-7906.1699999999983</v>
      </c>
    </row>
    <row r="150" spans="1:19" hidden="1" x14ac:dyDescent="0.25">
      <c r="A150" s="13">
        <v>44286</v>
      </c>
      <c r="B150" t="s">
        <v>83</v>
      </c>
      <c r="C150" t="s">
        <v>85</v>
      </c>
      <c r="D150" s="65" t="s">
        <v>57</v>
      </c>
      <c r="E150" s="65">
        <v>0</v>
      </c>
      <c r="F150">
        <v>985</v>
      </c>
      <c r="G150">
        <v>0</v>
      </c>
      <c r="H150">
        <v>0</v>
      </c>
      <c r="I150">
        <v>0</v>
      </c>
      <c r="J150">
        <v>0</v>
      </c>
      <c r="K150" s="23">
        <f>IF(Tableau1[[#This Row],[Quantité (H)]]=0,0,Tableau1[[#This Row],[Gasoil (L)]]/Tableau1[[#This Row],[Quantité (H)]])</f>
        <v>0</v>
      </c>
      <c r="L150" s="23">
        <v>55.039193729003358</v>
      </c>
      <c r="O150" s="23">
        <f>Tableau1[[#This Row],[Productivité]]-Tableau1[[#This Row],[ les Charges]]</f>
        <v>0</v>
      </c>
      <c r="R150" s="23">
        <f>VLOOKUP(Tableau1[[#This Row],[Code]],$V$3:$Z$157,4,)</f>
        <v>26240</v>
      </c>
      <c r="S150" s="23">
        <f>VLOOKUP(Tableau1[[#This Row],[Code]],$V$3:$Z$157,5,)</f>
        <v>-7906.1699999999983</v>
      </c>
    </row>
    <row r="151" spans="1:19" hidden="1" x14ac:dyDescent="0.25">
      <c r="A151" s="13">
        <v>44286</v>
      </c>
      <c r="B151" t="s">
        <v>116</v>
      </c>
      <c r="C151" t="s">
        <v>85</v>
      </c>
      <c r="D151" t="s">
        <v>57</v>
      </c>
      <c r="E151" s="65">
        <v>45</v>
      </c>
      <c r="F151">
        <v>0</v>
      </c>
      <c r="G151">
        <v>0</v>
      </c>
      <c r="H151">
        <v>0</v>
      </c>
      <c r="I151">
        <v>0</v>
      </c>
      <c r="J151">
        <v>0</v>
      </c>
      <c r="K151" s="23">
        <f>IF(Tableau1[[#This Row],[Quantité (H)]]=0,0,Tableau1[[#This Row],[Gasoil (L)]]/Tableau1[[#This Row],[Quantité (H)]])</f>
        <v>0</v>
      </c>
      <c r="L151" s="23">
        <v>55.039193729003358</v>
      </c>
      <c r="O151" s="23">
        <f>Tableau1[[#This Row],[Productivité]]-Tableau1[[#This Row],[ les Charges]]</f>
        <v>0</v>
      </c>
      <c r="R151" s="23">
        <f>VLOOKUP(Tableau1[[#This Row],[Code]],$V$3:$Z$157,4,)</f>
        <v>26240</v>
      </c>
      <c r="S151" s="23">
        <f>VLOOKUP(Tableau1[[#This Row],[Code]],$V$3:$Z$157,5,)</f>
        <v>-7906.1699999999983</v>
      </c>
    </row>
    <row r="152" spans="1:19" hidden="1" x14ac:dyDescent="0.25">
      <c r="A152" s="13">
        <v>44286</v>
      </c>
      <c r="B152" t="s">
        <v>84</v>
      </c>
      <c r="C152" t="s">
        <v>85</v>
      </c>
      <c r="D152" t="s">
        <v>57</v>
      </c>
      <c r="E152" s="65">
        <v>18</v>
      </c>
      <c r="F152">
        <v>533</v>
      </c>
      <c r="G152">
        <v>0</v>
      </c>
      <c r="H152">
        <v>0</v>
      </c>
      <c r="I152">
        <v>0</v>
      </c>
      <c r="J152">
        <v>0</v>
      </c>
      <c r="K152" s="23">
        <f>IF(Tableau1[[#This Row],[Quantité (H)]]=0,0,Tableau1[[#This Row],[Gasoil (L)]]/Tableau1[[#This Row],[Quantité (H)]])</f>
        <v>29.611111111111111</v>
      </c>
      <c r="L152" s="23">
        <v>55.039193729003358</v>
      </c>
      <c r="O152" s="23">
        <f>Tableau1[[#This Row],[Productivité]]-Tableau1[[#This Row],[ les Charges]]</f>
        <v>0</v>
      </c>
      <c r="R152" s="23">
        <f>VLOOKUP(Tableau1[[#This Row],[Code]],$V$3:$Z$157,4,)</f>
        <v>26240</v>
      </c>
      <c r="S152" s="23">
        <f>VLOOKUP(Tableau1[[#This Row],[Code]],$V$3:$Z$157,5,)</f>
        <v>-7906.1699999999983</v>
      </c>
    </row>
    <row r="153" spans="1:19" hidden="1" x14ac:dyDescent="0.25">
      <c r="A153" s="13">
        <v>44286</v>
      </c>
      <c r="B153" t="s">
        <v>79</v>
      </c>
      <c r="C153" t="s">
        <v>85</v>
      </c>
      <c r="D153" t="s">
        <v>57</v>
      </c>
      <c r="E153" s="65">
        <v>0</v>
      </c>
      <c r="F153">
        <v>1003</v>
      </c>
      <c r="G153">
        <v>0</v>
      </c>
      <c r="H153">
        <v>0</v>
      </c>
      <c r="I153">
        <v>25</v>
      </c>
      <c r="J153">
        <v>0</v>
      </c>
      <c r="K153" s="23">
        <f>IF(Tableau1[[#This Row],[Quantité (H)]]=0,0,Tableau1[[#This Row],[Gasoil (L)]]/Tableau1[[#This Row],[Quantité (H)]])</f>
        <v>0</v>
      </c>
      <c r="L153" s="23">
        <v>55.039193729003358</v>
      </c>
      <c r="O153" s="23">
        <f>Tableau1[[#This Row],[Productivité]]-Tableau1[[#This Row],[ les Charges]]</f>
        <v>0</v>
      </c>
      <c r="R153" s="23">
        <f>VLOOKUP(Tableau1[[#This Row],[Code]],$V$3:$Z$157,4,)</f>
        <v>26240</v>
      </c>
      <c r="S153" s="23">
        <f>VLOOKUP(Tableau1[[#This Row],[Code]],$V$3:$Z$157,5,)</f>
        <v>-7906.1699999999983</v>
      </c>
    </row>
    <row r="154" spans="1:19" hidden="1" x14ac:dyDescent="0.25">
      <c r="A154" s="13">
        <v>44286</v>
      </c>
      <c r="B154" t="s">
        <v>79</v>
      </c>
      <c r="C154" t="s">
        <v>85</v>
      </c>
      <c r="D154" t="s">
        <v>55</v>
      </c>
      <c r="E154" s="65">
        <v>177.5</v>
      </c>
      <c r="F154">
        <v>595.6</v>
      </c>
      <c r="G154">
        <v>0</v>
      </c>
      <c r="H154">
        <v>0</v>
      </c>
      <c r="I154">
        <v>0</v>
      </c>
      <c r="J154">
        <v>0</v>
      </c>
      <c r="K154" s="23">
        <f>IF(Tableau1[[#This Row],[Quantité (H)]]=0,0,Tableau1[[#This Row],[Gasoil (L)]]/Tableau1[[#This Row],[Quantité (H)]])</f>
        <v>3.3554929577464789</v>
      </c>
      <c r="L154" s="23">
        <v>37</v>
      </c>
      <c r="O154" s="23">
        <f>Tableau1[[#This Row],[Productivité]]-Tableau1[[#This Row],[ les Charges]]</f>
        <v>0</v>
      </c>
      <c r="R154" s="23">
        <f>VLOOKUP(Tableau1[[#This Row],[Code]],$V$3:$Z$157,4,)</f>
        <v>32480</v>
      </c>
      <c r="S154" s="23">
        <f>VLOOKUP(Tableau1[[#This Row],[Code]],$V$3:$Z$157,5,)</f>
        <v>27150</v>
      </c>
    </row>
    <row r="155" spans="1:19" hidden="1" x14ac:dyDescent="0.25">
      <c r="A155" s="13">
        <v>44286</v>
      </c>
      <c r="B155" t="s">
        <v>80</v>
      </c>
      <c r="C155" t="s">
        <v>85</v>
      </c>
      <c r="D155" t="s">
        <v>55</v>
      </c>
      <c r="E155" s="65">
        <v>104</v>
      </c>
      <c r="F155">
        <v>493</v>
      </c>
      <c r="G155">
        <v>0</v>
      </c>
      <c r="H155">
        <v>0</v>
      </c>
      <c r="I155">
        <v>0</v>
      </c>
      <c r="J155">
        <v>0</v>
      </c>
      <c r="K155" s="23">
        <f>IF(Tableau1[[#This Row],[Quantité (H)]]=0,0,Tableau1[[#This Row],[Gasoil (L)]]/Tableau1[[#This Row],[Quantité (H)]])</f>
        <v>4.740384615384615</v>
      </c>
      <c r="L155" s="23">
        <v>37</v>
      </c>
      <c r="M155" s="23">
        <v>9580.5</v>
      </c>
      <c r="N155" s="23">
        <v>70896</v>
      </c>
      <c r="O155" s="23">
        <f>Tableau1[[#This Row],[Productivité]]-Tableau1[[#This Row],[ les Charges]]</f>
        <v>61315.5</v>
      </c>
      <c r="R155" s="23">
        <f>VLOOKUP(Tableau1[[#This Row],[Code]],$V$3:$Z$157,4,)</f>
        <v>32480</v>
      </c>
      <c r="S155" s="23">
        <f>VLOOKUP(Tableau1[[#This Row],[Code]],$V$3:$Z$157,5,)</f>
        <v>27150</v>
      </c>
    </row>
    <row r="156" spans="1:19" hidden="1" x14ac:dyDescent="0.25">
      <c r="A156" s="13">
        <v>44286</v>
      </c>
      <c r="B156" t="s">
        <v>83</v>
      </c>
      <c r="C156" t="s">
        <v>85</v>
      </c>
      <c r="D156" t="s">
        <v>52</v>
      </c>
      <c r="E156" s="3">
        <v>43.5</v>
      </c>
      <c r="F156">
        <v>285</v>
      </c>
      <c r="G156">
        <v>5</v>
      </c>
      <c r="H156">
        <v>0</v>
      </c>
      <c r="I156">
        <v>0</v>
      </c>
      <c r="J156">
        <v>2.5</v>
      </c>
      <c r="K156" s="23">
        <f>IF(Tableau1[[#This Row],[Quantité (H)]]=0,0,Tableau1[[#This Row],[Gasoil (L)]]/Tableau1[[#This Row],[Quantité (H)]])</f>
        <v>6.5517241379310347</v>
      </c>
      <c r="O156" s="23">
        <f>Tableau1[[#This Row],[Productivité]]-Tableau1[[#This Row],[ les Charges]]</f>
        <v>0</v>
      </c>
      <c r="R156" s="23">
        <f>VLOOKUP(Tableau1[[#This Row],[Code]],$V$3:$Z$157,4,)</f>
        <v>16825</v>
      </c>
      <c r="S156" s="23">
        <f>VLOOKUP(Tableau1[[#This Row],[Code]],$V$3:$Z$157,5,)</f>
        <v>14365</v>
      </c>
    </row>
    <row r="157" spans="1:19" hidden="1" x14ac:dyDescent="0.25">
      <c r="A157" s="13">
        <v>44286</v>
      </c>
      <c r="B157" t="s">
        <v>82</v>
      </c>
      <c r="C157" t="s">
        <v>85</v>
      </c>
      <c r="D157" t="s">
        <v>52</v>
      </c>
      <c r="E157" s="3">
        <v>76</v>
      </c>
      <c r="F157">
        <v>493</v>
      </c>
      <c r="G157">
        <v>0</v>
      </c>
      <c r="H157">
        <v>0</v>
      </c>
      <c r="I157">
        <v>0</v>
      </c>
      <c r="J157">
        <v>5</v>
      </c>
      <c r="K157" s="23">
        <f>IF(Tableau1[[#This Row],[Quantité (H)]]=0,0,Tableau1[[#This Row],[Gasoil (L)]]/Tableau1[[#This Row],[Quantité (H)]])</f>
        <v>6.4868421052631575</v>
      </c>
      <c r="M157" s="23">
        <v>8343.41</v>
      </c>
      <c r="N157" s="23">
        <v>26125</v>
      </c>
      <c r="O157" s="23">
        <f>Tableau1[[#This Row],[Productivité]]-Tableau1[[#This Row],[ les Charges]]</f>
        <v>17781.59</v>
      </c>
      <c r="R157" s="23">
        <f>VLOOKUP(Tableau1[[#This Row],[Code]],$V$3:$Z$157,4,)</f>
        <v>16825</v>
      </c>
      <c r="S157" s="23">
        <f>VLOOKUP(Tableau1[[#This Row],[Code]],$V$3:$Z$157,5,)</f>
        <v>14365</v>
      </c>
    </row>
    <row r="158" spans="1:19" hidden="1" x14ac:dyDescent="0.25">
      <c r="A158" s="13">
        <v>44286</v>
      </c>
      <c r="B158" t="s">
        <v>79</v>
      </c>
      <c r="C158" t="s">
        <v>42</v>
      </c>
      <c r="D158" t="s">
        <v>28</v>
      </c>
      <c r="E158" s="65">
        <v>68</v>
      </c>
      <c r="F158">
        <v>455</v>
      </c>
      <c r="G158">
        <v>25</v>
      </c>
      <c r="H158">
        <v>0</v>
      </c>
      <c r="I158">
        <v>5</v>
      </c>
      <c r="J158">
        <v>10</v>
      </c>
      <c r="K158" s="23">
        <f>IF(Tableau1[[#This Row],[Quantité (H)]]=0,0,Tableau1[[#This Row],[Gasoil (L)]]/Tableau1[[#This Row],[Quantité (H)]])</f>
        <v>6.6911764705882355</v>
      </c>
      <c r="O158" s="23">
        <f>Tableau1[[#This Row],[Productivité]]-Tableau1[[#This Row],[ les Charges]]</f>
        <v>0</v>
      </c>
      <c r="R158" s="23">
        <f>VLOOKUP(Tableau1[[#This Row],[Code]],$V$3:$Z$157,4,)</f>
        <v>61200</v>
      </c>
      <c r="S158" s="23">
        <f>VLOOKUP(Tableau1[[#This Row],[Code]],$V$3:$Z$157,5,)</f>
        <v>36270</v>
      </c>
    </row>
    <row r="159" spans="1:19" hidden="1" x14ac:dyDescent="0.25">
      <c r="A159" s="13">
        <v>44286</v>
      </c>
      <c r="B159" t="s">
        <v>80</v>
      </c>
      <c r="C159" t="s">
        <v>42</v>
      </c>
      <c r="D159" t="s">
        <v>28</v>
      </c>
      <c r="E159" s="65">
        <v>30</v>
      </c>
      <c r="F159">
        <v>486</v>
      </c>
      <c r="G159">
        <v>10</v>
      </c>
      <c r="H159">
        <v>0</v>
      </c>
      <c r="I159">
        <v>0</v>
      </c>
      <c r="J159">
        <v>0</v>
      </c>
      <c r="K159" s="23">
        <f>IF(Tableau1[[#This Row],[Quantité (H)]]=0,0,Tableau1[[#This Row],[Gasoil (L)]]/Tableau1[[#This Row],[Quantité (H)]])</f>
        <v>16.2</v>
      </c>
      <c r="M159" s="23">
        <v>8668.11</v>
      </c>
      <c r="N159" s="23">
        <v>42534</v>
      </c>
      <c r="O159" s="23">
        <f>Tableau1[[#This Row],[Productivité]]-Tableau1[[#This Row],[ les Charges]]</f>
        <v>33865.89</v>
      </c>
      <c r="R159" s="23">
        <f>VLOOKUP(Tableau1[[#This Row],[Code]],$V$3:$Z$157,4,)</f>
        <v>61200</v>
      </c>
      <c r="S159" s="23">
        <f>VLOOKUP(Tableau1[[#This Row],[Code]],$V$3:$Z$157,5,)</f>
        <v>36270</v>
      </c>
    </row>
    <row r="160" spans="1:19" hidden="1" x14ac:dyDescent="0.25">
      <c r="A160" s="13">
        <v>44286</v>
      </c>
      <c r="B160" t="s">
        <v>79</v>
      </c>
      <c r="C160" t="s">
        <v>42</v>
      </c>
      <c r="D160" t="s">
        <v>29</v>
      </c>
      <c r="E160" s="65">
        <v>295</v>
      </c>
      <c r="F160">
        <v>1970.39</v>
      </c>
      <c r="G160">
        <v>50</v>
      </c>
      <c r="H160">
        <v>0</v>
      </c>
      <c r="I160">
        <v>25</v>
      </c>
      <c r="J160">
        <v>20</v>
      </c>
      <c r="K160" s="23">
        <f>IF(Tableau1[[#This Row],[Quantité (H)]]=0,0,Tableau1[[#This Row],[Gasoil (L)]]/Tableau1[[#This Row],[Quantité (H)]])</f>
        <v>6.6792881355932208</v>
      </c>
      <c r="M160" s="23">
        <v>18479.189999999999</v>
      </c>
      <c r="N160" s="23">
        <v>102220</v>
      </c>
      <c r="O160" s="23">
        <f>Tableau1[[#This Row],[Productivité]]-Tableau1[[#This Row],[ les Charges]]</f>
        <v>83740.81</v>
      </c>
      <c r="R160" s="23">
        <f>VLOOKUP(Tableau1[[#This Row],[Code]],$V$3:$Z$157,4,)</f>
        <v>79800</v>
      </c>
      <c r="S160" s="23">
        <f>VLOOKUP(Tableau1[[#This Row],[Code]],$V$3:$Z$157,5,)</f>
        <v>67812.800000000003</v>
      </c>
    </row>
    <row r="161" spans="1:19" hidden="1" x14ac:dyDescent="0.25">
      <c r="A161" s="13">
        <v>44286</v>
      </c>
      <c r="B161" t="s">
        <v>84</v>
      </c>
      <c r="C161" t="s">
        <v>42</v>
      </c>
      <c r="D161" t="s">
        <v>94</v>
      </c>
      <c r="E161">
        <v>92</v>
      </c>
      <c r="F161">
        <v>1507</v>
      </c>
      <c r="G161">
        <v>75</v>
      </c>
      <c r="H161">
        <v>0</v>
      </c>
      <c r="I161">
        <v>86</v>
      </c>
      <c r="J161">
        <v>0</v>
      </c>
      <c r="K161" s="23">
        <f>IF(Tableau1[[#This Row],[Quantité (H)]]=0,0,Tableau1[[#This Row],[Gasoil (L)]]/Tableau1[[#This Row],[Quantité (H)]])</f>
        <v>16.380434782608695</v>
      </c>
      <c r="M161" s="23">
        <v>18942.45</v>
      </c>
      <c r="N161" s="23">
        <v>34960</v>
      </c>
      <c r="O161" s="23">
        <f>Tableau1[[#This Row],[Productivité]]-Tableau1[[#This Row],[ les Charges]]</f>
        <v>16017.55</v>
      </c>
      <c r="R161" s="23">
        <f>VLOOKUP(Tableau1[[#This Row],[Code]],$V$3:$Z$157,4,)</f>
        <v>59660</v>
      </c>
      <c r="S161" s="23">
        <f>VLOOKUP(Tableau1[[#This Row],[Code]],$V$3:$Z$157,5,)</f>
        <v>39448.35</v>
      </c>
    </row>
    <row r="162" spans="1:19" hidden="1" x14ac:dyDescent="0.25">
      <c r="A162" s="13">
        <v>44286</v>
      </c>
      <c r="B162" t="s">
        <v>80</v>
      </c>
      <c r="C162" t="s">
        <v>85</v>
      </c>
      <c r="D162" t="s">
        <v>51</v>
      </c>
      <c r="E162" s="65">
        <v>4</v>
      </c>
      <c r="F162">
        <v>191</v>
      </c>
      <c r="G162">
        <v>0</v>
      </c>
      <c r="H162">
        <v>0</v>
      </c>
      <c r="I162">
        <v>3</v>
      </c>
      <c r="J162">
        <v>0</v>
      </c>
      <c r="K162" s="23">
        <f>IF(Tableau1[[#This Row],[Quantité (H)]]=0,0,Tableau1[[#This Row],[Gasoil (L)]]/Tableau1[[#This Row],[Quantité (H)]])</f>
        <v>47.75</v>
      </c>
      <c r="M162" s="23">
        <v>0</v>
      </c>
      <c r="N162" s="23">
        <v>1400</v>
      </c>
      <c r="O162" s="23">
        <f>Tableau1[[#This Row],[Productivité]]-Tableau1[[#This Row],[ les Charges]]</f>
        <v>1400</v>
      </c>
      <c r="R162" s="23">
        <f>VLOOKUP(Tableau1[[#This Row],[Code]],$V$3:$Z$157,4,)</f>
        <v>20825</v>
      </c>
      <c r="S162" s="23">
        <f>VLOOKUP(Tableau1[[#This Row],[Code]],$V$3:$Z$157,5,)</f>
        <v>12880</v>
      </c>
    </row>
    <row r="163" spans="1:19" hidden="1" x14ac:dyDescent="0.25">
      <c r="A163" s="13">
        <v>44286</v>
      </c>
      <c r="B163" t="s">
        <v>79</v>
      </c>
      <c r="C163" t="s">
        <v>175</v>
      </c>
      <c r="D163" s="65" t="s">
        <v>30</v>
      </c>
      <c r="E163" s="65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 s="23">
        <f>IF(Tableau1[[#This Row],[Quantité (H)]]=0,0,Tableau1[[#This Row],[Gasoil (L)]]/Tableau1[[#This Row],[Quantité (H)]])</f>
        <v>0</v>
      </c>
      <c r="M163" s="23">
        <v>0</v>
      </c>
      <c r="N163" s="23">
        <v>0</v>
      </c>
      <c r="O163" s="23">
        <f>Tableau1[[#This Row],[Productivité]]-Tableau1[[#This Row],[ les Charges]]</f>
        <v>0</v>
      </c>
      <c r="R163" s="23">
        <f>VLOOKUP(Tableau1[[#This Row],[Code]],$V$3:$Z$157,4,)</f>
        <v>125425</v>
      </c>
      <c r="S163" s="23">
        <f>VLOOKUP(Tableau1[[#This Row],[Code]],$V$3:$Z$157,5,)</f>
        <v>124585</v>
      </c>
    </row>
    <row r="164" spans="1:19" hidden="1" x14ac:dyDescent="0.25">
      <c r="A164" s="13">
        <v>44286</v>
      </c>
      <c r="B164" t="s">
        <v>80</v>
      </c>
      <c r="C164" t="s">
        <v>195</v>
      </c>
      <c r="D164" t="s">
        <v>38</v>
      </c>
      <c r="E164" s="65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 s="23">
        <f>IF(Tableau1[[#This Row],[Quantité (H)]]=0,0,Tableau1[[#This Row],[Gasoil (L)]]/Tableau1[[#This Row],[Quantité (H)]])</f>
        <v>0</v>
      </c>
      <c r="M164" s="23">
        <v>59609.29</v>
      </c>
      <c r="N164" s="23">
        <v>0</v>
      </c>
      <c r="O164" s="23">
        <f>Tableau1[[#This Row],[Productivité]]-Tableau1[[#This Row],[ les Charges]]</f>
        <v>-59609.29</v>
      </c>
      <c r="R164" s="23">
        <f>VLOOKUP(Tableau1[[#This Row],[Code]],$V$3:$Z$157,4,)</f>
        <v>197800</v>
      </c>
      <c r="S164" s="23">
        <f>VLOOKUP(Tableau1[[#This Row],[Code]],$V$3:$Z$157,5,)</f>
        <v>151683.24</v>
      </c>
    </row>
    <row r="165" spans="1:19" hidden="1" x14ac:dyDescent="0.25">
      <c r="A165" s="13">
        <v>44286</v>
      </c>
      <c r="B165" t="s">
        <v>116</v>
      </c>
      <c r="C165" t="s">
        <v>39</v>
      </c>
      <c r="D165" t="s">
        <v>11</v>
      </c>
      <c r="E165" s="65">
        <v>84</v>
      </c>
      <c r="F165">
        <v>1072.58</v>
      </c>
      <c r="G165">
        <v>7</v>
      </c>
      <c r="H165">
        <v>0</v>
      </c>
      <c r="I165">
        <v>0</v>
      </c>
      <c r="J165">
        <v>0</v>
      </c>
      <c r="K165" s="23">
        <f>IF(Tableau1[[#This Row],[Quantité (H)]]=0,0,Tableau1[[#This Row],[Gasoil (L)]]/Tableau1[[#This Row],[Quantité (H)]])</f>
        <v>12.768809523809523</v>
      </c>
      <c r="O165" s="23">
        <f>Tableau1[[#This Row],[Productivité]]-Tableau1[[#This Row],[ les Charges]]</f>
        <v>0</v>
      </c>
      <c r="R165" s="23">
        <f>VLOOKUP(Tableau1[[#This Row],[Code]],$V$3:$Z$157,4,)</f>
        <v>47500</v>
      </c>
      <c r="S165" s="23">
        <f>VLOOKUP(Tableau1[[#This Row],[Code]],$V$3:$Z$157,5,)</f>
        <v>30180.01</v>
      </c>
    </row>
    <row r="166" spans="1:19" hidden="1" x14ac:dyDescent="0.25">
      <c r="A166" s="13">
        <v>44286</v>
      </c>
      <c r="B166" t="s">
        <v>80</v>
      </c>
      <c r="C166" t="s">
        <v>39</v>
      </c>
      <c r="D166" t="s">
        <v>11</v>
      </c>
      <c r="E166" s="65">
        <v>13</v>
      </c>
      <c r="F166">
        <v>357</v>
      </c>
      <c r="G166">
        <v>2</v>
      </c>
      <c r="H166">
        <v>0</v>
      </c>
      <c r="I166">
        <v>4</v>
      </c>
      <c r="J166">
        <v>0</v>
      </c>
      <c r="K166" s="23">
        <f>IF(Tableau1[[#This Row],[Quantité (H)]]=0,0,Tableau1[[#This Row],[Gasoil (L)]]/Tableau1[[#This Row],[Quantité (H)]])</f>
        <v>27.46153846153846</v>
      </c>
      <c r="M166" s="23">
        <v>12040.45</v>
      </c>
      <c r="N166" s="23">
        <v>48500</v>
      </c>
      <c r="O166" s="23">
        <f>Tableau1[[#This Row],[Productivité]]-Tableau1[[#This Row],[ les Charges]]</f>
        <v>36459.550000000003</v>
      </c>
      <c r="R166" s="23">
        <f>VLOOKUP(Tableau1[[#This Row],[Code]],$V$3:$Z$157,4,)</f>
        <v>47500</v>
      </c>
      <c r="S166" s="23">
        <f>VLOOKUP(Tableau1[[#This Row],[Code]],$V$3:$Z$157,5,)</f>
        <v>30180.01</v>
      </c>
    </row>
    <row r="167" spans="1:19" hidden="1" x14ac:dyDescent="0.25">
      <c r="A167" s="13">
        <v>44286</v>
      </c>
      <c r="B167" t="s">
        <v>83</v>
      </c>
      <c r="C167" t="s">
        <v>39</v>
      </c>
      <c r="D167" t="s">
        <v>13</v>
      </c>
      <c r="E167" s="3">
        <v>195</v>
      </c>
      <c r="F167">
        <v>1789</v>
      </c>
      <c r="G167">
        <v>10</v>
      </c>
      <c r="H167">
        <v>0</v>
      </c>
      <c r="I167">
        <v>10</v>
      </c>
      <c r="J167">
        <v>2.5</v>
      </c>
      <c r="K167" s="23">
        <f>IF(Tableau1[[#This Row],[Quantité (H)]]=0,0,Tableau1[[#This Row],[Gasoil (L)]]/Tableau1[[#This Row],[Quantité (H)]])</f>
        <v>9.1743589743589737</v>
      </c>
      <c r="M167" s="23">
        <v>30005.62</v>
      </c>
      <c r="N167" s="23">
        <v>78000</v>
      </c>
      <c r="O167" s="23">
        <f>Tableau1[[#This Row],[Productivité]]-Tableau1[[#This Row],[ les Charges]]</f>
        <v>47994.380000000005</v>
      </c>
      <c r="R167" s="23">
        <f>VLOOKUP(Tableau1[[#This Row],[Code]],$V$3:$Z$157,4,)</f>
        <v>60400</v>
      </c>
      <c r="S167" s="23">
        <f>VLOOKUP(Tableau1[[#This Row],[Code]],$V$3:$Z$157,5,)</f>
        <v>54930</v>
      </c>
    </row>
    <row r="168" spans="1:19" hidden="1" x14ac:dyDescent="0.25">
      <c r="A168" s="13">
        <v>44286</v>
      </c>
      <c r="B168" t="s">
        <v>80</v>
      </c>
      <c r="C168" t="s">
        <v>39</v>
      </c>
      <c r="D168" t="s">
        <v>14</v>
      </c>
      <c r="E168" s="65">
        <v>191</v>
      </c>
      <c r="F168">
        <v>3018</v>
      </c>
      <c r="G168">
        <v>20</v>
      </c>
      <c r="H168">
        <v>0</v>
      </c>
      <c r="I168">
        <v>0</v>
      </c>
      <c r="J168">
        <v>4</v>
      </c>
      <c r="K168" s="23">
        <f>IF(Tableau1[[#This Row],[Quantité (H)]]=0,0,Tableau1[[#This Row],[Gasoil (L)]]/Tableau1[[#This Row],[Quantité (H)]])</f>
        <v>15.801047120418849</v>
      </c>
      <c r="M168" s="23">
        <v>42762.71</v>
      </c>
      <c r="N168" s="23">
        <v>91500</v>
      </c>
      <c r="O168" s="23">
        <f>Tableau1[[#This Row],[Productivité]]-Tableau1[[#This Row],[ les Charges]]</f>
        <v>48737.29</v>
      </c>
      <c r="R168" s="23">
        <f>VLOOKUP(Tableau1[[#This Row],[Code]],$V$3:$Z$157,4,)</f>
        <v>51000</v>
      </c>
      <c r="S168" s="23">
        <f>VLOOKUP(Tableau1[[#This Row],[Code]],$V$3:$Z$157,5,)</f>
        <v>30047.599999999999</v>
      </c>
    </row>
    <row r="169" spans="1:19" hidden="1" x14ac:dyDescent="0.25">
      <c r="A169" s="13">
        <v>44286</v>
      </c>
      <c r="B169" t="s">
        <v>80</v>
      </c>
      <c r="C169" t="s">
        <v>39</v>
      </c>
      <c r="D169" t="s">
        <v>15</v>
      </c>
      <c r="E169" s="65">
        <v>0</v>
      </c>
      <c r="F169">
        <v>51</v>
      </c>
      <c r="G169">
        <v>0</v>
      </c>
      <c r="H169">
        <v>0</v>
      </c>
      <c r="I169">
        <v>7</v>
      </c>
      <c r="J169">
        <v>0</v>
      </c>
      <c r="K169" s="23">
        <f>IF(Tableau1[[#This Row],[Quantité (H)]]=0,0,Tableau1[[#This Row],[Gasoil (L)]]/Tableau1[[#This Row],[Quantité (H)]])</f>
        <v>0</v>
      </c>
      <c r="M169" s="23">
        <v>14144.61</v>
      </c>
      <c r="N169" s="23">
        <v>0</v>
      </c>
      <c r="O169" s="23">
        <f>Tableau1[[#This Row],[Productivité]]-Tableau1[[#This Row],[ les Charges]]</f>
        <v>-14144.61</v>
      </c>
      <c r="R169" s="23">
        <f>VLOOKUP(Tableau1[[#This Row],[Code]],$V$3:$Z$157,4,)</f>
        <v>54500</v>
      </c>
      <c r="S169" s="23">
        <f>VLOOKUP(Tableau1[[#This Row],[Code]],$V$3:$Z$157,5,)</f>
        <v>39930</v>
      </c>
    </row>
    <row r="170" spans="1:19" hidden="1" x14ac:dyDescent="0.25">
      <c r="A170" s="13">
        <v>44286</v>
      </c>
      <c r="B170" t="s">
        <v>79</v>
      </c>
      <c r="C170" t="s">
        <v>92</v>
      </c>
      <c r="D170" t="s">
        <v>95</v>
      </c>
      <c r="E170" s="65">
        <v>95</v>
      </c>
      <c r="F170">
        <v>69</v>
      </c>
      <c r="G170">
        <v>1</v>
      </c>
      <c r="H170">
        <v>0</v>
      </c>
      <c r="I170">
        <v>1</v>
      </c>
      <c r="J170">
        <v>0</v>
      </c>
      <c r="K170" s="23">
        <f>IF(Tableau1[[#This Row],[Quantité (H)]]=0,0,Tableau1[[#This Row],[Gasoil (L)]]/Tableau1[[#This Row],[Quantité (H)]])</f>
        <v>0.72631578947368425</v>
      </c>
      <c r="L170" s="23">
        <v>6.0841195661758229</v>
      </c>
      <c r="M170" s="23">
        <v>33.119999999999997</v>
      </c>
      <c r="N170" s="23">
        <v>0</v>
      </c>
      <c r="O170" s="23">
        <f>Tableau1[[#This Row],[Productivité]]-Tableau1[[#This Row],[ les Charges]]</f>
        <v>-33.119999999999997</v>
      </c>
      <c r="R170" s="23">
        <f>VLOOKUP(Tableau1[[#This Row],[Code]],$V$3:$Z$157,4,)</f>
        <v>0</v>
      </c>
      <c r="S170" s="23">
        <f>VLOOKUP(Tableau1[[#This Row],[Code]],$V$3:$Z$157,5,)</f>
        <v>0</v>
      </c>
    </row>
    <row r="171" spans="1:19" hidden="1" x14ac:dyDescent="0.25">
      <c r="A171" s="13">
        <v>44286</v>
      </c>
      <c r="B171" t="s">
        <v>80</v>
      </c>
      <c r="C171" t="s">
        <v>92</v>
      </c>
      <c r="D171" t="s">
        <v>98</v>
      </c>
      <c r="E171" s="65">
        <v>0</v>
      </c>
      <c r="F171">
        <v>23</v>
      </c>
      <c r="G171">
        <v>0</v>
      </c>
      <c r="H171">
        <v>0</v>
      </c>
      <c r="I171">
        <v>0</v>
      </c>
      <c r="J171">
        <v>0</v>
      </c>
      <c r="K171" s="23">
        <f>IF(Tableau1[[#This Row],[Quantité (H)]]=0,0,Tableau1[[#This Row],[Gasoil (L)]]/Tableau1[[#This Row],[Quantité (H)]])</f>
        <v>0</v>
      </c>
      <c r="M171" s="23">
        <v>543.5</v>
      </c>
      <c r="N171" s="23">
        <v>0</v>
      </c>
      <c r="O171" s="23">
        <f>Tableau1[[#This Row],[Productivité]]-Tableau1[[#This Row],[ les Charges]]</f>
        <v>-543.5</v>
      </c>
      <c r="R171" s="23">
        <f>VLOOKUP(Tableau1[[#This Row],[Code]],$V$3:$Z$157,4,)</f>
        <v>0</v>
      </c>
      <c r="S171" s="23">
        <f>VLOOKUP(Tableau1[[#This Row],[Code]],$V$3:$Z$157,5,)</f>
        <v>0</v>
      </c>
    </row>
    <row r="172" spans="1:19" hidden="1" x14ac:dyDescent="0.25">
      <c r="A172" s="13">
        <v>44286</v>
      </c>
      <c r="B172" t="s">
        <v>79</v>
      </c>
      <c r="C172" t="s">
        <v>92</v>
      </c>
      <c r="D172" t="s">
        <v>99</v>
      </c>
      <c r="E172" s="65">
        <v>326</v>
      </c>
      <c r="F172">
        <v>7625.4699999999993</v>
      </c>
      <c r="G172">
        <v>71</v>
      </c>
      <c r="H172">
        <v>0</v>
      </c>
      <c r="I172">
        <v>0</v>
      </c>
      <c r="J172">
        <v>0</v>
      </c>
      <c r="K172" s="23">
        <f>IF(Tableau1[[#This Row],[Quantité (H)]]=0,0,Tableau1[[#This Row],[Gasoil (L)]]/Tableau1[[#This Row],[Quantité (H)]])</f>
        <v>23.391012269938649</v>
      </c>
      <c r="L172" s="23">
        <v>40.636664002131624</v>
      </c>
      <c r="M172" s="23">
        <v>65016.92</v>
      </c>
      <c r="N172" s="23">
        <v>0</v>
      </c>
      <c r="O172" s="23">
        <f>Tableau1[[#This Row],[Productivité]]-Tableau1[[#This Row],[ les Charges]]</f>
        <v>-65016.92</v>
      </c>
      <c r="R172" s="23">
        <f>VLOOKUP(Tableau1[[#This Row],[Code]],$V$3:$Z$157,4,)</f>
        <v>0</v>
      </c>
      <c r="S172" s="23">
        <f>VLOOKUP(Tableau1[[#This Row],[Code]],$V$3:$Z$157,5,)</f>
        <v>-1320</v>
      </c>
    </row>
    <row r="173" spans="1:19" hidden="1" x14ac:dyDescent="0.25">
      <c r="A173" s="13">
        <v>44286</v>
      </c>
      <c r="B173" t="s">
        <v>116</v>
      </c>
      <c r="C173" t="s">
        <v>92</v>
      </c>
      <c r="D173" t="s">
        <v>101</v>
      </c>
      <c r="E173">
        <v>6</v>
      </c>
      <c r="F173">
        <v>18</v>
      </c>
      <c r="G173">
        <v>0</v>
      </c>
      <c r="H173">
        <v>0</v>
      </c>
      <c r="I173">
        <v>0</v>
      </c>
      <c r="J173">
        <v>0</v>
      </c>
      <c r="K173" s="23">
        <f>IF(Tableau1[[#This Row],[Quantité (H)]]=0,0,Tableau1[[#This Row],[Gasoil (L)]]/Tableau1[[#This Row],[Quantité (H)]])</f>
        <v>3</v>
      </c>
      <c r="M173" s="23">
        <v>2853.16</v>
      </c>
      <c r="N173" s="23">
        <v>0</v>
      </c>
      <c r="O173" s="23">
        <f>Tableau1[[#This Row],[Productivité]]-Tableau1[[#This Row],[ les Charges]]</f>
        <v>-2853.16</v>
      </c>
      <c r="R173" s="23">
        <f>VLOOKUP(Tableau1[[#This Row],[Code]],$V$3:$Z$157,4,)</f>
        <v>0</v>
      </c>
      <c r="S173" s="23">
        <f>VLOOKUP(Tableau1[[#This Row],[Code]],$V$3:$Z$157,5,)</f>
        <v>0</v>
      </c>
    </row>
    <row r="174" spans="1:19" hidden="1" x14ac:dyDescent="0.25">
      <c r="A174" s="13">
        <v>44286</v>
      </c>
      <c r="B174" t="s">
        <v>80</v>
      </c>
      <c r="C174" t="s">
        <v>92</v>
      </c>
      <c r="D174" t="s">
        <v>101</v>
      </c>
      <c r="E174" s="65">
        <v>0</v>
      </c>
      <c r="F174">
        <v>196</v>
      </c>
      <c r="G174">
        <v>4</v>
      </c>
      <c r="H174">
        <v>0</v>
      </c>
      <c r="I174">
        <v>0</v>
      </c>
      <c r="J174">
        <v>0</v>
      </c>
      <c r="K174" s="23">
        <f>IF(Tableau1[[#This Row],[Quantité (H)]]=0,0,Tableau1[[#This Row],[Gasoil (L)]]/Tableau1[[#This Row],[Quantité (H)]])</f>
        <v>0</v>
      </c>
      <c r="O174" s="23">
        <f>Tableau1[[#This Row],[Productivité]]-Tableau1[[#This Row],[ les Charges]]</f>
        <v>0</v>
      </c>
      <c r="R174" s="23">
        <f>VLOOKUP(Tableau1[[#This Row],[Code]],$V$3:$Z$157,4,)</f>
        <v>0</v>
      </c>
      <c r="S174" s="23">
        <f>VLOOKUP(Tableau1[[#This Row],[Code]],$V$3:$Z$157,5,)</f>
        <v>0</v>
      </c>
    </row>
    <row r="175" spans="1:19" hidden="1" x14ac:dyDescent="0.25">
      <c r="A175" s="13">
        <v>44286</v>
      </c>
      <c r="B175" t="s">
        <v>84</v>
      </c>
      <c r="C175" t="s">
        <v>92</v>
      </c>
      <c r="D175" t="s">
        <v>102</v>
      </c>
      <c r="E175" s="65">
        <v>42</v>
      </c>
      <c r="F175">
        <v>81.5</v>
      </c>
      <c r="G175">
        <v>0</v>
      </c>
      <c r="H175">
        <v>0</v>
      </c>
      <c r="I175">
        <v>0</v>
      </c>
      <c r="J175">
        <v>0</v>
      </c>
      <c r="K175" s="23">
        <f>IF(Tableau1[[#This Row],[Quantité (H)]]=0,0,Tableau1[[#This Row],[Gasoil (L)]]/Tableau1[[#This Row],[Quantité (H)]])</f>
        <v>1.9404761904761905</v>
      </c>
      <c r="M175" s="23">
        <v>734.81</v>
      </c>
      <c r="N175" s="23">
        <v>0</v>
      </c>
      <c r="O175" s="23">
        <f>Tableau1[[#This Row],[Productivité]]-Tableau1[[#This Row],[ les Charges]]</f>
        <v>-734.81</v>
      </c>
      <c r="R175" s="23">
        <f>VLOOKUP(Tableau1[[#This Row],[Code]],$V$3:$Z$157,4,)</f>
        <v>0</v>
      </c>
      <c r="S175" s="23">
        <f>VLOOKUP(Tableau1[[#This Row],[Code]],$V$3:$Z$157,5,)</f>
        <v>0</v>
      </c>
    </row>
    <row r="176" spans="1:19" hidden="1" x14ac:dyDescent="0.25">
      <c r="A176" s="13">
        <v>44286</v>
      </c>
      <c r="B176" t="s">
        <v>80</v>
      </c>
      <c r="C176" t="s">
        <v>92</v>
      </c>
      <c r="D176" t="s">
        <v>104</v>
      </c>
      <c r="E176">
        <v>0</v>
      </c>
      <c r="F176">
        <v>42</v>
      </c>
      <c r="G176">
        <v>7</v>
      </c>
      <c r="H176">
        <v>0</v>
      </c>
      <c r="I176">
        <v>0</v>
      </c>
      <c r="J176">
        <v>0</v>
      </c>
      <c r="K176" s="23">
        <f>IF(Tableau1[[#This Row],[Quantité (H)]]=0,0,Tableau1[[#This Row],[Gasoil (L)]]/Tableau1[[#This Row],[Quantité (H)]])</f>
        <v>0</v>
      </c>
      <c r="M176" s="23">
        <v>313.31</v>
      </c>
      <c r="N176" s="23">
        <v>0</v>
      </c>
      <c r="O176" s="23">
        <f>Tableau1[[#This Row],[Productivité]]-Tableau1[[#This Row],[ les Charges]]</f>
        <v>-313.31</v>
      </c>
      <c r="R176" s="23">
        <f>VLOOKUP(Tableau1[[#This Row],[Code]],$V$3:$Z$157,4,)</f>
        <v>0</v>
      </c>
      <c r="S176" s="23">
        <f>VLOOKUP(Tableau1[[#This Row],[Code]],$V$3:$Z$157,5,)</f>
        <v>0</v>
      </c>
    </row>
    <row r="177" spans="1:19" hidden="1" x14ac:dyDescent="0.25">
      <c r="A177" s="13">
        <v>44286</v>
      </c>
      <c r="B177" t="s">
        <v>79</v>
      </c>
      <c r="C177" t="s">
        <v>92</v>
      </c>
      <c r="D177" t="s">
        <v>107</v>
      </c>
      <c r="E177" s="3">
        <v>78</v>
      </c>
      <c r="F177">
        <v>118</v>
      </c>
      <c r="G177">
        <v>6</v>
      </c>
      <c r="H177">
        <v>0</v>
      </c>
      <c r="I177">
        <v>0</v>
      </c>
      <c r="J177">
        <v>0</v>
      </c>
      <c r="K177" s="23">
        <f>IF(Tableau1[[#This Row],[Quantité (H)]]=0,0,Tableau1[[#This Row],[Gasoil (L)]]/Tableau1[[#This Row],[Quantité (H)]])</f>
        <v>1.5128205128205128</v>
      </c>
      <c r="O177" s="23">
        <f>Tableau1[[#This Row],[Productivité]]-Tableau1[[#This Row],[ les Charges]]</f>
        <v>0</v>
      </c>
      <c r="R177" s="23" t="e">
        <f>VLOOKUP(Tableau1[[#This Row],[Code]],$V$3:$Z$157,4,)</f>
        <v>#N/A</v>
      </c>
      <c r="S177" s="23" t="e">
        <f>VLOOKUP(Tableau1[[#This Row],[Code]],$V$3:$Z$157,5,)</f>
        <v>#N/A</v>
      </c>
    </row>
    <row r="178" spans="1:19" hidden="1" x14ac:dyDescent="0.25">
      <c r="A178" s="13">
        <v>44286</v>
      </c>
      <c r="B178" t="s">
        <v>84</v>
      </c>
      <c r="C178" t="s">
        <v>41</v>
      </c>
      <c r="D178" t="s">
        <v>20</v>
      </c>
      <c r="E178" s="65">
        <v>91</v>
      </c>
      <c r="F178">
        <v>1650</v>
      </c>
      <c r="G178">
        <v>0</v>
      </c>
      <c r="H178">
        <v>0</v>
      </c>
      <c r="I178">
        <v>15</v>
      </c>
      <c r="J178">
        <v>10</v>
      </c>
      <c r="K178" s="23">
        <f>IF(Tableau1[[#This Row],[Quantité (H)]]=0,0,Tableau1[[#This Row],[Gasoil (L)]]/Tableau1[[#This Row],[Quantité (H)]])</f>
        <v>18.131868131868131</v>
      </c>
      <c r="M178" s="23">
        <v>40095.550000000003</v>
      </c>
      <c r="N178" s="23">
        <v>39270</v>
      </c>
      <c r="O178" s="23">
        <f>Tableau1[[#This Row],[Productivité]]-Tableau1[[#This Row],[ les Charges]]</f>
        <v>-825.55000000000291</v>
      </c>
      <c r="R178" s="23">
        <f>VLOOKUP(Tableau1[[#This Row],[Code]],$V$3:$Z$157,4,)</f>
        <v>63000</v>
      </c>
      <c r="S178" s="23">
        <f>VLOOKUP(Tableau1[[#This Row],[Code]],$V$3:$Z$157,5,)</f>
        <v>27974.190000000002</v>
      </c>
    </row>
    <row r="179" spans="1:19" hidden="1" x14ac:dyDescent="0.25">
      <c r="A179" s="13">
        <v>44286</v>
      </c>
      <c r="B179" t="s">
        <v>83</v>
      </c>
      <c r="C179" t="s">
        <v>41</v>
      </c>
      <c r="D179" t="s">
        <v>21</v>
      </c>
      <c r="E179" s="65">
        <v>91</v>
      </c>
      <c r="F179">
        <v>1095</v>
      </c>
      <c r="G179">
        <v>57</v>
      </c>
      <c r="H179">
        <v>0</v>
      </c>
      <c r="I179">
        <v>0</v>
      </c>
      <c r="J179">
        <v>0</v>
      </c>
      <c r="K179" s="23">
        <f>IF(Tableau1[[#This Row],[Quantité (H)]]=0,0,Tableau1[[#This Row],[Gasoil (L)]]/Tableau1[[#This Row],[Quantité (H)]])</f>
        <v>12.032967032967033</v>
      </c>
      <c r="M179" s="23">
        <v>32077.87</v>
      </c>
      <c r="N179" s="23">
        <v>38220</v>
      </c>
      <c r="O179" s="23">
        <f>Tableau1[[#This Row],[Productivité]]-Tableau1[[#This Row],[ les Charges]]</f>
        <v>6142.130000000001</v>
      </c>
      <c r="R179" s="23">
        <f>VLOOKUP(Tableau1[[#This Row],[Code]],$V$3:$Z$157,4,)</f>
        <v>62160</v>
      </c>
      <c r="S179" s="23">
        <f>VLOOKUP(Tableau1[[#This Row],[Code]],$V$3:$Z$157,5,)</f>
        <v>44278.34</v>
      </c>
    </row>
    <row r="180" spans="1:19" hidden="1" x14ac:dyDescent="0.25">
      <c r="A180" s="13">
        <v>44286</v>
      </c>
      <c r="B180" t="s">
        <v>79</v>
      </c>
      <c r="C180" t="s">
        <v>41</v>
      </c>
      <c r="D180" t="s">
        <v>22</v>
      </c>
      <c r="E180" s="65">
        <v>241.5</v>
      </c>
      <c r="F180">
        <v>3298</v>
      </c>
      <c r="G180">
        <v>26</v>
      </c>
      <c r="H180">
        <v>0</v>
      </c>
      <c r="I180">
        <v>5</v>
      </c>
      <c r="J180">
        <v>15</v>
      </c>
      <c r="K180" s="23">
        <f>IF(Tableau1[[#This Row],[Quantité (H)]]=0,0,Tableau1[[#This Row],[Gasoil (L)]]/Tableau1[[#This Row],[Quantité (H)]])</f>
        <v>13.656314699792961</v>
      </c>
      <c r="M180" s="23">
        <v>56179.19</v>
      </c>
      <c r="N180" s="23">
        <v>98196</v>
      </c>
      <c r="O180" s="23">
        <f>Tableau1[[#This Row],[Productivité]]-Tableau1[[#This Row],[ les Charges]]</f>
        <v>42016.81</v>
      </c>
      <c r="R180" s="23">
        <f>VLOOKUP(Tableau1[[#This Row],[Code]],$V$3:$Z$157,4,)</f>
        <v>66780</v>
      </c>
      <c r="S180" s="23">
        <f>VLOOKUP(Tableau1[[#This Row],[Code]],$V$3:$Z$157,5,)</f>
        <v>53210</v>
      </c>
    </row>
    <row r="181" spans="1:19" hidden="1" x14ac:dyDescent="0.25">
      <c r="A181" s="13">
        <v>44286</v>
      </c>
      <c r="B181" t="s">
        <v>80</v>
      </c>
      <c r="C181" t="s">
        <v>41</v>
      </c>
      <c r="D181" t="s">
        <v>23</v>
      </c>
      <c r="E181" s="65">
        <v>232</v>
      </c>
      <c r="F181">
        <v>5650</v>
      </c>
      <c r="G181">
        <v>31</v>
      </c>
      <c r="H181">
        <v>0</v>
      </c>
      <c r="I181">
        <v>10</v>
      </c>
      <c r="J181">
        <v>17</v>
      </c>
      <c r="K181" s="23">
        <f>IF(Tableau1[[#This Row],[Quantité (H)]]=0,0,Tableau1[[#This Row],[Gasoil (L)]]/Tableau1[[#This Row],[Quantité (H)]])</f>
        <v>24.353448275862068</v>
      </c>
      <c r="M181" s="23">
        <v>71182.45</v>
      </c>
      <c r="N181" s="23">
        <v>83160</v>
      </c>
      <c r="O181" s="23">
        <f>Tableau1[[#This Row],[Productivité]]-Tableau1[[#This Row],[ les Charges]]</f>
        <v>11977.550000000003</v>
      </c>
      <c r="R181" s="23">
        <f>VLOOKUP(Tableau1[[#This Row],[Code]],$V$3:$Z$157,4,)</f>
        <v>47460</v>
      </c>
      <c r="S181" s="23">
        <f>VLOOKUP(Tableau1[[#This Row],[Code]],$V$3:$Z$157,5,)</f>
        <v>10890</v>
      </c>
    </row>
    <row r="182" spans="1:19" hidden="1" x14ac:dyDescent="0.25">
      <c r="A182" s="13">
        <v>44286</v>
      </c>
      <c r="B182" t="s">
        <v>80</v>
      </c>
      <c r="C182" t="s">
        <v>41</v>
      </c>
      <c r="D182" t="s">
        <v>24</v>
      </c>
      <c r="E182" s="65">
        <v>235</v>
      </c>
      <c r="F182">
        <v>5967</v>
      </c>
      <c r="G182">
        <v>60</v>
      </c>
      <c r="H182">
        <v>0</v>
      </c>
      <c r="I182">
        <v>42</v>
      </c>
      <c r="J182">
        <v>19</v>
      </c>
      <c r="K182" s="23">
        <f>IF(Tableau1[[#This Row],[Quantité (H)]]=0,0,Tableau1[[#This Row],[Gasoil (L)]]/Tableau1[[#This Row],[Quantité (H)]])</f>
        <v>25.391489361702128</v>
      </c>
      <c r="M182" s="23">
        <v>80930.78</v>
      </c>
      <c r="N182" s="23">
        <v>99960</v>
      </c>
      <c r="O182" s="23">
        <f>Tableau1[[#This Row],[Productivité]]-Tableau1[[#This Row],[ les Charges]]</f>
        <v>19029.22</v>
      </c>
      <c r="R182" s="23">
        <f>VLOOKUP(Tableau1[[#This Row],[Code]],$V$3:$Z$157,4,)</f>
        <v>104580</v>
      </c>
      <c r="S182" s="23">
        <f>VLOOKUP(Tableau1[[#This Row],[Code]],$V$3:$Z$157,5,)</f>
        <v>40075</v>
      </c>
    </row>
    <row r="183" spans="1:19" hidden="1" x14ac:dyDescent="0.25">
      <c r="A183" s="13">
        <v>44286</v>
      </c>
      <c r="B183" t="s">
        <v>80</v>
      </c>
      <c r="C183" t="s">
        <v>41</v>
      </c>
      <c r="D183" t="s">
        <v>25</v>
      </c>
      <c r="E183" s="3">
        <v>94</v>
      </c>
      <c r="F183">
        <v>1862</v>
      </c>
      <c r="G183">
        <v>25</v>
      </c>
      <c r="H183">
        <v>0</v>
      </c>
      <c r="I183">
        <v>25</v>
      </c>
      <c r="J183">
        <v>14.5</v>
      </c>
      <c r="K183" s="23">
        <f>IF(Tableau1[[#This Row],[Quantité (H)]]=0,0,Tableau1[[#This Row],[Gasoil (L)]]/Tableau1[[#This Row],[Quantité (H)]])</f>
        <v>19.808510638297872</v>
      </c>
      <c r="M183" s="23">
        <v>54923.81</v>
      </c>
      <c r="N183" s="23">
        <v>50820</v>
      </c>
      <c r="O183" s="23">
        <f>Tableau1[[#This Row],[Productivité]]-Tableau1[[#This Row],[ les Charges]]</f>
        <v>-4103.8099999999977</v>
      </c>
      <c r="R183" s="23">
        <f>VLOOKUP(Tableau1[[#This Row],[Code]],$V$3:$Z$157,4,)</f>
        <v>56280</v>
      </c>
      <c r="S183" s="23">
        <f>VLOOKUP(Tableau1[[#This Row],[Code]],$V$3:$Z$157,5,)</f>
        <v>18395.010000000002</v>
      </c>
    </row>
    <row r="184" spans="1:19" hidden="1" x14ac:dyDescent="0.25">
      <c r="A184" s="13">
        <v>44286</v>
      </c>
      <c r="B184" t="s">
        <v>84</v>
      </c>
      <c r="C184" t="s">
        <v>41</v>
      </c>
      <c r="D184" t="s">
        <v>25</v>
      </c>
      <c r="E184" s="65">
        <v>80</v>
      </c>
      <c r="F184">
        <v>2014</v>
      </c>
      <c r="G184">
        <v>0</v>
      </c>
      <c r="H184">
        <v>0</v>
      </c>
      <c r="I184">
        <v>0</v>
      </c>
      <c r="J184">
        <v>10</v>
      </c>
      <c r="K184" s="23">
        <f>IF(Tableau1[[#This Row],[Quantité (H)]]=0,0,Tableau1[[#This Row],[Gasoil (L)]]/Tableau1[[#This Row],[Quantité (H)]])</f>
        <v>25.175000000000001</v>
      </c>
      <c r="O184" s="23">
        <f>Tableau1[[#This Row],[Productivité]]-Tableau1[[#This Row],[ les Charges]]</f>
        <v>0</v>
      </c>
      <c r="R184" s="23">
        <f>VLOOKUP(Tableau1[[#This Row],[Code]],$V$3:$Z$157,4,)</f>
        <v>56280</v>
      </c>
      <c r="S184" s="23">
        <f>VLOOKUP(Tableau1[[#This Row],[Code]],$V$3:$Z$157,5,)</f>
        <v>18395.010000000002</v>
      </c>
    </row>
    <row r="185" spans="1:19" hidden="1" x14ac:dyDescent="0.25">
      <c r="A185" s="13">
        <v>44286</v>
      </c>
      <c r="B185" t="s">
        <v>80</v>
      </c>
      <c r="C185" t="s">
        <v>41</v>
      </c>
      <c r="D185" s="65" t="s">
        <v>26</v>
      </c>
      <c r="E185" s="65">
        <v>201</v>
      </c>
      <c r="F185">
        <v>5755</v>
      </c>
      <c r="G185">
        <v>40</v>
      </c>
      <c r="H185">
        <v>0</v>
      </c>
      <c r="I185">
        <v>87</v>
      </c>
      <c r="J185">
        <v>20.5</v>
      </c>
      <c r="K185" s="23">
        <f>IF(Tableau1[[#This Row],[Quantité (H)]]=0,0,Tableau1[[#This Row],[Gasoil (L)]]/Tableau1[[#This Row],[Quantité (H)]])</f>
        <v>28.631840796019901</v>
      </c>
      <c r="M185" s="23">
        <v>68985.8</v>
      </c>
      <c r="N185" s="23">
        <v>65940</v>
      </c>
      <c r="O185" s="23">
        <f>Tableau1[[#This Row],[Productivité]]-Tableau1[[#This Row],[ les Charges]]</f>
        <v>-3045.8000000000029</v>
      </c>
      <c r="R185" s="23">
        <f>VLOOKUP(Tableau1[[#This Row],[Code]],$V$3:$Z$157,4,)</f>
        <v>96180</v>
      </c>
      <c r="S185" s="23">
        <f>VLOOKUP(Tableau1[[#This Row],[Code]],$V$3:$Z$157,5,)</f>
        <v>14650</v>
      </c>
    </row>
    <row r="186" spans="1:19" hidden="1" x14ac:dyDescent="0.25">
      <c r="A186" s="13">
        <v>44286</v>
      </c>
      <c r="B186" t="s">
        <v>83</v>
      </c>
      <c r="C186" t="s">
        <v>41</v>
      </c>
      <c r="D186" t="s">
        <v>27</v>
      </c>
      <c r="E186" s="3">
        <v>206</v>
      </c>
      <c r="F186">
        <v>1161</v>
      </c>
      <c r="G186">
        <v>0</v>
      </c>
      <c r="H186">
        <v>0</v>
      </c>
      <c r="I186">
        <v>20</v>
      </c>
      <c r="J186">
        <v>2.5</v>
      </c>
      <c r="K186" s="23">
        <f>IF(Tableau1[[#This Row],[Quantité (H)]]=0,0,Tableau1[[#This Row],[Gasoil (L)]]/Tableau1[[#This Row],[Quantité (H)]])</f>
        <v>5.6359223300970873</v>
      </c>
      <c r="L186" s="23">
        <v>12.733055494626015</v>
      </c>
      <c r="M186" s="23">
        <v>9845.2999999999993</v>
      </c>
      <c r="N186" s="23">
        <v>45320</v>
      </c>
      <c r="O186" s="23">
        <f>Tableau1[[#This Row],[Productivité]]-Tableau1[[#This Row],[ les Charges]]</f>
        <v>35474.699999999997</v>
      </c>
      <c r="R186" s="23">
        <f>VLOOKUP(Tableau1[[#This Row],[Code]],$V$3:$Z$157,4,)</f>
        <v>30580</v>
      </c>
      <c r="S186" s="23">
        <f>VLOOKUP(Tableau1[[#This Row],[Code]],$V$3:$Z$157,5,)</f>
        <v>22670</v>
      </c>
    </row>
    <row r="187" spans="1:19" hidden="1" x14ac:dyDescent="0.25">
      <c r="A187" s="13">
        <v>44286</v>
      </c>
      <c r="B187" t="s">
        <v>80</v>
      </c>
      <c r="C187" t="s">
        <v>86</v>
      </c>
      <c r="D187" t="s">
        <v>58</v>
      </c>
      <c r="E187" s="3">
        <v>0</v>
      </c>
      <c r="F187">
        <v>237</v>
      </c>
      <c r="G187">
        <v>5</v>
      </c>
      <c r="H187">
        <v>0</v>
      </c>
      <c r="I187">
        <v>0</v>
      </c>
      <c r="J187">
        <v>0</v>
      </c>
      <c r="K187" s="23">
        <f>IF(Tableau1[[#This Row],[Quantité (H)]]=0,0,Tableau1[[#This Row],[Gasoil (L)]]/Tableau1[[#This Row],[Quantité (H)]])</f>
        <v>0</v>
      </c>
      <c r="L187" s="23">
        <v>14.634146341463415</v>
      </c>
      <c r="O187" s="23">
        <f>Tableau1[[#This Row],[Productivité]]-Tableau1[[#This Row],[ les Charges]]</f>
        <v>0</v>
      </c>
      <c r="R187" s="23">
        <f>VLOOKUP(Tableau1[[#This Row],[Code]],$V$3:$Z$157,4,)</f>
        <v>12350</v>
      </c>
      <c r="S187" s="23">
        <f>VLOOKUP(Tableau1[[#This Row],[Code]],$V$3:$Z$157,5,)</f>
        <v>8370</v>
      </c>
    </row>
    <row r="188" spans="1:19" hidden="1" x14ac:dyDescent="0.25">
      <c r="A188" s="13">
        <v>44286</v>
      </c>
      <c r="B188" t="s">
        <v>82</v>
      </c>
      <c r="C188" t="s">
        <v>86</v>
      </c>
      <c r="D188" t="s">
        <v>58</v>
      </c>
      <c r="E188" s="65">
        <v>9</v>
      </c>
      <c r="F188">
        <v>75</v>
      </c>
      <c r="G188">
        <v>0</v>
      </c>
      <c r="H188">
        <v>0</v>
      </c>
      <c r="I188">
        <v>0</v>
      </c>
      <c r="J188">
        <v>0</v>
      </c>
      <c r="K188" s="23">
        <f>IF(Tableau1[[#This Row],[Quantité (H)]]=0,0,Tableau1[[#This Row],[Gasoil (L)]]/Tableau1[[#This Row],[Quantité (H)]])</f>
        <v>8.3333333333333339</v>
      </c>
      <c r="L188" s="23">
        <v>14.634146341463415</v>
      </c>
      <c r="O188" s="23">
        <f>Tableau1[[#This Row],[Productivité]]-Tableau1[[#This Row],[ les Charges]]</f>
        <v>0</v>
      </c>
      <c r="R188" s="23">
        <f>VLOOKUP(Tableau1[[#This Row],[Code]],$V$3:$Z$157,4,)</f>
        <v>12350</v>
      </c>
      <c r="S188" s="23">
        <f>VLOOKUP(Tableau1[[#This Row],[Code]],$V$3:$Z$157,5,)</f>
        <v>8370</v>
      </c>
    </row>
    <row r="189" spans="1:19" hidden="1" x14ac:dyDescent="0.25">
      <c r="A189" s="13">
        <v>44286</v>
      </c>
      <c r="B189" t="s">
        <v>83</v>
      </c>
      <c r="C189" t="s">
        <v>86</v>
      </c>
      <c r="D189" t="s">
        <v>58</v>
      </c>
      <c r="E189" s="3">
        <v>151</v>
      </c>
      <c r="F189">
        <v>228</v>
      </c>
      <c r="G189">
        <v>0</v>
      </c>
      <c r="H189">
        <v>0</v>
      </c>
      <c r="I189">
        <v>0</v>
      </c>
      <c r="J189">
        <v>0</v>
      </c>
      <c r="K189" s="23">
        <f>IF(Tableau1[[#This Row],[Quantité (H)]]=0,0,Tableau1[[#This Row],[Gasoil (L)]]/Tableau1[[#This Row],[Quantité (H)]])</f>
        <v>1.509933774834437</v>
      </c>
      <c r="L189" s="23">
        <v>14.634146341463415</v>
      </c>
      <c r="M189" s="23">
        <v>6188.16</v>
      </c>
      <c r="N189" s="23">
        <v>13520</v>
      </c>
      <c r="O189" s="23">
        <f>Tableau1[[#This Row],[Productivité]]-Tableau1[[#This Row],[ les Charges]]</f>
        <v>7331.84</v>
      </c>
      <c r="R189" s="23">
        <f>VLOOKUP(Tableau1[[#This Row],[Code]],$V$3:$Z$157,4,)</f>
        <v>12350</v>
      </c>
      <c r="S189" s="23">
        <f>VLOOKUP(Tableau1[[#This Row],[Code]],$V$3:$Z$157,5,)</f>
        <v>8370</v>
      </c>
    </row>
    <row r="190" spans="1:19" hidden="1" x14ac:dyDescent="0.25">
      <c r="A190" s="13">
        <v>44286</v>
      </c>
      <c r="B190" t="s">
        <v>82</v>
      </c>
      <c r="C190" t="s">
        <v>86</v>
      </c>
      <c r="D190" t="s">
        <v>59</v>
      </c>
      <c r="E190" s="3">
        <v>142</v>
      </c>
      <c r="F190">
        <v>182</v>
      </c>
      <c r="G190">
        <v>1</v>
      </c>
      <c r="H190">
        <v>0</v>
      </c>
      <c r="I190">
        <v>0</v>
      </c>
      <c r="J190">
        <v>0</v>
      </c>
      <c r="K190" s="23">
        <f>IF(Tableau1[[#This Row],[Quantité (H)]]=0,0,Tableau1[[#This Row],[Gasoil (L)]]/Tableau1[[#This Row],[Quantité (H)]])</f>
        <v>1.2816901408450705</v>
      </c>
      <c r="M190" s="23">
        <v>1820</v>
      </c>
      <c r="N190" s="23">
        <v>15340</v>
      </c>
      <c r="O190" s="23">
        <f>Tableau1[[#This Row],[Productivité]]-Tableau1[[#This Row],[ les Charges]]</f>
        <v>13520</v>
      </c>
      <c r="R190" s="23">
        <f>VLOOKUP(Tableau1[[#This Row],[Code]],$V$3:$Z$157,4,)</f>
        <v>5720</v>
      </c>
      <c r="S190" s="23">
        <f>VLOOKUP(Tableau1[[#This Row],[Code]],$V$3:$Z$157,5,)</f>
        <v>2250</v>
      </c>
    </row>
    <row r="191" spans="1:19" hidden="1" x14ac:dyDescent="0.25">
      <c r="A191" s="13">
        <v>44286</v>
      </c>
      <c r="B191" t="s">
        <v>80</v>
      </c>
      <c r="C191" t="s">
        <v>86</v>
      </c>
      <c r="D191" t="s">
        <v>60</v>
      </c>
      <c r="E191" s="3">
        <v>270</v>
      </c>
      <c r="F191">
        <v>224</v>
      </c>
      <c r="G191">
        <v>0</v>
      </c>
      <c r="H191">
        <v>0</v>
      </c>
      <c r="I191">
        <v>0</v>
      </c>
      <c r="J191">
        <v>0</v>
      </c>
      <c r="K191" s="23">
        <f>IF(Tableau1[[#This Row],[Quantité (H)]]=0,0,Tableau1[[#This Row],[Gasoil (L)]]/Tableau1[[#This Row],[Quantité (H)]])</f>
        <v>0.82962962962962961</v>
      </c>
      <c r="M191" s="23">
        <v>1752.19</v>
      </c>
      <c r="N191" s="23">
        <v>14040</v>
      </c>
      <c r="O191" s="23">
        <f>Tableau1[[#This Row],[Productivité]]-Tableau1[[#This Row],[ les Charges]]</f>
        <v>12287.81</v>
      </c>
      <c r="R191" s="23">
        <f>VLOOKUP(Tableau1[[#This Row],[Code]],$V$3:$Z$157,4,)</f>
        <v>12480</v>
      </c>
      <c r="S191" s="23">
        <f>VLOOKUP(Tableau1[[#This Row],[Code]],$V$3:$Z$157,5,)</f>
        <v>10400</v>
      </c>
    </row>
    <row r="192" spans="1:19" hidden="1" x14ac:dyDescent="0.25">
      <c r="A192" s="13">
        <v>44286</v>
      </c>
      <c r="B192" t="s">
        <v>84</v>
      </c>
      <c r="C192" t="s">
        <v>86</v>
      </c>
      <c r="D192" t="s">
        <v>61</v>
      </c>
      <c r="E192" s="3">
        <v>224.5</v>
      </c>
      <c r="F192">
        <v>379.33</v>
      </c>
      <c r="G192">
        <v>0</v>
      </c>
      <c r="H192">
        <v>0</v>
      </c>
      <c r="I192">
        <v>0</v>
      </c>
      <c r="J192">
        <v>0</v>
      </c>
      <c r="K192" s="23">
        <f>IF(Tableau1[[#This Row],[Quantité (H)]]=0,0,Tableau1[[#This Row],[Gasoil (L)]]/Tableau1[[#This Row],[Quantité (H)]])</f>
        <v>1.6896659242761691</v>
      </c>
      <c r="L192" s="23">
        <v>6.9499816782704285</v>
      </c>
      <c r="M192" s="23">
        <v>3585.05</v>
      </c>
      <c r="N192" s="23">
        <v>4827.55</v>
      </c>
      <c r="O192" s="23">
        <f>Tableau1[[#This Row],[Productivité]]-Tableau1[[#This Row],[ les Charges]]</f>
        <v>1242.5</v>
      </c>
      <c r="R192" s="23">
        <f>VLOOKUP(Tableau1[[#This Row],[Code]],$V$3:$Z$157,4,)</f>
        <v>12285</v>
      </c>
      <c r="S192" s="23">
        <f>VLOOKUP(Tableau1[[#This Row],[Code]],$V$3:$Z$157,5,)</f>
        <v>10225</v>
      </c>
    </row>
    <row r="193" spans="1:19" hidden="1" x14ac:dyDescent="0.25">
      <c r="A193" s="13">
        <v>44286</v>
      </c>
      <c r="B193" t="s">
        <v>83</v>
      </c>
      <c r="C193" t="s">
        <v>43</v>
      </c>
      <c r="D193" t="s">
        <v>33</v>
      </c>
      <c r="E193" s="3">
        <v>96</v>
      </c>
      <c r="F193">
        <v>368</v>
      </c>
      <c r="G193">
        <v>0</v>
      </c>
      <c r="H193">
        <v>0</v>
      </c>
      <c r="I193">
        <v>10</v>
      </c>
      <c r="J193">
        <v>2.5</v>
      </c>
      <c r="K193" s="23">
        <f>IF(Tableau1[[#This Row],[Quantité (H)]]=0,0,Tableau1[[#This Row],[Gasoil (L)]]/Tableau1[[#This Row],[Quantité (H)]])</f>
        <v>3.8333333333333335</v>
      </c>
      <c r="M193" s="23">
        <v>1557.5</v>
      </c>
      <c r="N193" s="23">
        <v>17280</v>
      </c>
      <c r="O193" s="23">
        <f>Tableau1[[#This Row],[Productivité]]-Tableau1[[#This Row],[ les Charges]]</f>
        <v>15722.5</v>
      </c>
      <c r="R193" s="23">
        <f>VLOOKUP(Tableau1[[#This Row],[Code]],$V$3:$Z$157,4,)</f>
        <v>30240</v>
      </c>
      <c r="S193" s="23">
        <f>VLOOKUP(Tableau1[[#This Row],[Code]],$V$3:$Z$157,5,)</f>
        <v>25955</v>
      </c>
    </row>
    <row r="194" spans="1:19" hidden="1" x14ac:dyDescent="0.25">
      <c r="A194" s="13">
        <v>44286</v>
      </c>
      <c r="B194" t="s">
        <v>82</v>
      </c>
      <c r="C194" t="s">
        <v>43</v>
      </c>
      <c r="D194" t="s">
        <v>34</v>
      </c>
      <c r="E194">
        <v>108</v>
      </c>
      <c r="F194">
        <v>405</v>
      </c>
      <c r="G194">
        <v>16</v>
      </c>
      <c r="H194">
        <v>0</v>
      </c>
      <c r="I194">
        <v>15</v>
      </c>
      <c r="J194">
        <v>4</v>
      </c>
      <c r="K194" s="23">
        <f>IF(Tableau1[[#This Row],[Quantité (H)]]=0,0,Tableau1[[#This Row],[Gasoil (L)]]/Tableau1[[#This Row],[Quantité (H)]])</f>
        <v>3.75</v>
      </c>
      <c r="M194" s="23">
        <v>4759.74</v>
      </c>
      <c r="N194" s="23">
        <v>31140</v>
      </c>
      <c r="O194" s="23">
        <f>Tableau1[[#This Row],[Productivité]]-Tableau1[[#This Row],[ les Charges]]</f>
        <v>26380.260000000002</v>
      </c>
      <c r="R194" s="23">
        <f>VLOOKUP(Tableau1[[#This Row],[Code]],$V$3:$Z$157,4,)</f>
        <v>16380</v>
      </c>
      <c r="S194" s="23">
        <f>VLOOKUP(Tableau1[[#This Row],[Code]],$V$3:$Z$157,5,)</f>
        <v>10710</v>
      </c>
    </row>
    <row r="195" spans="1:19" hidden="1" x14ac:dyDescent="0.25">
      <c r="A195" s="13">
        <v>44286</v>
      </c>
      <c r="B195" t="s">
        <v>116</v>
      </c>
      <c r="C195" t="s">
        <v>43</v>
      </c>
      <c r="D195" t="s">
        <v>35</v>
      </c>
      <c r="E195" s="65">
        <v>79</v>
      </c>
      <c r="F195">
        <v>399</v>
      </c>
      <c r="G195">
        <v>8</v>
      </c>
      <c r="H195">
        <v>0</v>
      </c>
      <c r="I195">
        <v>75</v>
      </c>
      <c r="J195">
        <v>0</v>
      </c>
      <c r="K195" s="23">
        <f>IF(Tableau1[[#This Row],[Quantité (H)]]=0,0,Tableau1[[#This Row],[Gasoil (L)]]/Tableau1[[#This Row],[Quantité (H)]])</f>
        <v>5.0506329113924053</v>
      </c>
      <c r="O195" s="23">
        <f>Tableau1[[#This Row],[Productivité]]-Tableau1[[#This Row],[ les Charges]]</f>
        <v>0</v>
      </c>
      <c r="R195" s="23">
        <f>VLOOKUP(Tableau1[[#This Row],[Code]],$V$3:$Z$157,4,)</f>
        <v>23580</v>
      </c>
      <c r="S195" s="23">
        <f>VLOOKUP(Tableau1[[#This Row],[Code]],$V$3:$Z$157,5,)</f>
        <v>17025</v>
      </c>
    </row>
    <row r="196" spans="1:19" hidden="1" x14ac:dyDescent="0.25">
      <c r="A196" s="13">
        <v>44286</v>
      </c>
      <c r="B196" t="s">
        <v>83</v>
      </c>
      <c r="C196" t="s">
        <v>43</v>
      </c>
      <c r="D196" t="s">
        <v>35</v>
      </c>
      <c r="E196" s="65">
        <v>72</v>
      </c>
      <c r="F196">
        <v>341</v>
      </c>
      <c r="G196">
        <v>0</v>
      </c>
      <c r="H196">
        <v>0</v>
      </c>
      <c r="I196">
        <v>0</v>
      </c>
      <c r="J196">
        <v>0</v>
      </c>
      <c r="K196" s="23">
        <f>IF(Tableau1[[#This Row],[Quantité (H)]]=0,0,Tableau1[[#This Row],[Gasoil (L)]]/Tableau1[[#This Row],[Quantité (H)]])</f>
        <v>4.7361111111111107</v>
      </c>
      <c r="M196" s="23">
        <v>7407.66</v>
      </c>
      <c r="N196" s="23">
        <v>27180</v>
      </c>
      <c r="O196" s="23">
        <f>Tableau1[[#This Row],[Productivité]]-Tableau1[[#This Row],[ les Charges]]</f>
        <v>19772.34</v>
      </c>
      <c r="R196" s="23">
        <f>VLOOKUP(Tableau1[[#This Row],[Code]],$V$3:$Z$157,4,)</f>
        <v>23580</v>
      </c>
      <c r="S196" s="23">
        <f>VLOOKUP(Tableau1[[#This Row],[Code]],$V$3:$Z$157,5,)</f>
        <v>17025</v>
      </c>
    </row>
    <row r="197" spans="1:19" hidden="1" x14ac:dyDescent="0.25">
      <c r="A197" s="13">
        <v>44286</v>
      </c>
      <c r="B197" t="s">
        <v>79</v>
      </c>
      <c r="C197" t="s">
        <v>87</v>
      </c>
      <c r="D197" t="s">
        <v>63</v>
      </c>
      <c r="E197" s="3">
        <v>143</v>
      </c>
      <c r="F197">
        <v>231</v>
      </c>
      <c r="G197">
        <v>3</v>
      </c>
      <c r="H197">
        <v>0</v>
      </c>
      <c r="I197">
        <v>0</v>
      </c>
      <c r="J197">
        <v>0</v>
      </c>
      <c r="K197" s="23">
        <f>IF(Tableau1[[#This Row],[Quantité (H)]]=0,0,Tableau1[[#This Row],[Gasoil (L)]]/Tableau1[[#This Row],[Quantité (H)]])</f>
        <v>1.6153846153846154</v>
      </c>
      <c r="M197" s="23">
        <v>1956.9</v>
      </c>
      <c r="N197" s="23">
        <v>14040</v>
      </c>
      <c r="O197" s="23">
        <f>Tableau1[[#This Row],[Productivité]]-Tableau1[[#This Row],[ les Charges]]</f>
        <v>12083.1</v>
      </c>
      <c r="R197" s="23">
        <f>VLOOKUP(Tableau1[[#This Row],[Code]],$V$3:$Z$157,4,)</f>
        <v>11050</v>
      </c>
      <c r="S197" s="23">
        <f>VLOOKUP(Tableau1[[#This Row],[Code]],$V$3:$Z$157,5,)</f>
        <v>9630</v>
      </c>
    </row>
    <row r="198" spans="1:19" hidden="1" x14ac:dyDescent="0.25">
      <c r="A198" s="13">
        <v>44286</v>
      </c>
      <c r="B198" t="s">
        <v>79</v>
      </c>
      <c r="C198" t="s">
        <v>87</v>
      </c>
      <c r="D198" t="s">
        <v>105</v>
      </c>
      <c r="E198" s="3">
        <v>11</v>
      </c>
      <c r="F198">
        <v>119.03999999999999</v>
      </c>
      <c r="G198">
        <v>0</v>
      </c>
      <c r="H198">
        <v>0</v>
      </c>
      <c r="I198">
        <v>0</v>
      </c>
      <c r="J198">
        <v>0</v>
      </c>
      <c r="K198" s="23">
        <f>IF(Tableau1[[#This Row],[Quantité (H)]]=0,0,Tableau1[[#This Row],[Gasoil (L)]]/Tableau1[[#This Row],[Quantité (H)]])</f>
        <v>10.82181818181818</v>
      </c>
      <c r="O198" s="23">
        <f>Tableau1[[#This Row],[Productivité]]-Tableau1[[#This Row],[ les Charges]]</f>
        <v>0</v>
      </c>
      <c r="R198" s="23">
        <f>VLOOKUP(Tableau1[[#This Row],[Code]],$V$3:$Z$157,4,)</f>
        <v>10920</v>
      </c>
      <c r="S198" s="23">
        <f>VLOOKUP(Tableau1[[#This Row],[Code]],$V$3:$Z$157,5,)</f>
        <v>7680</v>
      </c>
    </row>
    <row r="199" spans="1:19" hidden="1" x14ac:dyDescent="0.25">
      <c r="A199" s="13">
        <v>44286</v>
      </c>
      <c r="B199" t="s">
        <v>80</v>
      </c>
      <c r="C199" t="s">
        <v>87</v>
      </c>
      <c r="D199" t="s">
        <v>105</v>
      </c>
      <c r="E199" s="3">
        <v>232</v>
      </c>
      <c r="F199">
        <v>126</v>
      </c>
      <c r="G199">
        <v>0</v>
      </c>
      <c r="H199">
        <v>0</v>
      </c>
      <c r="I199">
        <v>0</v>
      </c>
      <c r="J199">
        <v>0</v>
      </c>
      <c r="K199" s="23">
        <f>IF(Tableau1[[#This Row],[Quantité (H)]]=0,0,Tableau1[[#This Row],[Gasoil (L)]]/Tableau1[[#This Row],[Quantité (H)]])</f>
        <v>0.5431034482758621</v>
      </c>
      <c r="M199" s="23">
        <v>1650.18</v>
      </c>
      <c r="N199" s="23">
        <v>12545</v>
      </c>
      <c r="O199" s="23">
        <f>Tableau1[[#This Row],[Productivité]]-Tableau1[[#This Row],[ les Charges]]</f>
        <v>10894.82</v>
      </c>
      <c r="R199" s="23">
        <f>VLOOKUP(Tableau1[[#This Row],[Code]],$V$3:$Z$157,4,)</f>
        <v>10920</v>
      </c>
      <c r="S199" s="23">
        <f>VLOOKUP(Tableau1[[#This Row],[Code]],$V$3:$Z$157,5,)</f>
        <v>7680</v>
      </c>
    </row>
    <row r="200" spans="1:19" hidden="1" x14ac:dyDescent="0.25">
      <c r="A200" s="13">
        <v>44286</v>
      </c>
      <c r="B200" t="s">
        <v>80</v>
      </c>
      <c r="C200" t="s">
        <v>88</v>
      </c>
      <c r="D200" s="65" t="s">
        <v>64</v>
      </c>
      <c r="E200" s="3">
        <v>0</v>
      </c>
      <c r="F200">
        <v>53</v>
      </c>
      <c r="G200">
        <v>0</v>
      </c>
      <c r="H200">
        <v>0</v>
      </c>
      <c r="I200">
        <v>0</v>
      </c>
      <c r="J200">
        <v>0</v>
      </c>
      <c r="K200" s="23">
        <f>IF(Tableau1[[#This Row],[Quantité (H)]]=0,0,Tableau1[[#This Row],[Gasoil (L)]]/Tableau1[[#This Row],[Quantité (H)]])</f>
        <v>0</v>
      </c>
      <c r="M200" s="23">
        <v>17938.240000000002</v>
      </c>
      <c r="N200" s="23">
        <v>11200</v>
      </c>
      <c r="O200" s="23">
        <f>Tableau1[[#This Row],[Productivité]]-Tableau1[[#This Row],[ les Charges]]</f>
        <v>-6738.2400000000016</v>
      </c>
      <c r="R200" s="23">
        <f>VLOOKUP(Tableau1[[#This Row],[Code]],$V$3:$Z$157,4,)</f>
        <v>9600</v>
      </c>
      <c r="S200" s="23">
        <f>VLOOKUP(Tableau1[[#This Row],[Code]],$V$3:$Z$157,5,)</f>
        <v>8270</v>
      </c>
    </row>
    <row r="201" spans="1:19" hidden="1" x14ac:dyDescent="0.25">
      <c r="A201" s="13">
        <v>44286</v>
      </c>
      <c r="B201" t="s">
        <v>84</v>
      </c>
      <c r="C201" t="s">
        <v>88</v>
      </c>
      <c r="D201" t="s">
        <v>64</v>
      </c>
      <c r="E201" s="65">
        <v>0</v>
      </c>
      <c r="F201">
        <v>50</v>
      </c>
      <c r="G201">
        <v>0</v>
      </c>
      <c r="H201">
        <v>0</v>
      </c>
      <c r="I201">
        <v>0</v>
      </c>
      <c r="J201">
        <v>0</v>
      </c>
      <c r="K201" s="23">
        <f>IF(Tableau1[[#This Row],[Quantité (H)]]=0,0,Tableau1[[#This Row],[Gasoil (L)]]/Tableau1[[#This Row],[Quantité (H)]])</f>
        <v>0</v>
      </c>
      <c r="O201" s="23">
        <f>Tableau1[[#This Row],[Productivité]]-Tableau1[[#This Row],[ les Charges]]</f>
        <v>0</v>
      </c>
      <c r="R201" s="23">
        <f>VLOOKUP(Tableau1[[#This Row],[Code]],$V$3:$Z$157,4,)</f>
        <v>9600</v>
      </c>
      <c r="S201" s="23">
        <f>VLOOKUP(Tableau1[[#This Row],[Code]],$V$3:$Z$157,5,)</f>
        <v>8270</v>
      </c>
    </row>
    <row r="202" spans="1:19" hidden="1" x14ac:dyDescent="0.25">
      <c r="A202" s="13">
        <v>44286</v>
      </c>
      <c r="B202" t="s">
        <v>79</v>
      </c>
      <c r="C202" t="s">
        <v>88</v>
      </c>
      <c r="D202" t="s">
        <v>64</v>
      </c>
      <c r="E202" s="65">
        <v>0</v>
      </c>
      <c r="F202">
        <v>22.84</v>
      </c>
      <c r="G202">
        <v>0</v>
      </c>
      <c r="H202">
        <v>0</v>
      </c>
      <c r="I202">
        <v>0</v>
      </c>
      <c r="J202">
        <v>0</v>
      </c>
      <c r="K202" s="23">
        <f>IF(Tableau1[[#This Row],[Quantité (H)]]=0,0,Tableau1[[#This Row],[Gasoil (L)]]/Tableau1[[#This Row],[Quantité (H)]])</f>
        <v>0</v>
      </c>
      <c r="O202" s="23">
        <f>Tableau1[[#This Row],[Productivité]]-Tableau1[[#This Row],[ les Charges]]</f>
        <v>0</v>
      </c>
      <c r="R202" s="23">
        <f>VLOOKUP(Tableau1[[#This Row],[Code]],$V$3:$Z$157,4,)</f>
        <v>9600</v>
      </c>
      <c r="S202" s="23">
        <f>VLOOKUP(Tableau1[[#This Row],[Code]],$V$3:$Z$157,5,)</f>
        <v>8270</v>
      </c>
    </row>
    <row r="203" spans="1:19" hidden="1" x14ac:dyDescent="0.25">
      <c r="A203" s="13">
        <v>44286</v>
      </c>
      <c r="B203" t="s">
        <v>83</v>
      </c>
      <c r="C203" t="s">
        <v>88</v>
      </c>
      <c r="D203" t="s">
        <v>65</v>
      </c>
      <c r="E203" s="65">
        <v>2</v>
      </c>
      <c r="F203">
        <v>193</v>
      </c>
      <c r="G203">
        <v>0</v>
      </c>
      <c r="H203">
        <v>0</v>
      </c>
      <c r="I203">
        <v>0</v>
      </c>
      <c r="J203">
        <v>0</v>
      </c>
      <c r="K203" s="23">
        <f>IF(Tableau1[[#This Row],[Quantité (H)]]=0,0,Tableau1[[#This Row],[Gasoil (L)]]/Tableau1[[#This Row],[Quantité (H)]])</f>
        <v>96.5</v>
      </c>
      <c r="L203" s="23">
        <v>0.18045478345425986</v>
      </c>
      <c r="M203" s="23">
        <v>8493.91</v>
      </c>
      <c r="N203" s="23">
        <v>0</v>
      </c>
      <c r="O203" s="23">
        <f>Tableau1[[#This Row],[Productivité]]-Tableau1[[#This Row],[ les Charges]]</f>
        <v>-8493.91</v>
      </c>
      <c r="R203" s="23">
        <f>VLOOKUP(Tableau1[[#This Row],[Code]],$V$3:$Z$157,4,)</f>
        <v>18400</v>
      </c>
      <c r="S203" s="23">
        <f>VLOOKUP(Tableau1[[#This Row],[Code]],$V$3:$Z$157,5,)</f>
        <v>15820</v>
      </c>
    </row>
    <row r="204" spans="1:19" hidden="1" x14ac:dyDescent="0.25">
      <c r="A204" s="13">
        <v>44286</v>
      </c>
      <c r="B204" t="s">
        <v>83</v>
      </c>
      <c r="C204" t="s">
        <v>88</v>
      </c>
      <c r="D204" t="s">
        <v>67</v>
      </c>
      <c r="E204" s="3">
        <v>102</v>
      </c>
      <c r="F204">
        <v>229</v>
      </c>
      <c r="G204">
        <v>0</v>
      </c>
      <c r="H204">
        <v>0</v>
      </c>
      <c r="I204">
        <v>0</v>
      </c>
      <c r="J204">
        <v>0</v>
      </c>
      <c r="K204" s="23">
        <f>IF(Tableau1[[#This Row],[Quantité (H)]]=0,0,Tableau1[[#This Row],[Gasoil (L)]]/Tableau1[[#This Row],[Quantité (H)]])</f>
        <v>2.2450980392156863</v>
      </c>
      <c r="L204" s="23">
        <v>9.1526778577138295</v>
      </c>
      <c r="M204" s="23">
        <v>2561.83</v>
      </c>
      <c r="N204" s="23">
        <v>9000</v>
      </c>
      <c r="O204" s="23">
        <f>Tableau1[[#This Row],[Productivité]]-Tableau1[[#This Row],[ les Charges]]</f>
        <v>6438.17</v>
      </c>
      <c r="R204" s="23">
        <f>VLOOKUP(Tableau1[[#This Row],[Code]],$V$3:$Z$157,4,)</f>
        <v>6600</v>
      </c>
      <c r="S204" s="23">
        <f>VLOOKUP(Tableau1[[#This Row],[Code]],$V$3:$Z$157,5,)</f>
        <v>5450</v>
      </c>
    </row>
    <row r="205" spans="1:19" hidden="1" x14ac:dyDescent="0.25">
      <c r="A205" s="13">
        <v>44286</v>
      </c>
      <c r="B205" t="s">
        <v>80</v>
      </c>
      <c r="C205" t="s">
        <v>88</v>
      </c>
      <c r="D205" t="s">
        <v>69</v>
      </c>
      <c r="E205" s="3">
        <v>270</v>
      </c>
      <c r="F205">
        <v>193</v>
      </c>
      <c r="G205">
        <v>0</v>
      </c>
      <c r="H205">
        <v>0</v>
      </c>
      <c r="I205">
        <v>0</v>
      </c>
      <c r="J205">
        <v>0</v>
      </c>
      <c r="K205" s="23">
        <f>IF(Tableau1[[#This Row],[Quantité (H)]]=0,0,Tableau1[[#This Row],[Gasoil (L)]]/Tableau1[[#This Row],[Quantité (H)]])</f>
        <v>0.71481481481481479</v>
      </c>
      <c r="L205" s="23">
        <v>7.0618368093669961</v>
      </c>
      <c r="M205" s="23">
        <v>2223.5</v>
      </c>
      <c r="N205" s="23">
        <v>7200</v>
      </c>
      <c r="O205" s="23">
        <f>Tableau1[[#This Row],[Productivité]]-Tableau1[[#This Row],[ les Charges]]</f>
        <v>4976.5</v>
      </c>
      <c r="R205" s="23">
        <f>VLOOKUP(Tableau1[[#This Row],[Code]],$V$3:$Z$157,4,)</f>
        <v>6900</v>
      </c>
      <c r="S205" s="23">
        <f>VLOOKUP(Tableau1[[#This Row],[Code]],$V$3:$Z$157,5,)</f>
        <v>4130</v>
      </c>
    </row>
    <row r="206" spans="1:19" hidden="1" x14ac:dyDescent="0.25">
      <c r="A206" s="13">
        <v>44286</v>
      </c>
      <c r="B206" t="s">
        <v>84</v>
      </c>
      <c r="C206" t="s">
        <v>88</v>
      </c>
      <c r="D206" s="65" t="s">
        <v>70</v>
      </c>
      <c r="E206" s="3">
        <v>169</v>
      </c>
      <c r="F206">
        <v>204.84</v>
      </c>
      <c r="G206">
        <v>0</v>
      </c>
      <c r="H206">
        <v>0</v>
      </c>
      <c r="I206">
        <v>0</v>
      </c>
      <c r="J206">
        <v>0</v>
      </c>
      <c r="K206" s="23">
        <f>IF(Tableau1[[#This Row],[Quantité (H)]]=0,0,Tableau1[[#This Row],[Gasoil (L)]]/Tableau1[[#This Row],[Quantité (H)]])</f>
        <v>1.2120710059171598</v>
      </c>
      <c r="L206" s="23">
        <v>9.0717449069973419</v>
      </c>
      <c r="M206" s="23">
        <v>1966.94</v>
      </c>
      <c r="N206" s="23">
        <v>5931</v>
      </c>
      <c r="O206" s="23">
        <f>Tableau1[[#This Row],[Productivité]]-Tableau1[[#This Row],[ les Charges]]</f>
        <v>3964.06</v>
      </c>
      <c r="R206" s="23">
        <f>VLOOKUP(Tableau1[[#This Row],[Code]],$V$3:$Z$157,4,)</f>
        <v>7500</v>
      </c>
      <c r="S206" s="23">
        <f>VLOOKUP(Tableau1[[#This Row],[Code]],$V$3:$Z$157,5,)</f>
        <v>5500</v>
      </c>
    </row>
    <row r="207" spans="1:19" hidden="1" x14ac:dyDescent="0.25">
      <c r="A207" s="13">
        <v>44286</v>
      </c>
      <c r="B207" t="s">
        <v>80</v>
      </c>
      <c r="C207" t="s">
        <v>88</v>
      </c>
      <c r="D207" t="s">
        <v>71</v>
      </c>
      <c r="E207" s="3">
        <v>0</v>
      </c>
      <c r="F207">
        <v>222</v>
      </c>
      <c r="G207">
        <v>0</v>
      </c>
      <c r="H207">
        <v>0</v>
      </c>
      <c r="I207">
        <v>0</v>
      </c>
      <c r="J207">
        <v>0</v>
      </c>
      <c r="K207" s="23">
        <f>IF(Tableau1[[#This Row],[Quantité (H)]]=0,0,Tableau1[[#This Row],[Gasoil (L)]]/Tableau1[[#This Row],[Quantité (H)]])</f>
        <v>0</v>
      </c>
      <c r="M207" s="23">
        <v>0</v>
      </c>
      <c r="N207" s="23">
        <v>9600</v>
      </c>
      <c r="O207" s="23">
        <f>Tableau1[[#This Row],[Productivité]]-Tableau1[[#This Row],[ les Charges]]</f>
        <v>9600</v>
      </c>
      <c r="R207" s="23">
        <f>VLOOKUP(Tableau1[[#This Row],[Code]],$V$3:$Z$157,4,)</f>
        <v>7200</v>
      </c>
      <c r="S207" s="23">
        <f>VLOOKUP(Tableau1[[#This Row],[Code]],$V$3:$Z$157,5,)</f>
        <v>3820</v>
      </c>
    </row>
    <row r="208" spans="1:19" hidden="1" x14ac:dyDescent="0.25">
      <c r="A208" s="13">
        <v>44286</v>
      </c>
      <c r="B208" t="s">
        <v>82</v>
      </c>
      <c r="C208" t="s">
        <v>88</v>
      </c>
      <c r="D208" t="s">
        <v>72</v>
      </c>
      <c r="E208" s="3">
        <v>0</v>
      </c>
      <c r="F208">
        <v>31.78</v>
      </c>
      <c r="G208">
        <v>0</v>
      </c>
      <c r="H208">
        <v>0</v>
      </c>
      <c r="I208">
        <v>0</v>
      </c>
      <c r="J208">
        <v>0</v>
      </c>
      <c r="K208" s="23">
        <f>IF(Tableau1[[#This Row],[Quantité (H)]]=0,0,Tableau1[[#This Row],[Gasoil (L)]]/Tableau1[[#This Row],[Quantité (H)]])</f>
        <v>0</v>
      </c>
      <c r="O208" s="23">
        <f>Tableau1[[#This Row],[Productivité]]-Tableau1[[#This Row],[ les Charges]]</f>
        <v>0</v>
      </c>
      <c r="R208" s="23">
        <f>VLOOKUP(Tableau1[[#This Row],[Code]],$V$3:$Z$157,4,)</f>
        <v>7500</v>
      </c>
      <c r="S208" s="23">
        <f>VLOOKUP(Tableau1[[#This Row],[Code]],$V$3:$Z$157,5,)</f>
        <v>4062</v>
      </c>
    </row>
    <row r="209" spans="1:19" hidden="1" x14ac:dyDescent="0.25">
      <c r="A209" s="13">
        <v>44286</v>
      </c>
      <c r="B209" t="s">
        <v>80</v>
      </c>
      <c r="C209" t="s">
        <v>88</v>
      </c>
      <c r="D209" t="s">
        <v>72</v>
      </c>
      <c r="E209" s="65">
        <v>0</v>
      </c>
      <c r="F209">
        <v>258</v>
      </c>
      <c r="G209">
        <v>0</v>
      </c>
      <c r="H209">
        <v>0</v>
      </c>
      <c r="I209">
        <v>0</v>
      </c>
      <c r="J209">
        <v>0</v>
      </c>
      <c r="K209" s="23">
        <f>IF(Tableau1[[#This Row],[Quantité (H)]]=0,0,Tableau1[[#This Row],[Gasoil (L)]]/Tableau1[[#This Row],[Quantité (H)]])</f>
        <v>0</v>
      </c>
      <c r="M209" s="23">
        <v>2509.88</v>
      </c>
      <c r="N209" s="23">
        <v>10920</v>
      </c>
      <c r="O209" s="23">
        <f>Tableau1[[#This Row],[Productivité]]-Tableau1[[#This Row],[ les Charges]]</f>
        <v>8410.119999999999</v>
      </c>
      <c r="R209" s="23">
        <f>VLOOKUP(Tableau1[[#This Row],[Code]],$V$3:$Z$157,4,)</f>
        <v>7500</v>
      </c>
      <c r="S209" s="23">
        <f>VLOOKUP(Tableau1[[#This Row],[Code]],$V$3:$Z$157,5,)</f>
        <v>4062</v>
      </c>
    </row>
    <row r="210" spans="1:19" hidden="1" x14ac:dyDescent="0.25">
      <c r="A210" s="13">
        <v>44286</v>
      </c>
      <c r="B210" t="s">
        <v>79</v>
      </c>
      <c r="C210" t="s">
        <v>88</v>
      </c>
      <c r="D210" s="65" t="s">
        <v>73</v>
      </c>
      <c r="E210" s="65">
        <v>72</v>
      </c>
      <c r="F210">
        <v>52</v>
      </c>
      <c r="G210">
        <v>0</v>
      </c>
      <c r="H210">
        <v>0</v>
      </c>
      <c r="I210">
        <v>0</v>
      </c>
      <c r="J210">
        <v>0</v>
      </c>
      <c r="K210" s="23">
        <f>IF(Tableau1[[#This Row],[Quantité (H)]]=0,0,Tableau1[[#This Row],[Gasoil (L)]]/Tableau1[[#This Row],[Quantité (H)]])</f>
        <v>0.72222222222222221</v>
      </c>
      <c r="L210" s="23">
        <v>5.7465091299677766</v>
      </c>
      <c r="O210" s="23">
        <f>Tableau1[[#This Row],[Productivité]]-Tableau1[[#This Row],[ les Charges]]</f>
        <v>0</v>
      </c>
      <c r="R210" s="23">
        <f>VLOOKUP(Tableau1[[#This Row],[Code]],$V$3:$Z$157,4,)</f>
        <v>6000</v>
      </c>
      <c r="S210" s="23">
        <f>VLOOKUP(Tableau1[[#This Row],[Code]],$V$3:$Z$157,5,)</f>
        <v>4008</v>
      </c>
    </row>
    <row r="211" spans="1:19" hidden="1" x14ac:dyDescent="0.25">
      <c r="A211" s="13">
        <v>44286</v>
      </c>
      <c r="B211" t="s">
        <v>83</v>
      </c>
      <c r="C211" t="s">
        <v>88</v>
      </c>
      <c r="D211" t="s">
        <v>73</v>
      </c>
      <c r="E211" s="3">
        <v>98</v>
      </c>
      <c r="F211">
        <v>55</v>
      </c>
      <c r="G211">
        <v>0</v>
      </c>
      <c r="H211">
        <v>0</v>
      </c>
      <c r="I211">
        <v>0</v>
      </c>
      <c r="J211">
        <v>0</v>
      </c>
      <c r="K211" s="23">
        <f>IF(Tableau1[[#This Row],[Quantité (H)]]=0,0,Tableau1[[#This Row],[Gasoil (L)]]/Tableau1[[#This Row],[Quantité (H)]])</f>
        <v>0.56122448979591832</v>
      </c>
      <c r="L211" s="23">
        <v>5.7465091299677766</v>
      </c>
      <c r="M211" s="23">
        <v>1070</v>
      </c>
      <c r="N211" s="23">
        <v>8462</v>
      </c>
      <c r="O211" s="23">
        <f>Tableau1[[#This Row],[Productivité]]-Tableau1[[#This Row],[ les Charges]]</f>
        <v>7392</v>
      </c>
      <c r="R211" s="23">
        <f>VLOOKUP(Tableau1[[#This Row],[Code]],$V$3:$Z$157,4,)</f>
        <v>6000</v>
      </c>
      <c r="S211" s="23">
        <f>VLOOKUP(Tableau1[[#This Row],[Code]],$V$3:$Z$157,5,)</f>
        <v>4008</v>
      </c>
    </row>
    <row r="212" spans="1:19" hidden="1" x14ac:dyDescent="0.25">
      <c r="A212" s="13">
        <v>44286</v>
      </c>
      <c r="B212" t="s">
        <v>116</v>
      </c>
      <c r="C212" t="s">
        <v>88</v>
      </c>
      <c r="D212" t="s">
        <v>74</v>
      </c>
      <c r="E212" s="3">
        <v>180</v>
      </c>
      <c r="F212">
        <v>67</v>
      </c>
      <c r="G212">
        <v>0</v>
      </c>
      <c r="H212">
        <v>0</v>
      </c>
      <c r="I212">
        <v>0</v>
      </c>
      <c r="J212">
        <v>0</v>
      </c>
      <c r="K212" s="23">
        <f>IF(Tableau1[[#This Row],[Quantité (H)]]=0,0,Tableau1[[#This Row],[Gasoil (L)]]/Tableau1[[#This Row],[Quantité (H)]])</f>
        <v>0.37222222222222223</v>
      </c>
      <c r="L212" s="23">
        <v>7.6597246734909987</v>
      </c>
      <c r="O212" s="23">
        <f>Tableau1[[#This Row],[Productivité]]-Tableau1[[#This Row],[ les Charges]]</f>
        <v>0</v>
      </c>
      <c r="R212" s="23">
        <f>VLOOKUP(Tableau1[[#This Row],[Code]],$V$3:$Z$157,4,)</f>
        <v>6600</v>
      </c>
      <c r="S212" s="23">
        <f>VLOOKUP(Tableau1[[#This Row],[Code]],$V$3:$Z$157,5,)</f>
        <v>4820</v>
      </c>
    </row>
    <row r="213" spans="1:19" hidden="1" x14ac:dyDescent="0.25">
      <c r="A213" s="13">
        <v>44286</v>
      </c>
      <c r="B213" t="s">
        <v>83</v>
      </c>
      <c r="C213" t="s">
        <v>88</v>
      </c>
      <c r="D213" t="s">
        <v>74</v>
      </c>
      <c r="E213" s="65">
        <v>15</v>
      </c>
      <c r="F213">
        <v>150</v>
      </c>
      <c r="G213">
        <v>0</v>
      </c>
      <c r="H213">
        <v>0</v>
      </c>
      <c r="I213">
        <v>0</v>
      </c>
      <c r="J213">
        <v>0</v>
      </c>
      <c r="K213" s="23">
        <f>IF(Tableau1[[#This Row],[Quantité (H)]]=0,0,Tableau1[[#This Row],[Gasoil (L)]]/Tableau1[[#This Row],[Quantité (H)]])</f>
        <v>10</v>
      </c>
      <c r="L213" s="23">
        <v>7.6597246734909987</v>
      </c>
      <c r="M213" s="23">
        <v>2024.53</v>
      </c>
      <c r="N213" s="23">
        <v>9120</v>
      </c>
      <c r="O213" s="23">
        <f>Tableau1[[#This Row],[Productivité]]-Tableau1[[#This Row],[ les Charges]]</f>
        <v>7095.47</v>
      </c>
      <c r="R213" s="23">
        <f>VLOOKUP(Tableau1[[#This Row],[Code]],$V$3:$Z$157,4,)</f>
        <v>6600</v>
      </c>
      <c r="S213" s="23">
        <f>VLOOKUP(Tableau1[[#This Row],[Code]],$V$3:$Z$157,5,)</f>
        <v>4820</v>
      </c>
    </row>
    <row r="214" spans="1:19" hidden="1" x14ac:dyDescent="0.25">
      <c r="A214" s="13">
        <v>44286</v>
      </c>
      <c r="B214" t="s">
        <v>84</v>
      </c>
      <c r="C214" t="s">
        <v>88</v>
      </c>
      <c r="D214" s="65" t="s">
        <v>75</v>
      </c>
      <c r="E214" s="65">
        <v>162</v>
      </c>
      <c r="F214">
        <v>103.21000000000001</v>
      </c>
      <c r="G214">
        <v>0</v>
      </c>
      <c r="H214">
        <v>0</v>
      </c>
      <c r="I214">
        <v>0</v>
      </c>
      <c r="J214">
        <v>0</v>
      </c>
      <c r="K214" s="23">
        <f>IF(Tableau1[[#This Row],[Quantité (H)]]=0,0,Tableau1[[#This Row],[Gasoil (L)]]/Tableau1[[#This Row],[Quantité (H)]])</f>
        <v>0.63709876543209887</v>
      </c>
      <c r="L214" s="23">
        <v>4.9136190262508412</v>
      </c>
      <c r="O214" s="23">
        <f>Tableau1[[#This Row],[Productivité]]-Tableau1[[#This Row],[ les Charges]]</f>
        <v>0</v>
      </c>
      <c r="R214" s="23">
        <f>VLOOKUP(Tableau1[[#This Row],[Code]],$V$3:$Z$157,4,)</f>
        <v>6600</v>
      </c>
      <c r="S214" s="23">
        <f>VLOOKUP(Tableau1[[#This Row],[Code]],$V$3:$Z$157,5,)</f>
        <v>4470</v>
      </c>
    </row>
    <row r="215" spans="1:19" hidden="1" x14ac:dyDescent="0.25">
      <c r="A215" s="13">
        <v>44286</v>
      </c>
      <c r="B215" t="s">
        <v>80</v>
      </c>
      <c r="C215" t="s">
        <v>88</v>
      </c>
      <c r="D215" t="s">
        <v>75</v>
      </c>
      <c r="E215" s="65">
        <v>106</v>
      </c>
      <c r="F215">
        <v>116</v>
      </c>
      <c r="G215">
        <v>0</v>
      </c>
      <c r="H215">
        <v>0</v>
      </c>
      <c r="I215">
        <v>0</v>
      </c>
      <c r="J215">
        <v>0</v>
      </c>
      <c r="K215" s="23">
        <f>IF(Tableau1[[#This Row],[Quantité (H)]]=0,0,Tableau1[[#This Row],[Gasoil (L)]]/Tableau1[[#This Row],[Quantité (H)]])</f>
        <v>1.0943396226415094</v>
      </c>
      <c r="L215" s="23">
        <v>4.9136190262508412</v>
      </c>
      <c r="M215" s="23">
        <v>2690.4</v>
      </c>
      <c r="N215" s="23">
        <v>7200</v>
      </c>
      <c r="O215" s="23">
        <f>Tableau1[[#This Row],[Productivité]]-Tableau1[[#This Row],[ les Charges]]</f>
        <v>4509.6000000000004</v>
      </c>
      <c r="R215" s="23">
        <f>VLOOKUP(Tableau1[[#This Row],[Code]],$V$3:$Z$157,4,)</f>
        <v>6600</v>
      </c>
      <c r="S215" s="23">
        <f>VLOOKUP(Tableau1[[#This Row],[Code]],$V$3:$Z$157,5,)</f>
        <v>4470</v>
      </c>
    </row>
    <row r="216" spans="1:19" hidden="1" x14ac:dyDescent="0.25">
      <c r="A216" s="13">
        <v>44286</v>
      </c>
      <c r="B216" t="s">
        <v>80</v>
      </c>
      <c r="C216" t="s">
        <v>88</v>
      </c>
      <c r="D216" t="s">
        <v>76</v>
      </c>
      <c r="E216" s="65">
        <v>36</v>
      </c>
      <c r="F216">
        <v>92</v>
      </c>
      <c r="G216">
        <v>0</v>
      </c>
      <c r="H216">
        <v>0</v>
      </c>
      <c r="I216">
        <v>0</v>
      </c>
      <c r="J216">
        <v>0</v>
      </c>
      <c r="K216" s="23">
        <f>IF(Tableau1[[#This Row],[Quantité (H)]]=0,0,Tableau1[[#This Row],[Gasoil (L)]]/Tableau1[[#This Row],[Quantité (H)]])</f>
        <v>2.5555555555555554</v>
      </c>
      <c r="L216" s="23">
        <v>6.9908814589665651</v>
      </c>
      <c r="M216" s="23">
        <v>440</v>
      </c>
      <c r="N216" s="23">
        <v>12000</v>
      </c>
      <c r="O216" s="23">
        <f>Tableau1[[#This Row],[Productivité]]-Tableau1[[#This Row],[ les Charges]]</f>
        <v>11560</v>
      </c>
      <c r="R216" s="23">
        <f>VLOOKUP(Tableau1[[#This Row],[Code]],$V$3:$Z$157,4,)</f>
        <v>7500</v>
      </c>
      <c r="S216" s="23">
        <f>VLOOKUP(Tableau1[[#This Row],[Code]],$V$3:$Z$157,5,)</f>
        <v>5560</v>
      </c>
    </row>
    <row r="217" spans="1:19" hidden="1" x14ac:dyDescent="0.25">
      <c r="A217" s="13">
        <v>44286</v>
      </c>
      <c r="B217" t="s">
        <v>82</v>
      </c>
      <c r="C217" t="s">
        <v>88</v>
      </c>
      <c r="D217" t="s">
        <v>77</v>
      </c>
      <c r="E217" s="65">
        <v>0</v>
      </c>
      <c r="F217">
        <v>10.6</v>
      </c>
      <c r="G217">
        <v>0</v>
      </c>
      <c r="H217">
        <v>0</v>
      </c>
      <c r="I217">
        <v>0</v>
      </c>
      <c r="J217">
        <v>0</v>
      </c>
      <c r="K217" s="23">
        <f>IF(Tableau1[[#This Row],[Quantité (H)]]=0,0,Tableau1[[#This Row],[Gasoil (L)]]/Tableau1[[#This Row],[Quantité (H)]])</f>
        <v>0</v>
      </c>
      <c r="L217" s="23">
        <v>2.1694764862466727</v>
      </c>
      <c r="O217" s="23">
        <f>Tableau1[[#This Row],[Productivité]]-Tableau1[[#This Row],[ les Charges]]</f>
        <v>0</v>
      </c>
      <c r="R217" s="23">
        <f>VLOOKUP(Tableau1[[#This Row],[Code]],$V$3:$Z$157,4,)</f>
        <v>6300</v>
      </c>
      <c r="S217" s="23">
        <f>VLOOKUP(Tableau1[[#This Row],[Code]],$V$3:$Z$157,5,)</f>
        <v>5000</v>
      </c>
    </row>
    <row r="218" spans="1:19" hidden="1" x14ac:dyDescent="0.25">
      <c r="A218" s="13">
        <v>44286</v>
      </c>
      <c r="B218" t="s">
        <v>83</v>
      </c>
      <c r="C218" t="s">
        <v>88</v>
      </c>
      <c r="D218" s="65" t="s">
        <v>77</v>
      </c>
      <c r="E218" s="65">
        <v>2</v>
      </c>
      <c r="F218">
        <v>39</v>
      </c>
      <c r="G218">
        <v>0</v>
      </c>
      <c r="H218">
        <v>0</v>
      </c>
      <c r="I218">
        <v>0</v>
      </c>
      <c r="J218">
        <v>0</v>
      </c>
      <c r="K218" s="23">
        <f>IF(Tableau1[[#This Row],[Quantité (H)]]=0,0,Tableau1[[#This Row],[Gasoil (L)]]/Tableau1[[#This Row],[Quantité (H)]])</f>
        <v>19.5</v>
      </c>
      <c r="L218" s="23">
        <v>2.1694764862466727</v>
      </c>
      <c r="O218" s="23">
        <f>Tableau1[[#This Row],[Productivité]]-Tableau1[[#This Row],[ les Charges]]</f>
        <v>0</v>
      </c>
      <c r="R218" s="23">
        <f>VLOOKUP(Tableau1[[#This Row],[Code]],$V$3:$Z$157,4,)</f>
        <v>6300</v>
      </c>
      <c r="S218" s="23">
        <f>VLOOKUP(Tableau1[[#This Row],[Code]],$V$3:$Z$157,5,)</f>
        <v>5000</v>
      </c>
    </row>
    <row r="219" spans="1:19" hidden="1" x14ac:dyDescent="0.25">
      <c r="A219" s="13">
        <v>44286</v>
      </c>
      <c r="B219" t="s">
        <v>84</v>
      </c>
      <c r="C219" t="s">
        <v>88</v>
      </c>
      <c r="D219" t="s">
        <v>77</v>
      </c>
      <c r="E219" s="65">
        <v>18</v>
      </c>
      <c r="F219">
        <v>38</v>
      </c>
      <c r="G219">
        <v>0</v>
      </c>
      <c r="H219">
        <v>0</v>
      </c>
      <c r="I219">
        <v>0</v>
      </c>
      <c r="J219">
        <v>0</v>
      </c>
      <c r="K219" s="23">
        <f>IF(Tableau1[[#This Row],[Quantité (H)]]=0,0,Tableau1[[#This Row],[Gasoil (L)]]/Tableau1[[#This Row],[Quantité (H)]])</f>
        <v>2.1111111111111112</v>
      </c>
      <c r="L219" s="23">
        <v>2.1694764862466727</v>
      </c>
      <c r="O219" s="23">
        <f>Tableau1[[#This Row],[Productivité]]-Tableau1[[#This Row],[ les Charges]]</f>
        <v>0</v>
      </c>
      <c r="R219" s="23">
        <f>VLOOKUP(Tableau1[[#This Row],[Code]],$V$3:$Z$157,4,)</f>
        <v>6300</v>
      </c>
      <c r="S219" s="23">
        <f>VLOOKUP(Tableau1[[#This Row],[Code]],$V$3:$Z$157,5,)</f>
        <v>5000</v>
      </c>
    </row>
    <row r="220" spans="1:19" hidden="1" x14ac:dyDescent="0.25">
      <c r="A220" s="13">
        <v>44286</v>
      </c>
      <c r="B220" t="s">
        <v>79</v>
      </c>
      <c r="C220" t="s">
        <v>88</v>
      </c>
      <c r="D220" t="s">
        <v>77</v>
      </c>
      <c r="E220" s="65">
        <v>2</v>
      </c>
      <c r="F220">
        <v>40</v>
      </c>
      <c r="G220">
        <v>0</v>
      </c>
      <c r="H220">
        <v>0</v>
      </c>
      <c r="I220">
        <v>0</v>
      </c>
      <c r="J220">
        <v>0</v>
      </c>
      <c r="K220" s="23">
        <f>IF(Tableau1[[#This Row],[Quantité (H)]]=0,0,Tableau1[[#This Row],[Gasoil (L)]]/Tableau1[[#This Row],[Quantité (H)]])</f>
        <v>20</v>
      </c>
      <c r="L220" s="23">
        <v>2.1694764862466727</v>
      </c>
      <c r="O220" s="23">
        <f>Tableau1[[#This Row],[Productivité]]-Tableau1[[#This Row],[ les Charges]]</f>
        <v>0</v>
      </c>
      <c r="R220" s="23">
        <f>VLOOKUP(Tableau1[[#This Row],[Code]],$V$3:$Z$157,4,)</f>
        <v>6300</v>
      </c>
      <c r="S220" s="23">
        <f>VLOOKUP(Tableau1[[#This Row],[Code]],$V$3:$Z$157,5,)</f>
        <v>5000</v>
      </c>
    </row>
    <row r="221" spans="1:19" hidden="1" x14ac:dyDescent="0.25">
      <c r="A221" s="13">
        <v>44286</v>
      </c>
      <c r="B221" t="s">
        <v>80</v>
      </c>
      <c r="C221" t="s">
        <v>88</v>
      </c>
      <c r="D221" t="s">
        <v>77</v>
      </c>
      <c r="E221" s="3">
        <v>34</v>
      </c>
      <c r="F221">
        <v>68</v>
      </c>
      <c r="G221">
        <v>0</v>
      </c>
      <c r="H221">
        <v>0</v>
      </c>
      <c r="I221">
        <v>0</v>
      </c>
      <c r="J221">
        <v>0</v>
      </c>
      <c r="K221" s="23">
        <f>IF(Tableau1[[#This Row],[Quantité (H)]]=0,0,Tableau1[[#This Row],[Gasoil (L)]]/Tableau1[[#This Row],[Quantité (H)]])</f>
        <v>2</v>
      </c>
      <c r="L221" s="23">
        <v>2.1694764862466727</v>
      </c>
      <c r="M221" s="23">
        <v>1186</v>
      </c>
      <c r="N221" s="23">
        <v>4800</v>
      </c>
      <c r="O221" s="23">
        <f>Tableau1[[#This Row],[Productivité]]-Tableau1[[#This Row],[ les Charges]]</f>
        <v>3614</v>
      </c>
      <c r="R221" s="23">
        <f>VLOOKUP(Tableau1[[#This Row],[Code]],$V$3:$Z$157,4,)</f>
        <v>6300</v>
      </c>
      <c r="S221" s="23">
        <f>VLOOKUP(Tableau1[[#This Row],[Code]],$V$3:$Z$157,5,)</f>
        <v>5000</v>
      </c>
    </row>
    <row r="222" spans="1:19" hidden="1" x14ac:dyDescent="0.25">
      <c r="A222" s="13">
        <v>44286</v>
      </c>
      <c r="B222" t="s">
        <v>116</v>
      </c>
      <c r="C222" t="s">
        <v>88</v>
      </c>
      <c r="D222" t="s">
        <v>78</v>
      </c>
      <c r="E222" s="65">
        <v>252</v>
      </c>
      <c r="F222">
        <v>189.75</v>
      </c>
      <c r="G222">
        <v>0</v>
      </c>
      <c r="H222">
        <v>0</v>
      </c>
      <c r="I222">
        <v>0</v>
      </c>
      <c r="J222">
        <v>0</v>
      </c>
      <c r="K222" s="23">
        <f>IF(Tableau1[[#This Row],[Quantité (H)]]=0,0,Tableau1[[#This Row],[Gasoil (L)]]/Tableau1[[#This Row],[Quantité (H)]])</f>
        <v>0.75297619047619047</v>
      </c>
      <c r="L222" s="23">
        <v>22.297297297297298</v>
      </c>
      <c r="M222" s="23">
        <v>2144.5300000000002</v>
      </c>
      <c r="N222" s="23">
        <v>8400</v>
      </c>
      <c r="O222" s="23">
        <f>Tableau1[[#This Row],[Productivité]]-Tableau1[[#This Row],[ les Charges]]</f>
        <v>6255.4699999999993</v>
      </c>
      <c r="R222" s="23">
        <f>VLOOKUP(Tableau1[[#This Row],[Code]],$V$3:$Z$157,4,)</f>
        <v>6600</v>
      </c>
      <c r="S222" s="23">
        <f>VLOOKUP(Tableau1[[#This Row],[Code]],$V$3:$Z$157,5,)</f>
        <v>4140</v>
      </c>
    </row>
    <row r="223" spans="1:19" hidden="1" x14ac:dyDescent="0.25">
      <c r="A223" s="13">
        <v>44316</v>
      </c>
      <c r="B223" t="s">
        <v>80</v>
      </c>
      <c r="C223" t="s">
        <v>40</v>
      </c>
      <c r="D223" t="s">
        <v>16</v>
      </c>
      <c r="E223" s="65">
        <v>132</v>
      </c>
      <c r="F223">
        <v>1085</v>
      </c>
      <c r="G223">
        <v>0</v>
      </c>
      <c r="H223">
        <v>0</v>
      </c>
      <c r="I223">
        <v>0</v>
      </c>
      <c r="J223">
        <v>0</v>
      </c>
      <c r="K223" s="23">
        <f>IF(Tableau1[[#This Row],[Quantité (H)]]=0,0,Tableau1[[#This Row],[Gasoil (L)]]/Tableau1[[#This Row],[Quantité (H)]])</f>
        <v>8.2196969696969688</v>
      </c>
      <c r="M223" s="23">
        <v>15700</v>
      </c>
      <c r="N223" s="23">
        <v>26400</v>
      </c>
      <c r="O223" s="23">
        <f>Tableau1[[#This Row],[Productivité]]-Tableau1[[#This Row],[ les Charges]]</f>
        <v>10700</v>
      </c>
      <c r="R223" s="23">
        <f>VLOOKUP(Tableau1[[#This Row],[Code]],$V$3:$Z$157,4,)</f>
        <v>14800</v>
      </c>
      <c r="S223" s="23">
        <f>VLOOKUP(Tableau1[[#This Row],[Code]],$V$3:$Z$157,5,)</f>
        <v>4838.34</v>
      </c>
    </row>
    <row r="224" spans="1:19" hidden="1" x14ac:dyDescent="0.25">
      <c r="A224" s="13">
        <v>44316</v>
      </c>
      <c r="B224" t="s">
        <v>83</v>
      </c>
      <c r="C224" t="s">
        <v>40</v>
      </c>
      <c r="D224" t="s">
        <v>17</v>
      </c>
      <c r="E224" s="65">
        <v>79</v>
      </c>
      <c r="F224">
        <v>485</v>
      </c>
      <c r="G224">
        <v>11</v>
      </c>
      <c r="H224">
        <v>0</v>
      </c>
      <c r="I224">
        <v>0</v>
      </c>
      <c r="J224">
        <v>4</v>
      </c>
      <c r="K224" s="23">
        <f>IF(Tableau1[[#This Row],[Quantité (H)]]=0,0,Tableau1[[#This Row],[Gasoil (L)]]/Tableau1[[#This Row],[Quantité (H)]])</f>
        <v>6.1392405063291138</v>
      </c>
      <c r="M224" s="23">
        <v>580</v>
      </c>
      <c r="N224" s="23">
        <v>8000</v>
      </c>
      <c r="O224" s="23">
        <f>Tableau1[[#This Row],[Productivité]]-Tableau1[[#This Row],[ les Charges]]</f>
        <v>7420</v>
      </c>
      <c r="R224" s="23">
        <f>VLOOKUP(Tableau1[[#This Row],[Code]],$V$3:$Z$157,4,)</f>
        <v>11400</v>
      </c>
      <c r="S224" s="23">
        <f>VLOOKUP(Tableau1[[#This Row],[Code]],$V$3:$Z$157,5,)</f>
        <v>7070</v>
      </c>
    </row>
    <row r="225" spans="1:19" hidden="1" x14ac:dyDescent="0.25">
      <c r="A225" s="13">
        <v>44316</v>
      </c>
      <c r="B225" t="s">
        <v>80</v>
      </c>
      <c r="C225" t="s">
        <v>40</v>
      </c>
      <c r="D225" t="s">
        <v>18</v>
      </c>
      <c r="E225" s="3">
        <v>36</v>
      </c>
      <c r="F225">
        <v>122</v>
      </c>
      <c r="G225">
        <v>4</v>
      </c>
      <c r="H225">
        <v>0</v>
      </c>
      <c r="I225">
        <v>25</v>
      </c>
      <c r="J225">
        <v>0</v>
      </c>
      <c r="K225" s="23">
        <f>IF(Tableau1[[#This Row],[Quantité (H)]]=0,0,Tableau1[[#This Row],[Gasoil (L)]]/Tableau1[[#This Row],[Quantité (H)]])</f>
        <v>3.3888888888888888</v>
      </c>
      <c r="M225" s="23">
        <v>1331.08</v>
      </c>
      <c r="N225" s="23">
        <v>1200</v>
      </c>
      <c r="O225" s="23">
        <f>Tableau1[[#This Row],[Productivité]]-Tableau1[[#This Row],[ les Charges]]</f>
        <v>-131.07999999999993</v>
      </c>
      <c r="R225" s="23">
        <f>VLOOKUP(Tableau1[[#This Row],[Code]],$V$3:$Z$157,4,)</f>
        <v>12300</v>
      </c>
      <c r="S225" s="23">
        <f>VLOOKUP(Tableau1[[#This Row],[Code]],$V$3:$Z$157,5,)</f>
        <v>9170</v>
      </c>
    </row>
    <row r="226" spans="1:19" hidden="1" x14ac:dyDescent="0.25">
      <c r="A226" s="13">
        <v>44316</v>
      </c>
      <c r="B226" t="s">
        <v>116</v>
      </c>
      <c r="C226" t="s">
        <v>40</v>
      </c>
      <c r="D226" t="s">
        <v>19</v>
      </c>
      <c r="E226" s="65">
        <v>69</v>
      </c>
      <c r="F226">
        <v>970</v>
      </c>
      <c r="G226">
        <v>20</v>
      </c>
      <c r="H226">
        <v>0</v>
      </c>
      <c r="I226">
        <v>5</v>
      </c>
      <c r="J226">
        <v>5</v>
      </c>
      <c r="K226" s="23">
        <f>IF(Tableau1[[#This Row],[Quantité (H)]]=0,0,Tableau1[[#This Row],[Gasoil (L)]]/Tableau1[[#This Row],[Quantité (H)]])</f>
        <v>14.057971014492754</v>
      </c>
      <c r="M226" s="23">
        <v>10850</v>
      </c>
      <c r="N226" s="23">
        <v>12600</v>
      </c>
      <c r="O226" s="23">
        <f>Tableau1[[#This Row],[Productivité]]-Tableau1[[#This Row],[ les Charges]]</f>
        <v>1750</v>
      </c>
      <c r="R226" s="23">
        <f>VLOOKUP(Tableau1[[#This Row],[Code]],$V$3:$Z$157,4,)</f>
        <v>11200</v>
      </c>
      <c r="S226" s="23">
        <f>VLOOKUP(Tableau1[[#This Row],[Code]],$V$3:$Z$157,5,)</f>
        <v>5505</v>
      </c>
    </row>
    <row r="227" spans="1:19" hidden="1" x14ac:dyDescent="0.25">
      <c r="A227" s="13">
        <v>44316</v>
      </c>
      <c r="B227" t="s">
        <v>116</v>
      </c>
      <c r="C227" t="s">
        <v>85</v>
      </c>
      <c r="D227" t="s">
        <v>44</v>
      </c>
      <c r="E227" s="3">
        <v>19</v>
      </c>
      <c r="F227">
        <v>291</v>
      </c>
      <c r="G227">
        <v>0</v>
      </c>
      <c r="H227">
        <v>0</v>
      </c>
      <c r="I227">
        <v>0</v>
      </c>
      <c r="J227">
        <v>0</v>
      </c>
      <c r="K227" s="23">
        <f>IF(Tableau1[[#This Row],[Quantité (H)]]=0,0,Tableau1[[#This Row],[Gasoil (L)]]/Tableau1[[#This Row],[Quantité (H)]])</f>
        <v>15.315789473684211</v>
      </c>
      <c r="L227" s="23">
        <v>1.5088302644374039</v>
      </c>
      <c r="O227" s="23">
        <f>Tableau1[[#This Row],[Productivité]]-Tableau1[[#This Row],[ les Charges]]</f>
        <v>0</v>
      </c>
      <c r="R227" s="23">
        <f>VLOOKUP(Tableau1[[#This Row],[Code]],$V$3:$Z$157,4,)</f>
        <v>46340</v>
      </c>
      <c r="S227" s="23">
        <f>VLOOKUP(Tableau1[[#This Row],[Code]],$V$3:$Z$157,5,)</f>
        <v>36500</v>
      </c>
    </row>
    <row r="228" spans="1:19" hidden="1" x14ac:dyDescent="0.25">
      <c r="A228" s="13">
        <v>44316</v>
      </c>
      <c r="B228" t="s">
        <v>83</v>
      </c>
      <c r="C228" t="s">
        <v>85</v>
      </c>
      <c r="D228" t="s">
        <v>44</v>
      </c>
      <c r="E228" s="3">
        <v>187</v>
      </c>
      <c r="F228">
        <v>1152</v>
      </c>
      <c r="G228">
        <v>0</v>
      </c>
      <c r="H228">
        <v>0</v>
      </c>
      <c r="I228">
        <v>0</v>
      </c>
      <c r="J228">
        <v>2</v>
      </c>
      <c r="K228" s="23">
        <f>IF(Tableau1[[#This Row],[Quantité (H)]]=0,0,Tableau1[[#This Row],[Gasoil (L)]]/Tableau1[[#This Row],[Quantité (H)]])</f>
        <v>6.1604278074866308</v>
      </c>
      <c r="L228" s="23">
        <v>1.5088302644374039</v>
      </c>
      <c r="M228" s="23">
        <v>36102.76</v>
      </c>
      <c r="N228" s="23">
        <v>59920</v>
      </c>
      <c r="O228" s="23">
        <f>Tableau1[[#This Row],[Productivité]]-Tableau1[[#This Row],[ les Charges]]</f>
        <v>23817.239999999998</v>
      </c>
      <c r="R228" s="23">
        <f>VLOOKUP(Tableau1[[#This Row],[Code]],$V$3:$Z$157,4,)</f>
        <v>46340</v>
      </c>
      <c r="S228" s="23">
        <f>VLOOKUP(Tableau1[[#This Row],[Code]],$V$3:$Z$157,5,)</f>
        <v>36500</v>
      </c>
    </row>
    <row r="229" spans="1:19" hidden="1" x14ac:dyDescent="0.25">
      <c r="A229" s="13">
        <v>44316</v>
      </c>
      <c r="B229" t="s">
        <v>80</v>
      </c>
      <c r="C229" t="s">
        <v>85</v>
      </c>
      <c r="D229" t="s">
        <v>45</v>
      </c>
      <c r="E229" s="3">
        <v>283</v>
      </c>
      <c r="F229">
        <v>796</v>
      </c>
      <c r="G229">
        <v>0</v>
      </c>
      <c r="H229">
        <v>0</v>
      </c>
      <c r="I229">
        <v>0</v>
      </c>
      <c r="J229">
        <v>0</v>
      </c>
      <c r="K229" s="23">
        <f>IF(Tableau1[[#This Row],[Quantité (H)]]=0,0,Tableau1[[#This Row],[Gasoil (L)]]/Tableau1[[#This Row],[Quantité (H)]])</f>
        <v>2.8127208480565371</v>
      </c>
      <c r="L229" s="23">
        <v>33</v>
      </c>
      <c r="O229" s="23">
        <f>Tableau1[[#This Row],[Productivité]]-Tableau1[[#This Row],[ les Charges]]</f>
        <v>0</v>
      </c>
      <c r="R229" s="23">
        <f>VLOOKUP(Tableau1[[#This Row],[Code]],$V$3:$Z$157,4,)</f>
        <v>64680</v>
      </c>
      <c r="S229" s="23">
        <f>VLOOKUP(Tableau1[[#This Row],[Code]],$V$3:$Z$157,5,)</f>
        <v>57080</v>
      </c>
    </row>
    <row r="230" spans="1:19" hidden="1" x14ac:dyDescent="0.25">
      <c r="A230" s="13">
        <v>44316</v>
      </c>
      <c r="B230" t="s">
        <v>79</v>
      </c>
      <c r="C230" t="s">
        <v>85</v>
      </c>
      <c r="D230" s="65" t="s">
        <v>45</v>
      </c>
      <c r="E230" s="3">
        <v>6.5</v>
      </c>
      <c r="F230">
        <v>0</v>
      </c>
      <c r="G230">
        <v>0</v>
      </c>
      <c r="H230">
        <v>0</v>
      </c>
      <c r="I230">
        <v>0</v>
      </c>
      <c r="J230">
        <v>0</v>
      </c>
      <c r="K230" s="23">
        <f>IF(Tableau1[[#This Row],[Quantité (H)]]=0,0,Tableau1[[#This Row],[Gasoil (L)]]/Tableau1[[#This Row],[Quantité (H)]])</f>
        <v>0</v>
      </c>
      <c r="L230" s="23">
        <v>33</v>
      </c>
      <c r="M230" s="23">
        <v>29632.76</v>
      </c>
      <c r="N230" s="23">
        <v>81060</v>
      </c>
      <c r="O230" s="23">
        <f>Tableau1[[#This Row],[Productivité]]-Tableau1[[#This Row],[ les Charges]]</f>
        <v>51427.240000000005</v>
      </c>
      <c r="R230" s="23">
        <f>VLOOKUP(Tableau1[[#This Row],[Code]],$V$3:$Z$157,4,)</f>
        <v>64680</v>
      </c>
      <c r="S230" s="23">
        <f>VLOOKUP(Tableau1[[#This Row],[Code]],$V$3:$Z$157,5,)</f>
        <v>57080</v>
      </c>
    </row>
    <row r="231" spans="1:19" hidden="1" x14ac:dyDescent="0.25">
      <c r="A231" s="13">
        <v>44316</v>
      </c>
      <c r="B231" t="s">
        <v>83</v>
      </c>
      <c r="C231" t="s">
        <v>85</v>
      </c>
      <c r="D231" t="s">
        <v>46</v>
      </c>
      <c r="E231" s="3">
        <v>211</v>
      </c>
      <c r="F231">
        <v>2213</v>
      </c>
      <c r="G231">
        <v>0</v>
      </c>
      <c r="H231">
        <v>0</v>
      </c>
      <c r="I231">
        <v>0</v>
      </c>
      <c r="J231">
        <v>0</v>
      </c>
      <c r="K231" s="23">
        <f>IF(Tableau1[[#This Row],[Quantité (H)]]=0,0,Tableau1[[#This Row],[Gasoil (L)]]/Tableau1[[#This Row],[Quantité (H)]])</f>
        <v>10.488151658767773</v>
      </c>
      <c r="L231" s="23">
        <v>58.981876332622605</v>
      </c>
      <c r="M231" s="23">
        <v>22130</v>
      </c>
      <c r="N231" s="23">
        <v>59080</v>
      </c>
      <c r="O231" s="23">
        <f>Tableau1[[#This Row],[Productivité]]-Tableau1[[#This Row],[ les Charges]]</f>
        <v>36950</v>
      </c>
      <c r="R231" s="23">
        <f>VLOOKUP(Tableau1[[#This Row],[Code]],$V$3:$Z$157,4,)</f>
        <v>48720</v>
      </c>
      <c r="S231" s="23">
        <f>VLOOKUP(Tableau1[[#This Row],[Code]],$V$3:$Z$157,5,)</f>
        <v>26090.82</v>
      </c>
    </row>
    <row r="232" spans="1:19" hidden="1" x14ac:dyDescent="0.25">
      <c r="A232" s="13">
        <v>44316</v>
      </c>
      <c r="B232" t="s">
        <v>80</v>
      </c>
      <c r="C232" t="s">
        <v>85</v>
      </c>
      <c r="D232" t="s">
        <v>47</v>
      </c>
      <c r="E232" s="3">
        <v>154</v>
      </c>
      <c r="F232">
        <v>1392</v>
      </c>
      <c r="G232">
        <v>0</v>
      </c>
      <c r="H232">
        <v>0</v>
      </c>
      <c r="I232">
        <v>0</v>
      </c>
      <c r="J232">
        <v>0</v>
      </c>
      <c r="K232" s="23">
        <f>IF(Tableau1[[#This Row],[Quantité (H)]]=0,0,Tableau1[[#This Row],[Gasoil (L)]]/Tableau1[[#This Row],[Quantité (H)]])</f>
        <v>9.0389610389610393</v>
      </c>
      <c r="L232" s="23">
        <v>67.126965861143077</v>
      </c>
      <c r="O232" s="23">
        <f>Tableau1[[#This Row],[Productivité]]-Tableau1[[#This Row],[ les Charges]]</f>
        <v>0</v>
      </c>
      <c r="R232" s="23">
        <f>VLOOKUP(Tableau1[[#This Row],[Code]],$V$3:$Z$157,4,)</f>
        <v>65240</v>
      </c>
      <c r="S232" s="23">
        <f>VLOOKUP(Tableau1[[#This Row],[Code]],$V$3:$Z$157,5,)</f>
        <v>54030.82</v>
      </c>
    </row>
    <row r="233" spans="1:19" hidden="1" x14ac:dyDescent="0.25">
      <c r="A233" s="13">
        <v>44316</v>
      </c>
      <c r="B233" t="s">
        <v>79</v>
      </c>
      <c r="C233" t="s">
        <v>85</v>
      </c>
      <c r="D233" t="s">
        <v>47</v>
      </c>
      <c r="E233" s="3">
        <v>96</v>
      </c>
      <c r="F233">
        <v>422.46000000000004</v>
      </c>
      <c r="G233">
        <v>0</v>
      </c>
      <c r="H233">
        <v>0</v>
      </c>
      <c r="I233">
        <v>0</v>
      </c>
      <c r="J233">
        <v>0</v>
      </c>
      <c r="K233" s="23">
        <f>IF(Tableau1[[#This Row],[Quantité (H)]]=0,0,Tableau1[[#This Row],[Gasoil (L)]]/Tableau1[[#This Row],[Quantité (H)]])</f>
        <v>4.4006250000000007</v>
      </c>
      <c r="L233" s="23">
        <v>67.126965861143077</v>
      </c>
      <c r="M233" s="23">
        <v>18145</v>
      </c>
      <c r="N233" s="23">
        <v>72240</v>
      </c>
      <c r="O233" s="23">
        <f>Tableau1[[#This Row],[Productivité]]-Tableau1[[#This Row],[ les Charges]]</f>
        <v>54095</v>
      </c>
      <c r="R233" s="23">
        <f>VLOOKUP(Tableau1[[#This Row],[Code]],$V$3:$Z$157,4,)</f>
        <v>65240</v>
      </c>
      <c r="S233" s="23">
        <f>VLOOKUP(Tableau1[[#This Row],[Code]],$V$3:$Z$157,5,)</f>
        <v>54030.82</v>
      </c>
    </row>
    <row r="234" spans="1:19" hidden="1" x14ac:dyDescent="0.25">
      <c r="A234" s="13">
        <v>44316</v>
      </c>
      <c r="B234" t="s">
        <v>80</v>
      </c>
      <c r="C234" t="s">
        <v>85</v>
      </c>
      <c r="D234" t="s">
        <v>48</v>
      </c>
      <c r="E234" s="3">
        <v>153</v>
      </c>
      <c r="F234">
        <v>372</v>
      </c>
      <c r="G234">
        <v>0</v>
      </c>
      <c r="H234">
        <v>0</v>
      </c>
      <c r="I234">
        <v>0</v>
      </c>
      <c r="J234">
        <v>0</v>
      </c>
      <c r="K234" s="23">
        <f>IF(Tableau1[[#This Row],[Quantité (H)]]=0,0,Tableau1[[#This Row],[Gasoil (L)]]/Tableau1[[#This Row],[Quantité (H)]])</f>
        <v>2.4313725490196076</v>
      </c>
      <c r="L234" s="23">
        <v>46.752136752136749</v>
      </c>
      <c r="O234" s="23">
        <f>Tableau1[[#This Row],[Productivité]]-Tableau1[[#This Row],[ les Charges]]</f>
        <v>0</v>
      </c>
      <c r="R234" s="23">
        <f>VLOOKUP(Tableau1[[#This Row],[Code]],$V$3:$Z$157,4,)</f>
        <v>17400</v>
      </c>
      <c r="S234" s="23">
        <f>VLOOKUP(Tableau1[[#This Row],[Code]],$V$3:$Z$157,5,)</f>
        <v>8595</v>
      </c>
    </row>
    <row r="235" spans="1:19" hidden="1" x14ac:dyDescent="0.25">
      <c r="A235" s="13">
        <v>44316</v>
      </c>
      <c r="B235" t="s">
        <v>79</v>
      </c>
      <c r="C235" t="s">
        <v>85</v>
      </c>
      <c r="D235" t="s">
        <v>48</v>
      </c>
      <c r="E235" s="3">
        <v>3</v>
      </c>
      <c r="F235">
        <v>175</v>
      </c>
      <c r="G235">
        <v>0</v>
      </c>
      <c r="H235">
        <v>0</v>
      </c>
      <c r="I235">
        <v>0</v>
      </c>
      <c r="J235">
        <v>0</v>
      </c>
      <c r="K235" s="23">
        <f>IF(Tableau1[[#This Row],[Quantité (H)]]=0,0,Tableau1[[#This Row],[Gasoil (L)]]/Tableau1[[#This Row],[Quantité (H)]])</f>
        <v>58.333333333333336</v>
      </c>
      <c r="L235" s="23">
        <v>46.752136752136749</v>
      </c>
      <c r="M235" s="23">
        <v>15682.49</v>
      </c>
      <c r="N235" s="23">
        <v>23400</v>
      </c>
      <c r="O235" s="23">
        <f>Tableau1[[#This Row],[Productivité]]-Tableau1[[#This Row],[ les Charges]]</f>
        <v>7717.51</v>
      </c>
      <c r="R235" s="23">
        <f>VLOOKUP(Tableau1[[#This Row],[Code]],$V$3:$Z$157,4,)</f>
        <v>17400</v>
      </c>
      <c r="S235" s="23">
        <f>VLOOKUP(Tableau1[[#This Row],[Code]],$V$3:$Z$157,5,)</f>
        <v>8595</v>
      </c>
    </row>
    <row r="236" spans="1:19" hidden="1" x14ac:dyDescent="0.25">
      <c r="A236" s="13">
        <v>44316</v>
      </c>
      <c r="B236" t="s">
        <v>80</v>
      </c>
      <c r="C236" t="s">
        <v>85</v>
      </c>
      <c r="D236" t="s">
        <v>49</v>
      </c>
      <c r="E236" s="65">
        <v>117</v>
      </c>
      <c r="F236">
        <v>783</v>
      </c>
      <c r="G236">
        <v>0</v>
      </c>
      <c r="H236">
        <v>0</v>
      </c>
      <c r="I236">
        <v>21</v>
      </c>
      <c r="J236">
        <v>0</v>
      </c>
      <c r="K236" s="23">
        <f>IF(Tableau1[[#This Row],[Quantité (H)]]=0,0,Tableau1[[#This Row],[Gasoil (L)]]/Tableau1[[#This Row],[Quantité (H)]])</f>
        <v>6.6923076923076925</v>
      </c>
      <c r="L236" s="23">
        <v>30.04604758250192</v>
      </c>
      <c r="M236" s="23">
        <v>18532.169999999998</v>
      </c>
      <c r="N236" s="23">
        <v>17550</v>
      </c>
      <c r="O236" s="23">
        <f>Tableau1[[#This Row],[Productivité]]-Tableau1[[#This Row],[ les Charges]]</f>
        <v>-982.16999999999825</v>
      </c>
      <c r="R236" s="23">
        <f>VLOOKUP(Tableau1[[#This Row],[Code]],$V$3:$Z$157,4,)</f>
        <v>17625</v>
      </c>
      <c r="S236" s="23">
        <f>VLOOKUP(Tableau1[[#This Row],[Code]],$V$3:$Z$157,5,)</f>
        <v>9555</v>
      </c>
    </row>
    <row r="237" spans="1:19" hidden="1" x14ac:dyDescent="0.25">
      <c r="A237" s="13">
        <v>44316</v>
      </c>
      <c r="B237" t="s">
        <v>83</v>
      </c>
      <c r="C237" t="s">
        <v>85</v>
      </c>
      <c r="D237" t="s">
        <v>50</v>
      </c>
      <c r="E237" s="65">
        <v>206</v>
      </c>
      <c r="F237">
        <v>580</v>
      </c>
      <c r="G237">
        <v>0</v>
      </c>
      <c r="H237">
        <v>0</v>
      </c>
      <c r="I237">
        <v>0</v>
      </c>
      <c r="J237">
        <v>0</v>
      </c>
      <c r="K237" s="23">
        <f>IF(Tableau1[[#This Row],[Quantité (H)]]=0,0,Tableau1[[#This Row],[Gasoil (L)]]/Tableau1[[#This Row],[Quantité (H)]])</f>
        <v>2.8155339805825244</v>
      </c>
      <c r="L237" s="23">
        <v>34.482758620689658</v>
      </c>
      <c r="M237" s="23">
        <v>15767.17</v>
      </c>
      <c r="N237" s="23">
        <v>30900</v>
      </c>
      <c r="O237" s="23">
        <f>Tableau1[[#This Row],[Productivité]]-Tableau1[[#This Row],[ les Charges]]</f>
        <v>15132.83</v>
      </c>
      <c r="R237" s="23">
        <f>VLOOKUP(Tableau1[[#This Row],[Code]],$V$3:$Z$157,4,)</f>
        <v>26250</v>
      </c>
      <c r="S237" s="23">
        <f>VLOOKUP(Tableau1[[#This Row],[Code]],$V$3:$Z$157,5,)</f>
        <v>21570</v>
      </c>
    </row>
    <row r="238" spans="1:19" hidden="1" x14ac:dyDescent="0.25">
      <c r="A238" s="13">
        <v>44316</v>
      </c>
      <c r="B238" t="s">
        <v>80</v>
      </c>
      <c r="C238" t="s">
        <v>85</v>
      </c>
      <c r="D238" t="s">
        <v>54</v>
      </c>
      <c r="E238" s="65">
        <v>24</v>
      </c>
      <c r="F238">
        <v>10</v>
      </c>
      <c r="G238">
        <v>0</v>
      </c>
      <c r="H238">
        <v>0</v>
      </c>
      <c r="I238">
        <v>86</v>
      </c>
      <c r="J238">
        <v>0</v>
      </c>
      <c r="K238" s="23">
        <f>IF(Tableau1[[#This Row],[Quantité (H)]]=0,0,Tableau1[[#This Row],[Gasoil (L)]]/Tableau1[[#This Row],[Quantité (H)]])</f>
        <v>0.41666666666666669</v>
      </c>
      <c r="L238" s="23">
        <v>33</v>
      </c>
      <c r="O238" s="23">
        <f>Tableau1[[#This Row],[Productivité]]-Tableau1[[#This Row],[ les Charges]]</f>
        <v>0</v>
      </c>
      <c r="R238" s="23">
        <f>VLOOKUP(Tableau1[[#This Row],[Code]],$V$3:$Z$157,4,)</f>
        <v>52500</v>
      </c>
      <c r="S238" s="23">
        <f>VLOOKUP(Tableau1[[#This Row],[Code]],$V$3:$Z$157,5,)</f>
        <v>44820</v>
      </c>
    </row>
    <row r="239" spans="1:19" hidden="1" x14ac:dyDescent="0.25">
      <c r="A239" s="13">
        <v>44316</v>
      </c>
      <c r="B239" t="s">
        <v>79</v>
      </c>
      <c r="C239" t="s">
        <v>85</v>
      </c>
      <c r="D239" t="s">
        <v>54</v>
      </c>
      <c r="E239" s="65">
        <v>186</v>
      </c>
      <c r="F239">
        <v>839.63</v>
      </c>
      <c r="G239">
        <v>0</v>
      </c>
      <c r="H239">
        <v>0</v>
      </c>
      <c r="I239">
        <v>0</v>
      </c>
      <c r="J239">
        <v>10</v>
      </c>
      <c r="K239" s="23">
        <f>IF(Tableau1[[#This Row],[Quantité (H)]]=0,0,Tableau1[[#This Row],[Gasoil (L)]]/Tableau1[[#This Row],[Quantité (H)]])</f>
        <v>4.5141397849462361</v>
      </c>
      <c r="L239" s="23">
        <v>33</v>
      </c>
      <c r="M239" s="23">
        <v>8846</v>
      </c>
      <c r="N239" s="23">
        <v>58800</v>
      </c>
      <c r="O239" s="23">
        <f>Tableau1[[#This Row],[Productivité]]-Tableau1[[#This Row],[ les Charges]]</f>
        <v>49954</v>
      </c>
      <c r="R239" s="23">
        <f>VLOOKUP(Tableau1[[#This Row],[Code]],$V$3:$Z$157,4,)</f>
        <v>52500</v>
      </c>
      <c r="S239" s="23">
        <f>VLOOKUP(Tableau1[[#This Row],[Code]],$V$3:$Z$157,5,)</f>
        <v>44820</v>
      </c>
    </row>
    <row r="240" spans="1:19" hidden="1" x14ac:dyDescent="0.25">
      <c r="A240" s="13">
        <v>44316</v>
      </c>
      <c r="B240" t="s">
        <v>80</v>
      </c>
      <c r="C240" t="s">
        <v>85</v>
      </c>
      <c r="D240" t="s">
        <v>56</v>
      </c>
      <c r="E240" s="65">
        <v>121</v>
      </c>
      <c r="F240">
        <v>2050</v>
      </c>
      <c r="G240">
        <v>0</v>
      </c>
      <c r="H240">
        <v>0</v>
      </c>
      <c r="I240">
        <v>0</v>
      </c>
      <c r="J240">
        <v>0</v>
      </c>
      <c r="K240" s="23">
        <f>IF(Tableau1[[#This Row],[Quantité (H)]]=0,0,Tableau1[[#This Row],[Gasoil (L)]]/Tableau1[[#This Row],[Quantité (H)]])</f>
        <v>16.942148760330578</v>
      </c>
      <c r="L240" s="23">
        <v>73.916737468139331</v>
      </c>
      <c r="O240" s="23">
        <f>Tableau1[[#This Row],[Productivité]]-Tableau1[[#This Row],[ les Charges]]</f>
        <v>0</v>
      </c>
      <c r="R240" s="23">
        <f>VLOOKUP(Tableau1[[#This Row],[Code]],$V$3:$Z$157,4,)</f>
        <v>30900</v>
      </c>
      <c r="S240" s="23">
        <f>VLOOKUP(Tableau1[[#This Row],[Code]],$V$3:$Z$157,5,)</f>
        <v>9895.0999999999985</v>
      </c>
    </row>
    <row r="241" spans="1:19" hidden="1" x14ac:dyDescent="0.25">
      <c r="A241" s="13">
        <v>44316</v>
      </c>
      <c r="B241" t="s">
        <v>79</v>
      </c>
      <c r="C241" t="s">
        <v>85</v>
      </c>
      <c r="D241" t="s">
        <v>56</v>
      </c>
      <c r="E241" s="65">
        <v>8</v>
      </c>
      <c r="F241">
        <v>560</v>
      </c>
      <c r="G241">
        <v>0</v>
      </c>
      <c r="H241">
        <v>0</v>
      </c>
      <c r="I241">
        <v>0</v>
      </c>
      <c r="J241">
        <v>0</v>
      </c>
      <c r="K241" s="23">
        <f>IF(Tableau1[[#This Row],[Quantité (H)]]=0,0,Tableau1[[#This Row],[Gasoil (L)]]/Tableau1[[#This Row],[Quantité (H)]])</f>
        <v>70</v>
      </c>
      <c r="L241" s="23">
        <v>73.916737468139331</v>
      </c>
      <c r="M241" s="23">
        <v>27924.959999999999</v>
      </c>
      <c r="N241" s="23">
        <v>54300</v>
      </c>
      <c r="O241" s="23">
        <f>Tableau1[[#This Row],[Productivité]]-Tableau1[[#This Row],[ les Charges]]</f>
        <v>26375.040000000001</v>
      </c>
      <c r="R241" s="23">
        <f>VLOOKUP(Tableau1[[#This Row],[Code]],$V$3:$Z$157,4,)</f>
        <v>30900</v>
      </c>
      <c r="S241" s="23">
        <f>VLOOKUP(Tableau1[[#This Row],[Code]],$V$3:$Z$157,5,)</f>
        <v>9895.0999999999985</v>
      </c>
    </row>
    <row r="242" spans="1:19" hidden="1" x14ac:dyDescent="0.25">
      <c r="A242" s="13">
        <v>44316</v>
      </c>
      <c r="B242" t="s">
        <v>79</v>
      </c>
      <c r="C242" t="s">
        <v>85</v>
      </c>
      <c r="D242" t="s">
        <v>57</v>
      </c>
      <c r="E242" s="65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 s="23">
        <f>IF(Tableau1[[#This Row],[Quantité (H)]]=0,0,Tableau1[[#This Row],[Gasoil (L)]]/Tableau1[[#This Row],[Quantité (H)]])</f>
        <v>0</v>
      </c>
      <c r="L242" s="23">
        <v>58</v>
      </c>
      <c r="O242" s="23">
        <f>Tableau1[[#This Row],[Productivité]]-Tableau1[[#This Row],[ les Charges]]</f>
        <v>0</v>
      </c>
      <c r="R242" s="23">
        <f>VLOOKUP(Tableau1[[#This Row],[Code]],$V$3:$Z$157,4,)</f>
        <v>26240</v>
      </c>
      <c r="S242" s="23">
        <f>VLOOKUP(Tableau1[[#This Row],[Code]],$V$3:$Z$157,5,)</f>
        <v>-7906.1699999999983</v>
      </c>
    </row>
    <row r="243" spans="1:19" hidden="1" x14ac:dyDescent="0.25">
      <c r="A243" s="13">
        <v>44316</v>
      </c>
      <c r="B243" t="s">
        <v>80</v>
      </c>
      <c r="C243" t="s">
        <v>85</v>
      </c>
      <c r="D243" t="s">
        <v>57</v>
      </c>
      <c r="E243" s="65">
        <v>0</v>
      </c>
      <c r="F243">
        <v>946</v>
      </c>
      <c r="G243">
        <v>0</v>
      </c>
      <c r="H243">
        <v>0</v>
      </c>
      <c r="I243">
        <v>0</v>
      </c>
      <c r="J243">
        <v>0</v>
      </c>
      <c r="K243" s="23">
        <f>IF(Tableau1[[#This Row],[Quantité (H)]]=0,0,Tableau1[[#This Row],[Gasoil (L)]]/Tableau1[[#This Row],[Quantité (H)]])</f>
        <v>0</v>
      </c>
      <c r="L243" s="23">
        <v>58</v>
      </c>
      <c r="O243" s="23">
        <f>Tableau1[[#This Row],[Productivité]]-Tableau1[[#This Row],[ les Charges]]</f>
        <v>0</v>
      </c>
      <c r="R243" s="23">
        <f>VLOOKUP(Tableau1[[#This Row],[Code]],$V$3:$Z$157,4,)</f>
        <v>26240</v>
      </c>
      <c r="S243" s="23">
        <f>VLOOKUP(Tableau1[[#This Row],[Code]],$V$3:$Z$157,5,)</f>
        <v>-7906.1699999999983</v>
      </c>
    </row>
    <row r="244" spans="1:19" hidden="1" x14ac:dyDescent="0.25">
      <c r="A244" s="13">
        <v>44316</v>
      </c>
      <c r="B244" t="s">
        <v>83</v>
      </c>
      <c r="C244" t="s">
        <v>85</v>
      </c>
      <c r="D244" t="s">
        <v>57</v>
      </c>
      <c r="E244" s="65">
        <v>0</v>
      </c>
      <c r="F244">
        <v>1191</v>
      </c>
      <c r="G244">
        <v>5</v>
      </c>
      <c r="H244">
        <v>0</v>
      </c>
      <c r="I244">
        <v>0</v>
      </c>
      <c r="J244">
        <v>0</v>
      </c>
      <c r="K244" s="23">
        <f>IF(Tableau1[[#This Row],[Quantité (H)]]=0,0,Tableau1[[#This Row],[Gasoil (L)]]/Tableau1[[#This Row],[Quantité (H)]])</f>
        <v>0</v>
      </c>
      <c r="L244" s="23">
        <v>44</v>
      </c>
      <c r="O244" s="23">
        <f>Tableau1[[#This Row],[Productivité]]-Tableau1[[#This Row],[ les Charges]]</f>
        <v>0</v>
      </c>
      <c r="R244" s="23">
        <f>VLOOKUP(Tableau1[[#This Row],[Code]],$V$3:$Z$157,4,)</f>
        <v>26240</v>
      </c>
      <c r="S244" s="23">
        <f>VLOOKUP(Tableau1[[#This Row],[Code]],$V$3:$Z$157,5,)</f>
        <v>-7906.1699999999983</v>
      </c>
    </row>
    <row r="245" spans="1:19" hidden="1" x14ac:dyDescent="0.25">
      <c r="A245" s="13">
        <v>44316</v>
      </c>
      <c r="B245" t="s">
        <v>116</v>
      </c>
      <c r="C245" t="s">
        <v>85</v>
      </c>
      <c r="D245" t="s">
        <v>57</v>
      </c>
      <c r="E245" s="65">
        <v>0</v>
      </c>
      <c r="F245">
        <v>730</v>
      </c>
      <c r="G245">
        <v>0</v>
      </c>
      <c r="H245">
        <v>0</v>
      </c>
      <c r="I245">
        <v>0</v>
      </c>
      <c r="J245">
        <v>0</v>
      </c>
      <c r="K245" s="23">
        <f>IF(Tableau1[[#This Row],[Quantité (H)]]=0,0,Tableau1[[#This Row],[Gasoil (L)]]/Tableau1[[#This Row],[Quantité (H)]])</f>
        <v>0</v>
      </c>
      <c r="L245" s="23">
        <v>36</v>
      </c>
      <c r="O245" s="23">
        <f>Tableau1[[#This Row],[Productivité]]-Tableau1[[#This Row],[ les Charges]]</f>
        <v>0</v>
      </c>
      <c r="R245" s="23">
        <f>VLOOKUP(Tableau1[[#This Row],[Code]],$V$3:$Z$157,4,)</f>
        <v>26240</v>
      </c>
      <c r="S245" s="23">
        <f>VLOOKUP(Tableau1[[#This Row],[Code]],$V$3:$Z$157,5,)</f>
        <v>-7906.1699999999983</v>
      </c>
    </row>
    <row r="246" spans="1:19" hidden="1" x14ac:dyDescent="0.25">
      <c r="A246" s="13">
        <v>44316</v>
      </c>
      <c r="B246" t="s">
        <v>84</v>
      </c>
      <c r="C246" t="s">
        <v>85</v>
      </c>
      <c r="D246" t="s">
        <v>57</v>
      </c>
      <c r="E246" s="65">
        <v>57</v>
      </c>
      <c r="F246">
        <v>2203</v>
      </c>
      <c r="G246">
        <v>0</v>
      </c>
      <c r="H246">
        <v>0</v>
      </c>
      <c r="I246">
        <v>0</v>
      </c>
      <c r="J246">
        <v>0</v>
      </c>
      <c r="K246" s="23">
        <f>IF(Tableau1[[#This Row],[Quantité (H)]]=0,0,Tableau1[[#This Row],[Gasoil (L)]]/Tableau1[[#This Row],[Quantité (H)]])</f>
        <v>38.649122807017541</v>
      </c>
      <c r="L246" s="23">
        <v>45</v>
      </c>
      <c r="M246" s="23">
        <v>93771.8</v>
      </c>
      <c r="N246" s="23">
        <v>110250</v>
      </c>
      <c r="O246" s="23">
        <f>Tableau1[[#This Row],[Productivité]]-Tableau1[[#This Row],[ les Charges]]</f>
        <v>16478.199999999997</v>
      </c>
      <c r="R246" s="23">
        <f>VLOOKUP(Tableau1[[#This Row],[Code]],$V$3:$Z$157,4,)</f>
        <v>26240</v>
      </c>
      <c r="S246" s="23">
        <f>VLOOKUP(Tableau1[[#This Row],[Code]],$V$3:$Z$157,5,)</f>
        <v>-7906.1699999999983</v>
      </c>
    </row>
    <row r="247" spans="1:19" hidden="1" x14ac:dyDescent="0.25">
      <c r="A247" s="13">
        <v>44316</v>
      </c>
      <c r="B247" t="s">
        <v>80</v>
      </c>
      <c r="C247" t="s">
        <v>85</v>
      </c>
      <c r="D247" t="s">
        <v>55</v>
      </c>
      <c r="E247" s="65">
        <v>267</v>
      </c>
      <c r="F247">
        <v>1252</v>
      </c>
      <c r="G247">
        <v>0</v>
      </c>
      <c r="H247">
        <v>0</v>
      </c>
      <c r="I247">
        <v>10</v>
      </c>
      <c r="J247">
        <v>0</v>
      </c>
      <c r="K247" s="23">
        <f>IF(Tableau1[[#This Row],[Quantité (H)]]=0,0,Tableau1[[#This Row],[Gasoil (L)]]/Tableau1[[#This Row],[Quantité (H)]])</f>
        <v>4.6891385767790261</v>
      </c>
      <c r="L247" s="23">
        <v>37</v>
      </c>
      <c r="O247" s="23">
        <f>Tableau1[[#This Row],[Productivité]]-Tableau1[[#This Row],[ les Charges]]</f>
        <v>0</v>
      </c>
      <c r="R247" s="23">
        <f>VLOOKUP(Tableau1[[#This Row],[Code]],$V$3:$Z$157,4,)</f>
        <v>32480</v>
      </c>
      <c r="S247" s="23">
        <f>VLOOKUP(Tableau1[[#This Row],[Code]],$V$3:$Z$157,5,)</f>
        <v>27150</v>
      </c>
    </row>
    <row r="248" spans="1:19" hidden="1" x14ac:dyDescent="0.25">
      <c r="A248" s="13">
        <v>44316</v>
      </c>
      <c r="B248" t="s">
        <v>79</v>
      </c>
      <c r="C248" t="s">
        <v>85</v>
      </c>
      <c r="D248" t="s">
        <v>55</v>
      </c>
      <c r="E248" s="65">
        <v>43.5</v>
      </c>
      <c r="F248">
        <v>250</v>
      </c>
      <c r="G248">
        <v>0</v>
      </c>
      <c r="H248">
        <v>0</v>
      </c>
      <c r="I248">
        <v>0</v>
      </c>
      <c r="J248">
        <v>5</v>
      </c>
      <c r="K248" s="23">
        <f>IF(Tableau1[[#This Row],[Quantité (H)]]=0,0,Tableau1[[#This Row],[Gasoil (L)]]/Tableau1[[#This Row],[Quantité (H)]])</f>
        <v>5.7471264367816088</v>
      </c>
      <c r="L248" s="23">
        <v>37</v>
      </c>
      <c r="M248" s="23">
        <v>15545</v>
      </c>
      <c r="N248" s="23">
        <v>89460</v>
      </c>
      <c r="O248" s="23">
        <f>Tableau1[[#This Row],[Productivité]]-Tableau1[[#This Row],[ les Charges]]</f>
        <v>73915</v>
      </c>
      <c r="R248" s="23">
        <f>VLOOKUP(Tableau1[[#This Row],[Code]],$V$3:$Z$157,4,)</f>
        <v>32480</v>
      </c>
      <c r="S248" s="23">
        <f>VLOOKUP(Tableau1[[#This Row],[Code]],$V$3:$Z$157,5,)</f>
        <v>27150</v>
      </c>
    </row>
    <row r="249" spans="1:19" hidden="1" x14ac:dyDescent="0.25">
      <c r="A249" s="13">
        <v>44316</v>
      </c>
      <c r="B249" t="s">
        <v>83</v>
      </c>
      <c r="C249" t="s">
        <v>85</v>
      </c>
      <c r="D249" t="s">
        <v>52</v>
      </c>
      <c r="E249" s="3">
        <v>77.300000000000011</v>
      </c>
      <c r="F249">
        <v>615</v>
      </c>
      <c r="G249">
        <v>30</v>
      </c>
      <c r="H249">
        <v>0</v>
      </c>
      <c r="I249">
        <v>0</v>
      </c>
      <c r="J249">
        <v>3</v>
      </c>
      <c r="K249" s="23">
        <f>IF(Tableau1[[#This Row],[Quantité (H)]]=0,0,Tableau1[[#This Row],[Gasoil (L)]]/Tableau1[[#This Row],[Quantité (H)]])</f>
        <v>7.9560155239327282</v>
      </c>
      <c r="L249" s="23">
        <v>0.29536493177790479</v>
      </c>
      <c r="M249" s="23">
        <v>7455</v>
      </c>
      <c r="N249" s="23">
        <v>19325</v>
      </c>
      <c r="O249" s="23">
        <f>Tableau1[[#This Row],[Productivité]]-Tableau1[[#This Row],[ les Charges]]</f>
        <v>11870</v>
      </c>
      <c r="R249" s="23">
        <f>VLOOKUP(Tableau1[[#This Row],[Code]],$V$3:$Z$157,4,)</f>
        <v>16825</v>
      </c>
      <c r="S249" s="23">
        <f>VLOOKUP(Tableau1[[#This Row],[Code]],$V$3:$Z$157,5,)</f>
        <v>14365</v>
      </c>
    </row>
    <row r="250" spans="1:19" hidden="1" x14ac:dyDescent="0.25">
      <c r="A250" s="13">
        <v>44316</v>
      </c>
      <c r="B250" t="s">
        <v>115</v>
      </c>
      <c r="C250" t="s">
        <v>42</v>
      </c>
      <c r="D250" t="s">
        <v>28</v>
      </c>
      <c r="E250" s="65">
        <v>190.2</v>
      </c>
      <c r="F250">
        <v>2767</v>
      </c>
      <c r="G250">
        <v>30</v>
      </c>
      <c r="H250">
        <v>0</v>
      </c>
      <c r="I250">
        <v>0</v>
      </c>
      <c r="J250">
        <v>20</v>
      </c>
      <c r="K250" s="23">
        <f>IF(Tableau1[[#This Row],[Quantité (H)]]=0,0,Tableau1[[#This Row],[Gasoil (L)]]/Tableau1[[#This Row],[Quantité (H)]])</f>
        <v>14.547844374342798</v>
      </c>
      <c r="M250" s="23">
        <v>31280</v>
      </c>
      <c r="N250" s="23">
        <v>69912</v>
      </c>
      <c r="O250" s="23">
        <f>Tableau1[[#This Row],[Productivité]]-Tableau1[[#This Row],[ les Charges]]</f>
        <v>38632</v>
      </c>
      <c r="R250" s="23">
        <f>VLOOKUP(Tableau1[[#This Row],[Code]],$V$3:$Z$157,4,)</f>
        <v>61200</v>
      </c>
      <c r="S250" s="23">
        <f>VLOOKUP(Tableau1[[#This Row],[Code]],$V$3:$Z$157,5,)</f>
        <v>36270</v>
      </c>
    </row>
    <row r="251" spans="1:19" hidden="1" x14ac:dyDescent="0.25">
      <c r="A251" s="13">
        <v>44316</v>
      </c>
      <c r="B251" t="s">
        <v>79</v>
      </c>
      <c r="C251" t="s">
        <v>42</v>
      </c>
      <c r="D251" t="s">
        <v>29</v>
      </c>
      <c r="E251" s="65">
        <v>286</v>
      </c>
      <c r="F251">
        <v>2661.11</v>
      </c>
      <c r="G251">
        <v>5</v>
      </c>
      <c r="H251">
        <v>13</v>
      </c>
      <c r="I251">
        <v>5</v>
      </c>
      <c r="J251">
        <v>15</v>
      </c>
      <c r="K251" s="23">
        <f>IF(Tableau1[[#This Row],[Quantité (H)]]=0,0,Tableau1[[#This Row],[Gasoil (L)]]/Tableau1[[#This Row],[Quantité (H)]])</f>
        <v>9.3045804195804198</v>
      </c>
      <c r="M251" s="23">
        <v>28031</v>
      </c>
      <c r="N251" s="23">
        <v>108680</v>
      </c>
      <c r="O251" s="23">
        <f>Tableau1[[#This Row],[Productivité]]-Tableau1[[#This Row],[ les Charges]]</f>
        <v>80649</v>
      </c>
      <c r="R251" s="23">
        <f>VLOOKUP(Tableau1[[#This Row],[Code]],$V$3:$Z$157,4,)</f>
        <v>79800</v>
      </c>
      <c r="S251" s="23">
        <f>VLOOKUP(Tableau1[[#This Row],[Code]],$V$3:$Z$157,5,)</f>
        <v>67812.800000000003</v>
      </c>
    </row>
    <row r="252" spans="1:19" hidden="1" x14ac:dyDescent="0.25">
      <c r="A252" s="13">
        <v>44316</v>
      </c>
      <c r="B252" t="s">
        <v>84</v>
      </c>
      <c r="C252" t="s">
        <v>42</v>
      </c>
      <c r="D252" t="s">
        <v>94</v>
      </c>
      <c r="E252" s="65">
        <v>187</v>
      </c>
      <c r="F252">
        <v>1927</v>
      </c>
      <c r="G252">
        <v>10</v>
      </c>
      <c r="H252">
        <v>0</v>
      </c>
      <c r="I252">
        <v>0</v>
      </c>
      <c r="J252">
        <v>15</v>
      </c>
      <c r="K252" s="23">
        <f>IF(Tableau1[[#This Row],[Quantité (H)]]=0,0,Tableau1[[#This Row],[Gasoil (L)]]/Tableau1[[#This Row],[Quantité (H)]])</f>
        <v>10.304812834224599</v>
      </c>
      <c r="M252" s="23">
        <v>22860.83</v>
      </c>
      <c r="N252" s="23">
        <v>71060</v>
      </c>
      <c r="O252" s="23">
        <f>Tableau1[[#This Row],[Productivité]]-Tableau1[[#This Row],[ les Charges]]</f>
        <v>48199.17</v>
      </c>
      <c r="R252" s="23">
        <f>VLOOKUP(Tableau1[[#This Row],[Code]],$V$3:$Z$157,4,)</f>
        <v>59660</v>
      </c>
      <c r="S252" s="23">
        <f>VLOOKUP(Tableau1[[#This Row],[Code]],$V$3:$Z$157,5,)</f>
        <v>39448.35</v>
      </c>
    </row>
    <row r="253" spans="1:19" hidden="1" x14ac:dyDescent="0.25">
      <c r="A253" s="13">
        <v>44316</v>
      </c>
      <c r="B253" t="s">
        <v>84</v>
      </c>
      <c r="C253" t="s">
        <v>42</v>
      </c>
      <c r="D253" t="s">
        <v>126</v>
      </c>
      <c r="E253" s="65">
        <v>129</v>
      </c>
      <c r="F253">
        <v>1675</v>
      </c>
      <c r="G253">
        <v>30</v>
      </c>
      <c r="H253">
        <v>0</v>
      </c>
      <c r="I253">
        <v>0</v>
      </c>
      <c r="J253">
        <v>5</v>
      </c>
      <c r="K253" s="23">
        <f>IF(Tableau1[[#This Row],[Quantité (H)]]=0,0,Tableau1[[#This Row],[Gasoil (L)]]/Tableau1[[#This Row],[Quantité (H)]])</f>
        <v>12.984496124031008</v>
      </c>
      <c r="L253" s="23">
        <v>1.5295686159915258</v>
      </c>
      <c r="M253" s="23">
        <v>20990.83</v>
      </c>
      <c r="N253" s="23">
        <v>46440</v>
      </c>
      <c r="O253" s="23">
        <f>Tableau1[[#This Row],[Productivité]]-Tableau1[[#This Row],[ les Charges]]</f>
        <v>25449.17</v>
      </c>
      <c r="R253" s="23">
        <f>VLOOKUP(Tableau1[[#This Row],[Code]],$V$3:$Z$157,4,)</f>
        <v>68040</v>
      </c>
      <c r="S253" s="23">
        <f>VLOOKUP(Tableau1[[#This Row],[Code]],$V$3:$Z$157,5,)</f>
        <v>47656.68</v>
      </c>
    </row>
    <row r="254" spans="1:19" hidden="1" x14ac:dyDescent="0.25">
      <c r="A254" s="13">
        <v>44316</v>
      </c>
      <c r="B254" t="s">
        <v>115</v>
      </c>
      <c r="C254" t="s">
        <v>173</v>
      </c>
      <c r="D254" t="s">
        <v>36</v>
      </c>
      <c r="E254" s="65">
        <v>66.599999999999994</v>
      </c>
      <c r="F254">
        <v>2716</v>
      </c>
      <c r="G254">
        <v>40</v>
      </c>
      <c r="H254">
        <v>0</v>
      </c>
      <c r="I254">
        <v>0</v>
      </c>
      <c r="J254">
        <v>15</v>
      </c>
      <c r="K254" s="23">
        <f>IF(Tableau1[[#This Row],[Quantité (H)]]=0,0,Tableau1[[#This Row],[Gasoil (L)]]/Tableau1[[#This Row],[Quantité (H)]])</f>
        <v>40.780780780780788</v>
      </c>
      <c r="M254" s="23">
        <v>2325</v>
      </c>
      <c r="N254" s="23">
        <v>89910</v>
      </c>
      <c r="O254" s="23">
        <f>Tableau1[[#This Row],[Productivité]]-Tableau1[[#This Row],[ les Charges]]</f>
        <v>87585</v>
      </c>
      <c r="R254" s="23">
        <f>VLOOKUP(Tableau1[[#This Row],[Code]],$V$3:$Z$157,4,)</f>
        <v>157950</v>
      </c>
      <c r="S254" s="23">
        <f>VLOOKUP(Tableau1[[#This Row],[Code]],$V$3:$Z$157,5,)</f>
        <v>142665.5</v>
      </c>
    </row>
    <row r="255" spans="1:19" hidden="1" x14ac:dyDescent="0.25">
      <c r="A255" s="13">
        <v>44316</v>
      </c>
      <c r="B255" t="s">
        <v>79</v>
      </c>
      <c r="C255" t="s">
        <v>173</v>
      </c>
      <c r="D255" t="s">
        <v>37</v>
      </c>
      <c r="E255" s="65">
        <v>191</v>
      </c>
      <c r="F255">
        <v>15</v>
      </c>
      <c r="G255">
        <v>1</v>
      </c>
      <c r="H255">
        <v>0</v>
      </c>
      <c r="I255">
        <v>0</v>
      </c>
      <c r="J255">
        <v>0</v>
      </c>
      <c r="K255" s="23">
        <f>IF(Tableau1[[#This Row],[Quantité (H)]]=0,0,Tableau1[[#This Row],[Gasoil (L)]]/Tableau1[[#This Row],[Quantité (H)]])</f>
        <v>7.8534031413612565E-2</v>
      </c>
      <c r="M255" s="23">
        <v>20630</v>
      </c>
      <c r="N255" s="23">
        <v>257850</v>
      </c>
      <c r="O255" s="23">
        <f>Tableau1[[#This Row],[Productivité]]-Tableau1[[#This Row],[ les Charges]]</f>
        <v>237220</v>
      </c>
      <c r="R255" s="23">
        <f>VLOOKUP(Tableau1[[#This Row],[Code]],$V$3:$Z$157,4,)</f>
        <v>192375</v>
      </c>
      <c r="S255" s="23">
        <f>VLOOKUP(Tableau1[[#This Row],[Code]],$V$3:$Z$157,5,)</f>
        <v>180564.4</v>
      </c>
    </row>
    <row r="256" spans="1:19" hidden="1" x14ac:dyDescent="0.25">
      <c r="A256" s="13">
        <v>44316</v>
      </c>
      <c r="B256" t="s">
        <v>80</v>
      </c>
      <c r="C256" t="s">
        <v>85</v>
      </c>
      <c r="D256" t="s">
        <v>51</v>
      </c>
      <c r="E256">
        <v>28</v>
      </c>
      <c r="F256">
        <v>851</v>
      </c>
      <c r="G256">
        <v>11</v>
      </c>
      <c r="H256">
        <v>0</v>
      </c>
      <c r="I256">
        <v>0</v>
      </c>
      <c r="J256">
        <v>0</v>
      </c>
      <c r="K256" s="23">
        <f>IF(Tableau1[[#This Row],[Quantité (H)]]=0,0,Tableau1[[#This Row],[Gasoil (L)]]/Tableau1[[#This Row],[Quantité (H)]])</f>
        <v>30.392857142857142</v>
      </c>
      <c r="L256" s="23">
        <v>68.134507606084867</v>
      </c>
      <c r="M256" s="23">
        <v>9745.4699999999993</v>
      </c>
      <c r="N256" s="23">
        <v>9800</v>
      </c>
      <c r="O256" s="23">
        <f>Tableau1[[#This Row],[Productivité]]-Tableau1[[#This Row],[ les Charges]]</f>
        <v>54.530000000000655</v>
      </c>
      <c r="R256" s="23">
        <f>VLOOKUP(Tableau1[[#This Row],[Code]],$V$3:$Z$157,4,)</f>
        <v>20825</v>
      </c>
      <c r="S256" s="23">
        <f>VLOOKUP(Tableau1[[#This Row],[Code]],$V$3:$Z$157,5,)</f>
        <v>12880</v>
      </c>
    </row>
    <row r="257" spans="1:19" hidden="1" x14ac:dyDescent="0.25">
      <c r="A257" s="13">
        <v>44316</v>
      </c>
      <c r="B257" t="s">
        <v>115</v>
      </c>
      <c r="C257" t="s">
        <v>175</v>
      </c>
      <c r="D257" t="s">
        <v>30</v>
      </c>
      <c r="E257" s="3">
        <v>115.8</v>
      </c>
      <c r="F257">
        <v>679</v>
      </c>
      <c r="G257">
        <v>5</v>
      </c>
      <c r="H257">
        <v>0</v>
      </c>
      <c r="I257">
        <v>50</v>
      </c>
      <c r="J257">
        <v>20</v>
      </c>
      <c r="K257" s="23">
        <f>IF(Tableau1[[#This Row],[Quantité (H)]]=0,0,Tableau1[[#This Row],[Gasoil (L)]]/Tableau1[[#This Row],[Quantité (H)]])</f>
        <v>5.8635578583765113</v>
      </c>
      <c r="M257" s="23">
        <v>2650</v>
      </c>
      <c r="N257" s="23">
        <v>83955</v>
      </c>
      <c r="O257" s="23">
        <f>Tableau1[[#This Row],[Productivité]]-Tableau1[[#This Row],[ les Charges]]</f>
        <v>81305</v>
      </c>
      <c r="R257" s="23">
        <f>VLOOKUP(Tableau1[[#This Row],[Code]],$V$3:$Z$157,4,)</f>
        <v>125425</v>
      </c>
      <c r="S257" s="23">
        <f>VLOOKUP(Tableau1[[#This Row],[Code]],$V$3:$Z$157,5,)</f>
        <v>124585</v>
      </c>
    </row>
    <row r="258" spans="1:19" hidden="1" x14ac:dyDescent="0.25">
      <c r="A258" s="13">
        <v>44316</v>
      </c>
      <c r="B258" t="s">
        <v>80</v>
      </c>
      <c r="C258" t="s">
        <v>195</v>
      </c>
      <c r="D258" t="s">
        <v>38</v>
      </c>
      <c r="E258" s="65">
        <v>65</v>
      </c>
      <c r="F258">
        <v>1393</v>
      </c>
      <c r="G258">
        <v>169</v>
      </c>
      <c r="H258">
        <v>0</v>
      </c>
      <c r="I258">
        <v>178</v>
      </c>
      <c r="J258">
        <v>10</v>
      </c>
      <c r="K258" s="23">
        <f>IF(Tableau1[[#This Row],[Quantité (H)]]=0,0,Tableau1[[#This Row],[Gasoil (L)]]/Tableau1[[#This Row],[Quantité (H)]])</f>
        <v>21.430769230769229</v>
      </c>
      <c r="M258" s="23">
        <v>58100.31</v>
      </c>
      <c r="N258" s="23">
        <v>68582.55</v>
      </c>
      <c r="O258" s="23">
        <f>Tableau1[[#This Row],[Productivité]]-Tableau1[[#This Row],[ les Charges]]</f>
        <v>10482.240000000005</v>
      </c>
      <c r="R258" s="23">
        <f>VLOOKUP(Tableau1[[#This Row],[Code]],$V$3:$Z$157,4,)</f>
        <v>197800</v>
      </c>
      <c r="S258" s="23">
        <f>VLOOKUP(Tableau1[[#This Row],[Code]],$V$3:$Z$157,5,)</f>
        <v>151683.24</v>
      </c>
    </row>
    <row r="259" spans="1:19" hidden="1" x14ac:dyDescent="0.25">
      <c r="A259" s="13">
        <v>44316</v>
      </c>
      <c r="B259" t="s">
        <v>116</v>
      </c>
      <c r="C259" t="s">
        <v>39</v>
      </c>
      <c r="D259" t="s">
        <v>11</v>
      </c>
      <c r="E259" s="65">
        <v>108</v>
      </c>
      <c r="F259">
        <v>1459</v>
      </c>
      <c r="G259">
        <v>40</v>
      </c>
      <c r="H259">
        <v>0</v>
      </c>
      <c r="I259">
        <v>5</v>
      </c>
      <c r="J259">
        <v>3</v>
      </c>
      <c r="K259" s="23">
        <f>IF(Tableau1[[#This Row],[Quantité (H)]]=0,0,Tableau1[[#This Row],[Gasoil (L)]]/Tableau1[[#This Row],[Quantité (H)]])</f>
        <v>13.50925925925926</v>
      </c>
      <c r="M259" s="23">
        <v>17936.66</v>
      </c>
      <c r="N259" s="23">
        <v>54000</v>
      </c>
      <c r="O259" s="23">
        <f>Tableau1[[#This Row],[Productivité]]-Tableau1[[#This Row],[ les Charges]]</f>
        <v>36063.339999999997</v>
      </c>
      <c r="R259" s="23">
        <f>VLOOKUP(Tableau1[[#This Row],[Code]],$V$3:$Z$157,4,)</f>
        <v>47500</v>
      </c>
      <c r="S259" s="23">
        <f>VLOOKUP(Tableau1[[#This Row],[Code]],$V$3:$Z$157,5,)</f>
        <v>30180.01</v>
      </c>
    </row>
    <row r="260" spans="1:19" hidden="1" x14ac:dyDescent="0.25">
      <c r="A260" s="13">
        <v>44316</v>
      </c>
      <c r="B260" t="s">
        <v>83</v>
      </c>
      <c r="C260" t="s">
        <v>39</v>
      </c>
      <c r="D260" t="s">
        <v>13</v>
      </c>
      <c r="E260" s="3">
        <v>202.5</v>
      </c>
      <c r="F260">
        <v>2146</v>
      </c>
      <c r="G260">
        <v>29</v>
      </c>
      <c r="H260">
        <v>0</v>
      </c>
      <c r="I260">
        <v>0</v>
      </c>
      <c r="J260">
        <v>6</v>
      </c>
      <c r="K260" s="23">
        <f>IF(Tableau1[[#This Row],[Quantité (H)]]=0,0,Tableau1[[#This Row],[Gasoil (L)]]/Tableau1[[#This Row],[Quantité (H)]])</f>
        <v>10.59753086419753</v>
      </c>
      <c r="M260" s="23">
        <v>36381.269999999997</v>
      </c>
      <c r="N260" s="23">
        <v>81000</v>
      </c>
      <c r="O260" s="23">
        <f>Tableau1[[#This Row],[Productivité]]-Tableau1[[#This Row],[ les Charges]]</f>
        <v>44618.73</v>
      </c>
      <c r="R260" s="23">
        <f>VLOOKUP(Tableau1[[#This Row],[Code]],$V$3:$Z$157,4,)</f>
        <v>60400</v>
      </c>
      <c r="S260" s="23">
        <f>VLOOKUP(Tableau1[[#This Row],[Code]],$V$3:$Z$157,5,)</f>
        <v>54930</v>
      </c>
    </row>
    <row r="261" spans="1:19" hidden="1" x14ac:dyDescent="0.25">
      <c r="A261" s="13">
        <v>44316</v>
      </c>
      <c r="B261" t="s">
        <v>80</v>
      </c>
      <c r="C261" t="s">
        <v>39</v>
      </c>
      <c r="D261" t="s">
        <v>14</v>
      </c>
      <c r="E261" s="65">
        <v>225</v>
      </c>
      <c r="F261">
        <v>4605</v>
      </c>
      <c r="G261">
        <v>17</v>
      </c>
      <c r="H261">
        <v>0</v>
      </c>
      <c r="I261">
        <v>5</v>
      </c>
      <c r="J261">
        <v>11</v>
      </c>
      <c r="K261" s="23">
        <f>IF(Tableau1[[#This Row],[Quantité (H)]]=0,0,Tableau1[[#This Row],[Gasoil (L)]]/Tableau1[[#This Row],[Quantité (H)]])</f>
        <v>20.466666666666665</v>
      </c>
      <c r="M261" s="23">
        <v>60633.36</v>
      </c>
      <c r="N261" s="23">
        <v>112500</v>
      </c>
      <c r="O261" s="23">
        <f>Tableau1[[#This Row],[Productivité]]-Tableau1[[#This Row],[ les Charges]]</f>
        <v>51866.64</v>
      </c>
      <c r="R261" s="23">
        <f>VLOOKUP(Tableau1[[#This Row],[Code]],$V$3:$Z$157,4,)</f>
        <v>51000</v>
      </c>
      <c r="S261" s="23">
        <f>VLOOKUP(Tableau1[[#This Row],[Code]],$V$3:$Z$157,5,)</f>
        <v>30047.599999999999</v>
      </c>
    </row>
    <row r="262" spans="1:19" hidden="1" x14ac:dyDescent="0.25">
      <c r="A262" s="13">
        <v>44316</v>
      </c>
      <c r="B262" t="s">
        <v>116</v>
      </c>
      <c r="C262" t="s">
        <v>39</v>
      </c>
      <c r="D262" t="s">
        <v>15</v>
      </c>
      <c r="E262" s="3">
        <v>131</v>
      </c>
      <c r="F262">
        <v>1669</v>
      </c>
      <c r="G262">
        <v>15</v>
      </c>
      <c r="H262">
        <v>0</v>
      </c>
      <c r="I262">
        <v>0</v>
      </c>
      <c r="J262">
        <v>3</v>
      </c>
      <c r="K262" s="23">
        <f>IF(Tableau1[[#This Row],[Quantité (H)]]=0,0,Tableau1[[#This Row],[Gasoil (L)]]/Tableau1[[#This Row],[Quantité (H)]])</f>
        <v>12.740458015267176</v>
      </c>
      <c r="M262" s="23">
        <v>42412.93</v>
      </c>
      <c r="N262" s="23">
        <v>64000</v>
      </c>
      <c r="O262" s="23">
        <f>Tableau1[[#This Row],[Productivité]]-Tableau1[[#This Row],[ les Charges]]</f>
        <v>21587.07</v>
      </c>
      <c r="R262" s="23">
        <f>VLOOKUP(Tableau1[[#This Row],[Code]],$V$3:$Z$157,4,)</f>
        <v>54500</v>
      </c>
      <c r="S262" s="23">
        <f>VLOOKUP(Tableau1[[#This Row],[Code]],$V$3:$Z$157,5,)</f>
        <v>39930</v>
      </c>
    </row>
    <row r="263" spans="1:19" hidden="1" x14ac:dyDescent="0.25">
      <c r="A263" s="13">
        <v>44316</v>
      </c>
      <c r="B263" t="s">
        <v>115</v>
      </c>
      <c r="C263" t="s">
        <v>92</v>
      </c>
      <c r="D263" t="s">
        <v>95</v>
      </c>
      <c r="E263">
        <v>0.6</v>
      </c>
      <c r="F263">
        <v>0</v>
      </c>
      <c r="G263">
        <v>0</v>
      </c>
      <c r="H263">
        <v>0</v>
      </c>
      <c r="I263">
        <v>0</v>
      </c>
      <c r="J263">
        <v>0</v>
      </c>
      <c r="K263" s="23">
        <f>IF(Tableau1[[#This Row],[Quantité (H)]]=0,0,Tableau1[[#This Row],[Gasoil (L)]]/Tableau1[[#This Row],[Quantité (H)]])</f>
        <v>0</v>
      </c>
      <c r="M263" s="23">
        <v>250</v>
      </c>
      <c r="N263" s="23">
        <v>0</v>
      </c>
      <c r="O263" s="23">
        <f>Tableau1[[#This Row],[Productivité]]-Tableau1[[#This Row],[ les Charges]]</f>
        <v>-250</v>
      </c>
      <c r="R263" s="23">
        <f>VLOOKUP(Tableau1[[#This Row],[Code]],$V$3:$Z$157,4,)</f>
        <v>0</v>
      </c>
      <c r="S263" s="23">
        <f>VLOOKUP(Tableau1[[#This Row],[Code]],$V$3:$Z$157,5,)</f>
        <v>0</v>
      </c>
    </row>
    <row r="264" spans="1:19" hidden="1" x14ac:dyDescent="0.25">
      <c r="A264" s="13">
        <v>44316</v>
      </c>
      <c r="B264" t="s">
        <v>79</v>
      </c>
      <c r="C264" t="s">
        <v>92</v>
      </c>
      <c r="D264" t="s">
        <v>97</v>
      </c>
      <c r="E264" s="3">
        <v>41</v>
      </c>
      <c r="F264">
        <v>70</v>
      </c>
      <c r="G264">
        <v>1</v>
      </c>
      <c r="H264">
        <v>0</v>
      </c>
      <c r="I264">
        <v>0</v>
      </c>
      <c r="J264">
        <v>0</v>
      </c>
      <c r="K264" s="23">
        <f>IF(Tableau1[[#This Row],[Quantité (H)]]=0,0,Tableau1[[#This Row],[Gasoil (L)]]/Tableau1[[#This Row],[Quantité (H)]])</f>
        <v>1.7073170731707317</v>
      </c>
      <c r="M264" s="23">
        <v>40</v>
      </c>
      <c r="N264" s="23">
        <v>0</v>
      </c>
      <c r="O264" s="23">
        <f>Tableau1[[#This Row],[Productivité]]-Tableau1[[#This Row],[ les Charges]]</f>
        <v>-40</v>
      </c>
      <c r="R264" s="23">
        <f>VLOOKUP(Tableau1[[#This Row],[Code]],$V$3:$Z$157,4,)</f>
        <v>0</v>
      </c>
      <c r="S264" s="23">
        <f>VLOOKUP(Tableau1[[#This Row],[Code]],$V$3:$Z$157,5,)</f>
        <v>0</v>
      </c>
    </row>
    <row r="265" spans="1:19" hidden="1" x14ac:dyDescent="0.25">
      <c r="A265" s="13">
        <v>44316</v>
      </c>
      <c r="B265" t="s">
        <v>80</v>
      </c>
      <c r="C265" t="s">
        <v>92</v>
      </c>
      <c r="D265" t="s">
        <v>98</v>
      </c>
      <c r="E265">
        <v>0</v>
      </c>
      <c r="F265">
        <v>131</v>
      </c>
      <c r="G265">
        <v>0</v>
      </c>
      <c r="H265">
        <v>0</v>
      </c>
      <c r="I265">
        <v>0</v>
      </c>
      <c r="J265">
        <v>0</v>
      </c>
      <c r="K265" s="23">
        <f>IF(Tableau1[[#This Row],[Quantité (H)]]=0,0,Tableau1[[#This Row],[Gasoil (L)]]/Tableau1[[#This Row],[Quantité (H)]])</f>
        <v>0</v>
      </c>
      <c r="M265" s="23">
        <v>0</v>
      </c>
      <c r="N265" s="23">
        <v>0</v>
      </c>
      <c r="O265" s="23">
        <f>Tableau1[[#This Row],[Productivité]]-Tableau1[[#This Row],[ les Charges]]</f>
        <v>0</v>
      </c>
      <c r="R265" s="23">
        <f>VLOOKUP(Tableau1[[#This Row],[Code]],$V$3:$Z$157,4,)</f>
        <v>0</v>
      </c>
      <c r="S265" s="23">
        <f>VLOOKUP(Tableau1[[#This Row],[Code]],$V$3:$Z$157,5,)</f>
        <v>0</v>
      </c>
    </row>
    <row r="266" spans="1:19" hidden="1" x14ac:dyDescent="0.25">
      <c r="A266" s="13">
        <v>44316</v>
      </c>
      <c r="B266" t="s">
        <v>79</v>
      </c>
      <c r="C266" t="s">
        <v>92</v>
      </c>
      <c r="D266" t="s">
        <v>99</v>
      </c>
      <c r="E266" s="65">
        <v>291</v>
      </c>
      <c r="F266">
        <v>6833</v>
      </c>
      <c r="G266">
        <v>0</v>
      </c>
      <c r="H266">
        <v>0</v>
      </c>
      <c r="I266">
        <v>0</v>
      </c>
      <c r="J266">
        <v>0</v>
      </c>
      <c r="K266" s="23">
        <f>IF(Tableau1[[#This Row],[Quantité (H)]]=0,0,Tableau1[[#This Row],[Gasoil (L)]]/Tableau1[[#This Row],[Quantité (H)]])</f>
        <v>23.481099656357387</v>
      </c>
      <c r="M266" s="23">
        <v>8260.25</v>
      </c>
      <c r="N266" s="23">
        <v>0</v>
      </c>
      <c r="O266" s="23">
        <f>Tableau1[[#This Row],[Productivité]]-Tableau1[[#This Row],[ les Charges]]</f>
        <v>-8260.25</v>
      </c>
      <c r="R266" s="23">
        <f>VLOOKUP(Tableau1[[#This Row],[Code]],$V$3:$Z$157,4,)</f>
        <v>0</v>
      </c>
      <c r="S266" s="23">
        <f>VLOOKUP(Tableau1[[#This Row],[Code]],$V$3:$Z$157,5,)</f>
        <v>-1320</v>
      </c>
    </row>
    <row r="267" spans="1:19" hidden="1" x14ac:dyDescent="0.25">
      <c r="A267" s="13">
        <v>44316</v>
      </c>
      <c r="B267" t="s">
        <v>80</v>
      </c>
      <c r="C267" t="s">
        <v>92</v>
      </c>
      <c r="D267" t="s">
        <v>100</v>
      </c>
      <c r="E267" s="65">
        <v>0</v>
      </c>
      <c r="F267">
        <v>107</v>
      </c>
      <c r="G267">
        <v>1</v>
      </c>
      <c r="H267">
        <v>0</v>
      </c>
      <c r="I267">
        <v>0</v>
      </c>
      <c r="J267">
        <v>0</v>
      </c>
      <c r="K267" s="23">
        <f>IF(Tableau1[[#This Row],[Quantité (H)]]=0,0,Tableau1[[#This Row],[Gasoil (L)]]/Tableau1[[#This Row],[Quantité (H)]])</f>
        <v>0</v>
      </c>
      <c r="O267" s="23">
        <f>Tableau1[[#This Row],[Productivité]]-Tableau1[[#This Row],[ les Charges]]</f>
        <v>0</v>
      </c>
      <c r="R267" s="23">
        <f>VLOOKUP(Tableau1[[#This Row],[Code]],$V$3:$Z$157,4,)</f>
        <v>0</v>
      </c>
      <c r="S267" s="23">
        <f>VLOOKUP(Tableau1[[#This Row],[Code]],$V$3:$Z$157,5,)</f>
        <v>-80</v>
      </c>
    </row>
    <row r="268" spans="1:19" hidden="1" x14ac:dyDescent="0.25">
      <c r="A268" s="13">
        <v>44316</v>
      </c>
      <c r="B268" t="s">
        <v>116</v>
      </c>
      <c r="C268" s="65" t="s">
        <v>92</v>
      </c>
      <c r="D268" t="s">
        <v>101</v>
      </c>
      <c r="E268" s="3">
        <v>21</v>
      </c>
      <c r="F268">
        <v>38</v>
      </c>
      <c r="G268">
        <v>0</v>
      </c>
      <c r="H268">
        <v>0</v>
      </c>
      <c r="I268">
        <v>0</v>
      </c>
      <c r="J268">
        <v>0</v>
      </c>
      <c r="K268" s="23">
        <f>IF(Tableau1[[#This Row],[Quantité (H)]]=0,0,Tableau1[[#This Row],[Gasoil (L)]]/Tableau1[[#This Row],[Quantité (H)]])</f>
        <v>1.8095238095238095</v>
      </c>
      <c r="O268" s="23">
        <f>Tableau1[[#This Row],[Productivité]]-Tableau1[[#This Row],[ les Charges]]</f>
        <v>0</v>
      </c>
      <c r="R268" s="23">
        <f>VLOOKUP(Tableau1[[#This Row],[Code]],$V$3:$Z$157,4,)</f>
        <v>0</v>
      </c>
      <c r="S268" s="23">
        <f>VLOOKUP(Tableau1[[#This Row],[Code]],$V$3:$Z$157,5,)</f>
        <v>0</v>
      </c>
    </row>
    <row r="269" spans="1:19" hidden="1" x14ac:dyDescent="0.25">
      <c r="A269" s="13">
        <v>44316</v>
      </c>
      <c r="B269" t="s">
        <v>84</v>
      </c>
      <c r="C269" s="65" t="s">
        <v>92</v>
      </c>
      <c r="D269" t="s">
        <v>102</v>
      </c>
      <c r="E269" s="3">
        <v>93.5</v>
      </c>
      <c r="F269">
        <v>125</v>
      </c>
      <c r="G269">
        <v>0</v>
      </c>
      <c r="H269">
        <v>0</v>
      </c>
      <c r="I269">
        <v>0</v>
      </c>
      <c r="J269">
        <v>0</v>
      </c>
      <c r="K269" s="23">
        <f>IF(Tableau1[[#This Row],[Quantité (H)]]=0,0,Tableau1[[#This Row],[Gasoil (L)]]/Tableau1[[#This Row],[Quantité (H)]])</f>
        <v>1.3368983957219251</v>
      </c>
      <c r="O269" s="23">
        <f>Tableau1[[#This Row],[Productivité]]-Tableau1[[#This Row],[ les Charges]]</f>
        <v>0</v>
      </c>
      <c r="R269" s="23">
        <f>VLOOKUP(Tableau1[[#This Row],[Code]],$V$3:$Z$157,4,)</f>
        <v>0</v>
      </c>
      <c r="S269" s="23">
        <f>VLOOKUP(Tableau1[[#This Row],[Code]],$V$3:$Z$157,5,)</f>
        <v>0</v>
      </c>
    </row>
    <row r="270" spans="1:19" hidden="1" x14ac:dyDescent="0.25">
      <c r="A270" s="13">
        <v>44316</v>
      </c>
      <c r="B270" t="s">
        <v>80</v>
      </c>
      <c r="C270" s="65" t="s">
        <v>92</v>
      </c>
      <c r="D270" t="s">
        <v>104</v>
      </c>
      <c r="E270" s="65">
        <v>0</v>
      </c>
      <c r="F270">
        <v>68</v>
      </c>
      <c r="G270">
        <v>0</v>
      </c>
      <c r="H270">
        <v>0</v>
      </c>
      <c r="I270">
        <v>0</v>
      </c>
      <c r="J270">
        <v>0</v>
      </c>
      <c r="K270" s="23">
        <f>IF(Tableau1[[#This Row],[Quantité (H)]]=0,0,Tableau1[[#This Row],[Gasoil (L)]]/Tableau1[[#This Row],[Quantité (H)]])</f>
        <v>0</v>
      </c>
      <c r="O270" s="23">
        <f>Tableau1[[#This Row],[Productivité]]-Tableau1[[#This Row],[ les Charges]]</f>
        <v>0</v>
      </c>
      <c r="R270" s="23">
        <f>VLOOKUP(Tableau1[[#This Row],[Code]],$V$3:$Z$157,4,)</f>
        <v>0</v>
      </c>
      <c r="S270" s="23">
        <f>VLOOKUP(Tableau1[[#This Row],[Code]],$V$3:$Z$157,5,)</f>
        <v>0</v>
      </c>
    </row>
    <row r="271" spans="1:19" hidden="1" x14ac:dyDescent="0.25">
      <c r="A271" s="13">
        <v>44316</v>
      </c>
      <c r="B271" t="s">
        <v>84</v>
      </c>
      <c r="C271" s="65" t="s">
        <v>92</v>
      </c>
      <c r="D271" t="s">
        <v>125</v>
      </c>
      <c r="E271" s="3">
        <v>36</v>
      </c>
      <c r="F271">
        <v>50</v>
      </c>
      <c r="G271">
        <v>0</v>
      </c>
      <c r="H271">
        <v>0</v>
      </c>
      <c r="I271">
        <v>0</v>
      </c>
      <c r="J271">
        <v>0</v>
      </c>
      <c r="K271" s="23">
        <f>IF(Tableau1[[#This Row],[Quantité (H)]]=0,0,Tableau1[[#This Row],[Gasoil (L)]]/Tableau1[[#This Row],[Quantité (H)]])</f>
        <v>1.3888888888888888</v>
      </c>
      <c r="O271" s="23">
        <f>Tableau1[[#This Row],[Productivité]]-Tableau1[[#This Row],[ les Charges]]</f>
        <v>0</v>
      </c>
      <c r="R271" s="23" t="e">
        <f>VLOOKUP(Tableau1[[#This Row],[Code]],$V$3:$Z$157,4,)</f>
        <v>#N/A</v>
      </c>
      <c r="S271" s="23" t="e">
        <f>VLOOKUP(Tableau1[[#This Row],[Code]],$V$3:$Z$157,5,)</f>
        <v>#N/A</v>
      </c>
    </row>
    <row r="272" spans="1:19" hidden="1" x14ac:dyDescent="0.25">
      <c r="A272" s="13">
        <v>44316</v>
      </c>
      <c r="B272" t="s">
        <v>116</v>
      </c>
      <c r="C272" s="65" t="s">
        <v>92</v>
      </c>
      <c r="D272" t="s">
        <v>121</v>
      </c>
      <c r="E272" s="3">
        <v>4</v>
      </c>
      <c r="F272">
        <v>40</v>
      </c>
      <c r="G272">
        <v>0</v>
      </c>
      <c r="H272">
        <v>0</v>
      </c>
      <c r="I272">
        <v>0</v>
      </c>
      <c r="J272">
        <v>0</v>
      </c>
      <c r="K272" s="23">
        <f>IF(Tableau1[[#This Row],[Quantité (H)]]=0,0,Tableau1[[#This Row],[Gasoil (L)]]/Tableau1[[#This Row],[Quantité (H)]])</f>
        <v>10</v>
      </c>
      <c r="O272" s="23">
        <f>Tableau1[[#This Row],[Productivité]]-Tableau1[[#This Row],[ les Charges]]</f>
        <v>0</v>
      </c>
      <c r="R272" s="23" t="e">
        <f>VLOOKUP(Tableau1[[#This Row],[Code]],$V$3:$Z$157,4,)</f>
        <v>#N/A</v>
      </c>
      <c r="S272" s="23" t="e">
        <f>VLOOKUP(Tableau1[[#This Row],[Code]],$V$3:$Z$157,5,)</f>
        <v>#N/A</v>
      </c>
    </row>
    <row r="273" spans="1:19" hidden="1" x14ac:dyDescent="0.25">
      <c r="A273" s="13">
        <v>44316</v>
      </c>
      <c r="B273" t="s">
        <v>83</v>
      </c>
      <c r="C273" s="65" t="s">
        <v>92</v>
      </c>
      <c r="D273" t="s">
        <v>120</v>
      </c>
      <c r="E273" s="65">
        <v>28</v>
      </c>
      <c r="F273">
        <v>0</v>
      </c>
      <c r="G273">
        <v>3</v>
      </c>
      <c r="H273">
        <v>0</v>
      </c>
      <c r="I273">
        <v>0</v>
      </c>
      <c r="J273">
        <v>0</v>
      </c>
      <c r="K273" s="23">
        <f>IF(Tableau1[[#This Row],[Quantité (H)]]=0,0,Tableau1[[#This Row],[Gasoil (L)]]/Tableau1[[#This Row],[Quantité (H)]])</f>
        <v>0</v>
      </c>
      <c r="O273" s="23">
        <f>Tableau1[[#This Row],[Productivité]]-Tableau1[[#This Row],[ les Charges]]</f>
        <v>0</v>
      </c>
      <c r="R273" s="23" t="e">
        <f>VLOOKUP(Tableau1[[#This Row],[Code]],$V$3:$Z$157,4,)</f>
        <v>#N/A</v>
      </c>
      <c r="S273" s="23" t="e">
        <f>VLOOKUP(Tableau1[[#This Row],[Code]],$V$3:$Z$157,5,)</f>
        <v>#N/A</v>
      </c>
    </row>
    <row r="274" spans="1:19" hidden="1" x14ac:dyDescent="0.25">
      <c r="A274" s="13">
        <v>44316</v>
      </c>
      <c r="B274" t="s">
        <v>84</v>
      </c>
      <c r="C274" s="65" t="s">
        <v>41</v>
      </c>
      <c r="D274" t="s">
        <v>20</v>
      </c>
      <c r="E274" s="65">
        <v>185.5</v>
      </c>
      <c r="F274">
        <v>3772</v>
      </c>
      <c r="G274">
        <v>35</v>
      </c>
      <c r="H274">
        <v>0</v>
      </c>
      <c r="I274">
        <v>125</v>
      </c>
      <c r="J274">
        <v>10</v>
      </c>
      <c r="K274" s="23">
        <f>IF(Tableau1[[#This Row],[Quantité (H)]]=0,0,Tableau1[[#This Row],[Gasoil (L)]]/Tableau1[[#This Row],[Quantité (H)]])</f>
        <v>20.334231805929917</v>
      </c>
      <c r="M274" s="23">
        <v>69970.64</v>
      </c>
      <c r="N274" s="23">
        <v>77910</v>
      </c>
      <c r="O274" s="23">
        <f>Tableau1[[#This Row],[Productivité]]-Tableau1[[#This Row],[ les Charges]]</f>
        <v>7939.3600000000006</v>
      </c>
      <c r="R274" s="23">
        <f>VLOOKUP(Tableau1[[#This Row],[Code]],$V$3:$Z$157,4,)</f>
        <v>63000</v>
      </c>
      <c r="S274" s="23">
        <f>VLOOKUP(Tableau1[[#This Row],[Code]],$V$3:$Z$157,5,)</f>
        <v>27974.190000000002</v>
      </c>
    </row>
    <row r="275" spans="1:19" hidden="1" x14ac:dyDescent="0.25">
      <c r="A275" s="13">
        <v>44316</v>
      </c>
      <c r="B275" t="s">
        <v>115</v>
      </c>
      <c r="C275" t="s">
        <v>41</v>
      </c>
      <c r="D275" t="s">
        <v>21</v>
      </c>
      <c r="E275" s="65">
        <v>205.45</v>
      </c>
      <c r="F275">
        <v>2302</v>
      </c>
      <c r="G275">
        <v>5</v>
      </c>
      <c r="H275">
        <v>0</v>
      </c>
      <c r="I275">
        <v>45</v>
      </c>
      <c r="J275">
        <v>20</v>
      </c>
      <c r="K275" s="23">
        <f>IF(Tableau1[[#This Row],[Quantité (H)]]=0,0,Tableau1[[#This Row],[Gasoil (L)]]/Tableau1[[#This Row],[Quantité (H)]])</f>
        <v>11.204672669749332</v>
      </c>
      <c r="M275" s="23">
        <v>48982.27</v>
      </c>
      <c r="N275" s="23">
        <v>139650</v>
      </c>
      <c r="O275" s="23">
        <f>Tableau1[[#This Row],[Productivité]]-Tableau1[[#This Row],[ les Charges]]</f>
        <v>90667.73000000001</v>
      </c>
      <c r="R275" s="23">
        <f>VLOOKUP(Tableau1[[#This Row],[Code]],$V$3:$Z$157,4,)</f>
        <v>62160</v>
      </c>
      <c r="S275" s="23">
        <f>VLOOKUP(Tableau1[[#This Row],[Code]],$V$3:$Z$157,5,)</f>
        <v>44278.34</v>
      </c>
    </row>
    <row r="276" spans="1:19" hidden="1" x14ac:dyDescent="0.25">
      <c r="A276" s="13">
        <v>44316</v>
      </c>
      <c r="B276" t="s">
        <v>116</v>
      </c>
      <c r="C276" s="65" t="s">
        <v>41</v>
      </c>
      <c r="D276" t="s">
        <v>124</v>
      </c>
      <c r="E276" s="65">
        <v>78</v>
      </c>
      <c r="F276">
        <v>1676</v>
      </c>
      <c r="G276">
        <v>10</v>
      </c>
      <c r="H276">
        <v>0</v>
      </c>
      <c r="I276">
        <v>0</v>
      </c>
      <c r="J276">
        <v>2</v>
      </c>
      <c r="K276" s="23">
        <f>IF(Tableau1[[#This Row],[Quantité (H)]]=0,0,Tableau1[[#This Row],[Gasoil (L)]]/Tableau1[[#This Row],[Quantité (H)]])</f>
        <v>21.487179487179485</v>
      </c>
      <c r="M276" s="23">
        <v>18109.16</v>
      </c>
      <c r="N276" s="23">
        <v>32760</v>
      </c>
      <c r="O276" s="23">
        <f>Tableau1[[#This Row],[Productivité]]-Tableau1[[#This Row],[ les Charges]]</f>
        <v>14650.84</v>
      </c>
      <c r="R276" s="23">
        <f>VLOOKUP(Tableau1[[#This Row],[Code]],$V$3:$Z$157,4,)</f>
        <v>70770</v>
      </c>
      <c r="S276" s="23">
        <f>VLOOKUP(Tableau1[[#This Row],[Code]],$V$3:$Z$157,5,)</f>
        <v>42800</v>
      </c>
    </row>
    <row r="277" spans="1:19" hidden="1" x14ac:dyDescent="0.25">
      <c r="A277" s="13">
        <v>44316</v>
      </c>
      <c r="B277" t="s">
        <v>79</v>
      </c>
      <c r="C277" s="65" t="s">
        <v>41</v>
      </c>
      <c r="D277" t="s">
        <v>22</v>
      </c>
      <c r="E277" s="65">
        <v>218.5</v>
      </c>
      <c r="F277">
        <v>3517.8999999999996</v>
      </c>
      <c r="G277">
        <v>25</v>
      </c>
      <c r="H277">
        <v>0</v>
      </c>
      <c r="I277">
        <v>45</v>
      </c>
      <c r="J277">
        <v>15</v>
      </c>
      <c r="K277" s="23">
        <f>IF(Tableau1[[#This Row],[Quantité (H)]]=0,0,Tableau1[[#This Row],[Gasoil (L)]]/Tableau1[[#This Row],[Quantité (H)]])</f>
        <v>16.100228832951945</v>
      </c>
      <c r="M277" s="23">
        <v>60701.279999999999</v>
      </c>
      <c r="N277" s="23">
        <v>91770</v>
      </c>
      <c r="O277" s="23">
        <f>Tableau1[[#This Row],[Productivité]]-Tableau1[[#This Row],[ les Charges]]</f>
        <v>31068.720000000001</v>
      </c>
      <c r="R277" s="23">
        <f>VLOOKUP(Tableau1[[#This Row],[Code]],$V$3:$Z$157,4,)</f>
        <v>66780</v>
      </c>
      <c r="S277" s="23">
        <f>VLOOKUP(Tableau1[[#This Row],[Code]],$V$3:$Z$157,5,)</f>
        <v>53210</v>
      </c>
    </row>
    <row r="278" spans="1:19" hidden="1" x14ac:dyDescent="0.25">
      <c r="A278" s="13">
        <v>44316</v>
      </c>
      <c r="B278" t="s">
        <v>80</v>
      </c>
      <c r="C278" s="65" t="s">
        <v>41</v>
      </c>
      <c r="D278" t="s">
        <v>23</v>
      </c>
      <c r="E278" s="65">
        <v>198</v>
      </c>
      <c r="F278">
        <v>4722</v>
      </c>
      <c r="G278">
        <v>31</v>
      </c>
      <c r="H278">
        <v>0</v>
      </c>
      <c r="I278">
        <v>40</v>
      </c>
      <c r="J278">
        <v>20</v>
      </c>
      <c r="K278" s="23">
        <f>IF(Tableau1[[#This Row],[Quantité (H)]]=0,0,Tableau1[[#This Row],[Gasoil (L)]]/Tableau1[[#This Row],[Quantité (H)]])</f>
        <v>23.848484848484848</v>
      </c>
      <c r="M278" s="23">
        <v>71301.17</v>
      </c>
      <c r="N278" s="23">
        <v>83160</v>
      </c>
      <c r="O278" s="23">
        <f>Tableau1[[#This Row],[Productivité]]-Tableau1[[#This Row],[ les Charges]]</f>
        <v>11858.830000000002</v>
      </c>
      <c r="R278" s="23">
        <f>VLOOKUP(Tableau1[[#This Row],[Code]],$V$3:$Z$157,4,)</f>
        <v>47460</v>
      </c>
      <c r="S278" s="23">
        <f>VLOOKUP(Tableau1[[#This Row],[Code]],$V$3:$Z$157,5,)</f>
        <v>10890</v>
      </c>
    </row>
    <row r="279" spans="1:19" hidden="1" x14ac:dyDescent="0.25">
      <c r="A279" s="13">
        <v>44316</v>
      </c>
      <c r="B279" t="s">
        <v>80</v>
      </c>
      <c r="C279" s="65" t="s">
        <v>41</v>
      </c>
      <c r="D279" t="s">
        <v>24</v>
      </c>
      <c r="E279" s="65">
        <v>288</v>
      </c>
      <c r="F279">
        <v>7982</v>
      </c>
      <c r="G279">
        <v>78</v>
      </c>
      <c r="H279">
        <v>0</v>
      </c>
      <c r="I279">
        <v>0</v>
      </c>
      <c r="J279">
        <v>25</v>
      </c>
      <c r="K279" s="23">
        <f>IF(Tableau1[[#This Row],[Quantité (H)]]=0,0,Tableau1[[#This Row],[Gasoil (L)]]/Tableau1[[#This Row],[Quantité (H)]])</f>
        <v>27.715277777777779</v>
      </c>
      <c r="M279" s="23">
        <v>112463.03</v>
      </c>
      <c r="N279" s="23">
        <v>120960</v>
      </c>
      <c r="O279" s="23">
        <f>Tableau1[[#This Row],[Productivité]]-Tableau1[[#This Row],[ les Charges]]</f>
        <v>8496.9700000000012</v>
      </c>
      <c r="R279" s="23">
        <f>VLOOKUP(Tableau1[[#This Row],[Code]],$V$3:$Z$157,4,)</f>
        <v>104580</v>
      </c>
      <c r="S279" s="23">
        <f>VLOOKUP(Tableau1[[#This Row],[Code]],$V$3:$Z$157,5,)</f>
        <v>40075</v>
      </c>
    </row>
    <row r="280" spans="1:19" hidden="1" x14ac:dyDescent="0.25">
      <c r="A280" s="13">
        <v>44316</v>
      </c>
      <c r="B280" t="s">
        <v>84</v>
      </c>
      <c r="C280" s="65" t="s">
        <v>41</v>
      </c>
      <c r="D280" t="s">
        <v>25</v>
      </c>
      <c r="E280">
        <v>206</v>
      </c>
      <c r="F280">
        <v>4958</v>
      </c>
      <c r="G280">
        <v>35</v>
      </c>
      <c r="H280">
        <v>0</v>
      </c>
      <c r="I280">
        <v>105</v>
      </c>
      <c r="J280">
        <v>25</v>
      </c>
      <c r="K280" s="23">
        <f>IF(Tableau1[[#This Row],[Quantité (H)]]=0,0,Tableau1[[#This Row],[Gasoil (L)]]/Tableau1[[#This Row],[Quantité (H)]])</f>
        <v>24.067961165048544</v>
      </c>
      <c r="M280" s="23">
        <v>77762.259999999995</v>
      </c>
      <c r="N280" s="23">
        <v>86520</v>
      </c>
      <c r="O280" s="23">
        <f>Tableau1[[#This Row],[Productivité]]-Tableau1[[#This Row],[ les Charges]]</f>
        <v>8757.7400000000052</v>
      </c>
      <c r="R280" s="23">
        <f>VLOOKUP(Tableau1[[#This Row],[Code]],$V$3:$Z$157,4,)</f>
        <v>56280</v>
      </c>
      <c r="S280" s="23">
        <f>VLOOKUP(Tableau1[[#This Row],[Code]],$V$3:$Z$157,5,)</f>
        <v>18395.010000000002</v>
      </c>
    </row>
    <row r="281" spans="1:19" hidden="1" x14ac:dyDescent="0.25">
      <c r="A281" s="13">
        <v>44316</v>
      </c>
      <c r="B281" t="s">
        <v>80</v>
      </c>
      <c r="C281" t="s">
        <v>41</v>
      </c>
      <c r="D281" t="s">
        <v>26</v>
      </c>
      <c r="E281" s="65">
        <v>252</v>
      </c>
      <c r="F281">
        <v>7856</v>
      </c>
      <c r="G281">
        <v>45</v>
      </c>
      <c r="H281">
        <v>0</v>
      </c>
      <c r="I281">
        <v>125</v>
      </c>
      <c r="J281">
        <v>20</v>
      </c>
      <c r="K281" s="23">
        <f>IF(Tableau1[[#This Row],[Quantité (H)]]=0,0,Tableau1[[#This Row],[Gasoil (L)]]/Tableau1[[#This Row],[Quantité (H)]])</f>
        <v>31.174603174603174</v>
      </c>
      <c r="M281" s="23">
        <v>107106.94</v>
      </c>
      <c r="N281" s="23">
        <v>105000</v>
      </c>
      <c r="O281" s="23">
        <f>Tableau1[[#This Row],[Productivité]]-Tableau1[[#This Row],[ les Charges]]</f>
        <v>-2106.9400000000023</v>
      </c>
      <c r="R281" s="23">
        <f>VLOOKUP(Tableau1[[#This Row],[Code]],$V$3:$Z$157,4,)</f>
        <v>96180</v>
      </c>
      <c r="S281" s="23">
        <f>VLOOKUP(Tableau1[[#This Row],[Code]],$V$3:$Z$157,5,)</f>
        <v>14650</v>
      </c>
    </row>
    <row r="282" spans="1:19" hidden="1" x14ac:dyDescent="0.25">
      <c r="A282" s="13">
        <v>44316</v>
      </c>
      <c r="B282" t="s">
        <v>83</v>
      </c>
      <c r="C282" t="s">
        <v>41</v>
      </c>
      <c r="D282" t="s">
        <v>27</v>
      </c>
      <c r="E282" s="65">
        <v>197</v>
      </c>
      <c r="F282">
        <v>1354</v>
      </c>
      <c r="G282">
        <v>20</v>
      </c>
      <c r="H282">
        <v>0</v>
      </c>
      <c r="I282">
        <v>20</v>
      </c>
      <c r="J282">
        <v>11</v>
      </c>
      <c r="K282" s="23">
        <f>IF(Tableau1[[#This Row],[Quantité (H)]]=0,0,Tableau1[[#This Row],[Gasoil (L)]]/Tableau1[[#This Row],[Quantité (H)]])</f>
        <v>6.873096446700508</v>
      </c>
      <c r="M282" s="23">
        <v>15491.66</v>
      </c>
      <c r="N282" s="23">
        <v>43340</v>
      </c>
      <c r="O282" s="23">
        <f>Tableau1[[#This Row],[Productivité]]-Tableau1[[#This Row],[ les Charges]]</f>
        <v>27848.34</v>
      </c>
      <c r="R282" s="23">
        <f>VLOOKUP(Tableau1[[#This Row],[Code]],$V$3:$Z$157,4,)</f>
        <v>30580</v>
      </c>
      <c r="S282" s="23">
        <f>VLOOKUP(Tableau1[[#This Row],[Code]],$V$3:$Z$157,5,)</f>
        <v>22670</v>
      </c>
    </row>
    <row r="283" spans="1:19" hidden="1" x14ac:dyDescent="0.25">
      <c r="A283" s="13">
        <v>44316</v>
      </c>
      <c r="B283" t="s">
        <v>84</v>
      </c>
      <c r="C283" t="s">
        <v>41</v>
      </c>
      <c r="D283" t="s">
        <v>130</v>
      </c>
      <c r="E283" s="3">
        <v>0</v>
      </c>
      <c r="F283">
        <v>439</v>
      </c>
      <c r="G283">
        <v>0</v>
      </c>
      <c r="H283">
        <v>0</v>
      </c>
      <c r="I283">
        <v>0</v>
      </c>
      <c r="J283">
        <v>0</v>
      </c>
      <c r="K283" s="23">
        <f>IF(Tableau1[[#This Row],[Quantité (H)]]=0,0,Tableau1[[#This Row],[Gasoil (L)]]/Tableau1[[#This Row],[Quantité (H)]])</f>
        <v>0</v>
      </c>
      <c r="M283" s="23">
        <v>4848.33</v>
      </c>
      <c r="N283" s="23">
        <v>0</v>
      </c>
      <c r="O283" s="23">
        <f>Tableau1[[#This Row],[Productivité]]-Tableau1[[#This Row],[ les Charges]]</f>
        <v>-4848.33</v>
      </c>
      <c r="R283" s="23">
        <f>VLOOKUP(Tableau1[[#This Row],[Code]],$V$3:$Z$157,4,)</f>
        <v>0</v>
      </c>
      <c r="S283" s="23">
        <f>VLOOKUP(Tableau1[[#This Row],[Code]],$V$3:$Z$157,5,)</f>
        <v>-291.64999999999998</v>
      </c>
    </row>
    <row r="284" spans="1:19" hidden="1" x14ac:dyDescent="0.25">
      <c r="A284" s="13">
        <v>44316</v>
      </c>
      <c r="B284" t="s">
        <v>116</v>
      </c>
      <c r="C284" t="s">
        <v>41</v>
      </c>
      <c r="D284" t="s">
        <v>123</v>
      </c>
      <c r="E284" s="65">
        <v>53</v>
      </c>
      <c r="F284">
        <v>760</v>
      </c>
      <c r="G284">
        <v>15</v>
      </c>
      <c r="H284">
        <v>0</v>
      </c>
      <c r="I284">
        <v>20</v>
      </c>
      <c r="J284">
        <v>8</v>
      </c>
      <c r="K284" s="23">
        <f>IF(Tableau1[[#This Row],[Quantité (H)]]=0,0,Tableau1[[#This Row],[Gasoil (L)]]/Tableau1[[#This Row],[Quantité (H)]])</f>
        <v>14.339622641509434</v>
      </c>
      <c r="M284" s="23">
        <v>9180</v>
      </c>
      <c r="N284" s="23">
        <v>11660</v>
      </c>
      <c r="O284" s="23">
        <f>Tableau1[[#This Row],[Productivité]]-Tableau1[[#This Row],[ les Charges]]</f>
        <v>2480</v>
      </c>
      <c r="R284" s="23">
        <f>VLOOKUP(Tableau1[[#This Row],[Code]],$V$3:$Z$157,4,)</f>
        <v>40040</v>
      </c>
      <c r="S284" s="23">
        <f>VLOOKUP(Tableau1[[#This Row],[Code]],$V$3:$Z$157,5,)</f>
        <v>22585</v>
      </c>
    </row>
    <row r="285" spans="1:19" hidden="1" x14ac:dyDescent="0.25">
      <c r="A285" s="13">
        <v>44316</v>
      </c>
      <c r="B285" t="s">
        <v>84</v>
      </c>
      <c r="C285" t="s">
        <v>41</v>
      </c>
      <c r="D285" t="s">
        <v>128</v>
      </c>
      <c r="E285" s="65">
        <v>116</v>
      </c>
      <c r="F285">
        <v>2310</v>
      </c>
      <c r="G285">
        <v>35</v>
      </c>
      <c r="H285">
        <v>0</v>
      </c>
      <c r="I285">
        <v>0</v>
      </c>
      <c r="J285">
        <v>0</v>
      </c>
      <c r="K285" s="23">
        <f>IF(Tableau1[[#This Row],[Quantité (H)]]=0,0,Tableau1[[#This Row],[Gasoil (L)]]/Tableau1[[#This Row],[Quantité (H)]])</f>
        <v>19.913793103448278</v>
      </c>
      <c r="M285" s="23">
        <v>25141.66</v>
      </c>
      <c r="N285" s="23">
        <v>48720</v>
      </c>
      <c r="O285" s="23">
        <f>Tableau1[[#This Row],[Productivité]]-Tableau1[[#This Row],[ les Charges]]</f>
        <v>23578.34</v>
      </c>
      <c r="R285" s="23">
        <f>VLOOKUP(Tableau1[[#This Row],[Code]],$V$3:$Z$157,4,)</f>
        <v>79380</v>
      </c>
      <c r="S285" s="23">
        <f>VLOOKUP(Tableau1[[#This Row],[Code]],$V$3:$Z$157,5,)</f>
        <v>40071.699999999997</v>
      </c>
    </row>
    <row r="286" spans="1:19" hidden="1" x14ac:dyDescent="0.25">
      <c r="A286" s="13">
        <v>44316</v>
      </c>
      <c r="B286" t="s">
        <v>84</v>
      </c>
      <c r="C286" t="s">
        <v>41</v>
      </c>
      <c r="D286" t="s">
        <v>127</v>
      </c>
      <c r="E286" s="65">
        <v>11</v>
      </c>
      <c r="F286">
        <v>200</v>
      </c>
      <c r="G286">
        <v>30</v>
      </c>
      <c r="H286">
        <v>0</v>
      </c>
      <c r="I286">
        <v>0</v>
      </c>
      <c r="J286">
        <v>0</v>
      </c>
      <c r="K286" s="23">
        <f>IF(Tableau1[[#This Row],[Quantité (H)]]=0,0,Tableau1[[#This Row],[Gasoil (L)]]/Tableau1[[#This Row],[Quantité (H)]])</f>
        <v>18.181818181818183</v>
      </c>
      <c r="M286" s="23">
        <v>3658.33</v>
      </c>
      <c r="N286" s="23">
        <v>4620</v>
      </c>
      <c r="O286" s="23">
        <f>Tableau1[[#This Row],[Productivité]]-Tableau1[[#This Row],[ les Charges]]</f>
        <v>961.67000000000007</v>
      </c>
      <c r="R286" s="23">
        <f>VLOOKUP(Tableau1[[#This Row],[Code]],$V$3:$Z$157,4,)</f>
        <v>0</v>
      </c>
      <c r="S286" s="23">
        <f>VLOOKUP(Tableau1[[#This Row],[Code]],$V$3:$Z$157,5,)</f>
        <v>0</v>
      </c>
    </row>
    <row r="287" spans="1:19" hidden="1" x14ac:dyDescent="0.25">
      <c r="A287" s="13">
        <v>44316</v>
      </c>
      <c r="B287" t="s">
        <v>84</v>
      </c>
      <c r="C287" t="s">
        <v>41</v>
      </c>
      <c r="D287" t="s">
        <v>129</v>
      </c>
      <c r="E287" s="65">
        <v>74</v>
      </c>
      <c r="F287">
        <v>1240</v>
      </c>
      <c r="G287">
        <v>25</v>
      </c>
      <c r="H287">
        <v>0</v>
      </c>
      <c r="I287">
        <v>10</v>
      </c>
      <c r="J287">
        <v>30</v>
      </c>
      <c r="K287" s="23">
        <f>IF(Tableau1[[#This Row],[Quantité (H)]]=0,0,Tableau1[[#This Row],[Gasoil (L)]]/Tableau1[[#This Row],[Quantité (H)]])</f>
        <v>16.756756756756758</v>
      </c>
      <c r="M287" s="23">
        <v>15508.33</v>
      </c>
      <c r="N287" s="23">
        <v>31080</v>
      </c>
      <c r="O287" s="23">
        <f>Tableau1[[#This Row],[Productivité]]-Tableau1[[#This Row],[ les Charges]]</f>
        <v>15571.67</v>
      </c>
      <c r="R287" s="23">
        <f>VLOOKUP(Tableau1[[#This Row],[Code]],$V$3:$Z$157,4,)</f>
        <v>79380</v>
      </c>
      <c r="S287" s="23">
        <f>VLOOKUP(Tableau1[[#This Row],[Code]],$V$3:$Z$157,5,)</f>
        <v>46388.38</v>
      </c>
    </row>
    <row r="288" spans="1:19" hidden="1" x14ac:dyDescent="0.25">
      <c r="A288" s="13">
        <v>44316</v>
      </c>
      <c r="B288" t="s">
        <v>116</v>
      </c>
      <c r="C288" s="65" t="s">
        <v>41</v>
      </c>
      <c r="D288" t="s">
        <v>122</v>
      </c>
      <c r="E288" s="65">
        <v>74</v>
      </c>
      <c r="F288">
        <v>804</v>
      </c>
      <c r="G288">
        <v>15</v>
      </c>
      <c r="H288">
        <v>0</v>
      </c>
      <c r="I288">
        <v>60</v>
      </c>
      <c r="J288">
        <v>5</v>
      </c>
      <c r="K288" s="23">
        <f>IF(Tableau1[[#This Row],[Quantité (H)]]=0,0,Tableau1[[#This Row],[Gasoil (L)]]/Tableau1[[#This Row],[Quantité (H)]])</f>
        <v>10.864864864864865</v>
      </c>
      <c r="M288" s="23">
        <v>11215</v>
      </c>
      <c r="N288" s="23">
        <v>16280</v>
      </c>
      <c r="O288" s="23">
        <f>Tableau1[[#This Row],[Productivité]]-Tableau1[[#This Row],[ les Charges]]</f>
        <v>5065</v>
      </c>
      <c r="R288" s="23">
        <f>VLOOKUP(Tableau1[[#This Row],[Code]],$V$3:$Z$157,4,)</f>
        <v>31900</v>
      </c>
      <c r="S288" s="23">
        <f>VLOOKUP(Tableau1[[#This Row],[Code]],$V$3:$Z$157,5,)</f>
        <v>16645</v>
      </c>
    </row>
    <row r="289" spans="1:19" hidden="1" x14ac:dyDescent="0.25">
      <c r="A289" s="13">
        <v>44316</v>
      </c>
      <c r="B289" t="s">
        <v>83</v>
      </c>
      <c r="C289" s="65" t="s">
        <v>86</v>
      </c>
      <c r="D289" t="s">
        <v>58</v>
      </c>
      <c r="E289" s="65">
        <v>234</v>
      </c>
      <c r="F289">
        <v>477</v>
      </c>
      <c r="G289">
        <v>3</v>
      </c>
      <c r="H289">
        <v>0</v>
      </c>
      <c r="I289">
        <v>0</v>
      </c>
      <c r="J289">
        <v>0</v>
      </c>
      <c r="K289" s="23">
        <f>IF(Tableau1[[#This Row],[Quantité (H)]]=0,0,Tableau1[[#This Row],[Gasoil (L)]]/Tableau1[[#This Row],[Quantité (H)]])</f>
        <v>2.0384615384615383</v>
      </c>
      <c r="M289" s="23">
        <v>4890</v>
      </c>
      <c r="N289" s="23">
        <v>15210</v>
      </c>
      <c r="O289" s="23">
        <f>Tableau1[[#This Row],[Productivité]]-Tableau1[[#This Row],[ les Charges]]</f>
        <v>10320</v>
      </c>
      <c r="R289" s="23">
        <f>VLOOKUP(Tableau1[[#This Row],[Code]],$V$3:$Z$157,4,)</f>
        <v>12350</v>
      </c>
      <c r="S289" s="23">
        <f>VLOOKUP(Tableau1[[#This Row],[Code]],$V$3:$Z$157,5,)</f>
        <v>8370</v>
      </c>
    </row>
    <row r="290" spans="1:19" hidden="1" x14ac:dyDescent="0.25">
      <c r="A290" s="13">
        <v>44316</v>
      </c>
      <c r="B290" t="s">
        <v>80</v>
      </c>
      <c r="C290" s="65" t="s">
        <v>86</v>
      </c>
      <c r="D290" t="s">
        <v>59</v>
      </c>
      <c r="E290" s="65">
        <v>0</v>
      </c>
      <c r="F290">
        <v>156</v>
      </c>
      <c r="G290">
        <v>0</v>
      </c>
      <c r="H290">
        <v>0</v>
      </c>
      <c r="I290">
        <v>0</v>
      </c>
      <c r="J290">
        <v>0</v>
      </c>
      <c r="K290" s="23">
        <f>IF(Tableau1[[#This Row],[Quantité (H)]]=0,0,Tableau1[[#This Row],[Gasoil (L)]]/Tableau1[[#This Row],[Quantité (H)]])</f>
        <v>0</v>
      </c>
      <c r="M290" s="23">
        <v>2160</v>
      </c>
      <c r="N290" s="23">
        <v>9880</v>
      </c>
      <c r="O290" s="23">
        <f>Tableau1[[#This Row],[Productivité]]-Tableau1[[#This Row],[ les Charges]]</f>
        <v>7720</v>
      </c>
      <c r="R290" s="23">
        <f>VLOOKUP(Tableau1[[#This Row],[Code]],$V$3:$Z$157,4,)</f>
        <v>5720</v>
      </c>
      <c r="S290" s="23">
        <f>VLOOKUP(Tableau1[[#This Row],[Code]],$V$3:$Z$157,5,)</f>
        <v>2250</v>
      </c>
    </row>
    <row r="291" spans="1:19" hidden="1" x14ac:dyDescent="0.25">
      <c r="A291" s="13">
        <v>44316</v>
      </c>
      <c r="B291" t="s">
        <v>80</v>
      </c>
      <c r="C291" s="65" t="s">
        <v>86</v>
      </c>
      <c r="D291" t="s">
        <v>60</v>
      </c>
      <c r="E291" s="3">
        <v>232</v>
      </c>
      <c r="F291">
        <v>271</v>
      </c>
      <c r="G291">
        <v>0</v>
      </c>
      <c r="H291">
        <v>0</v>
      </c>
      <c r="I291">
        <v>0</v>
      </c>
      <c r="J291">
        <v>0</v>
      </c>
      <c r="K291" s="23">
        <f>IF(Tableau1[[#This Row],[Quantité (H)]]=0,0,Tableau1[[#This Row],[Gasoil (L)]]/Tableau1[[#This Row],[Quantité (H)]])</f>
        <v>1.1681034482758621</v>
      </c>
      <c r="M291" s="23">
        <v>2710</v>
      </c>
      <c r="N291" s="23">
        <v>15080</v>
      </c>
      <c r="O291" s="23">
        <f>Tableau1[[#This Row],[Productivité]]-Tableau1[[#This Row],[ les Charges]]</f>
        <v>12370</v>
      </c>
      <c r="R291" s="23">
        <f>VLOOKUP(Tableau1[[#This Row],[Code]],$V$3:$Z$157,4,)</f>
        <v>12480</v>
      </c>
      <c r="S291" s="23">
        <f>VLOOKUP(Tableau1[[#This Row],[Code]],$V$3:$Z$157,5,)</f>
        <v>10400</v>
      </c>
    </row>
    <row r="292" spans="1:19" hidden="1" x14ac:dyDescent="0.25">
      <c r="A292" s="13">
        <v>44316</v>
      </c>
      <c r="B292" t="s">
        <v>84</v>
      </c>
      <c r="C292" s="65" t="s">
        <v>86</v>
      </c>
      <c r="D292" s="65" t="s">
        <v>61</v>
      </c>
      <c r="E292" s="3">
        <v>220</v>
      </c>
      <c r="F292">
        <v>378</v>
      </c>
      <c r="G292">
        <v>0</v>
      </c>
      <c r="H292">
        <v>0</v>
      </c>
      <c r="I292">
        <v>0</v>
      </c>
      <c r="J292">
        <v>0</v>
      </c>
      <c r="K292" s="23">
        <f>IF(Tableau1[[#This Row],[Quantité (H)]]=0,0,Tableau1[[#This Row],[Gasoil (L)]]/Tableau1[[#This Row],[Quantité (H)]])</f>
        <v>1.7181818181818183</v>
      </c>
      <c r="L292" s="23">
        <v>12.088263511352734</v>
      </c>
      <c r="M292" s="23">
        <v>3780</v>
      </c>
      <c r="N292" s="23">
        <v>14300</v>
      </c>
      <c r="O292" s="23">
        <f>Tableau1[[#This Row],[Productivité]]-Tableau1[[#This Row],[ les Charges]]</f>
        <v>10520</v>
      </c>
      <c r="R292" s="23">
        <f>VLOOKUP(Tableau1[[#This Row],[Code]],$V$3:$Z$157,4,)</f>
        <v>12285</v>
      </c>
      <c r="S292" s="23">
        <f>VLOOKUP(Tableau1[[#This Row],[Code]],$V$3:$Z$157,5,)</f>
        <v>10225</v>
      </c>
    </row>
    <row r="293" spans="1:19" hidden="1" x14ac:dyDescent="0.25">
      <c r="A293" s="13">
        <v>44316</v>
      </c>
      <c r="B293" t="s">
        <v>83</v>
      </c>
      <c r="C293" s="65" t="s">
        <v>43</v>
      </c>
      <c r="D293" t="s">
        <v>33</v>
      </c>
      <c r="E293" s="65">
        <v>172</v>
      </c>
      <c r="F293">
        <v>344</v>
      </c>
      <c r="G293">
        <v>5</v>
      </c>
      <c r="H293">
        <v>0</v>
      </c>
      <c r="I293">
        <v>0</v>
      </c>
      <c r="J293">
        <v>0</v>
      </c>
      <c r="K293" s="23">
        <f>IF(Tableau1[[#This Row],[Quantité (H)]]=0,0,Tableau1[[#This Row],[Gasoil (L)]]/Tableau1[[#This Row],[Quantité (H)]])</f>
        <v>2</v>
      </c>
      <c r="M293" s="23">
        <v>3640</v>
      </c>
      <c r="N293" s="23">
        <v>30960</v>
      </c>
      <c r="O293" s="23">
        <f>Tableau1[[#This Row],[Productivité]]-Tableau1[[#This Row],[ les Charges]]</f>
        <v>27320</v>
      </c>
      <c r="R293" s="23">
        <f>VLOOKUP(Tableau1[[#This Row],[Code]],$V$3:$Z$157,4,)</f>
        <v>30240</v>
      </c>
      <c r="S293" s="23">
        <f>VLOOKUP(Tableau1[[#This Row],[Code]],$V$3:$Z$157,5,)</f>
        <v>25955</v>
      </c>
    </row>
    <row r="294" spans="1:19" hidden="1" x14ac:dyDescent="0.25">
      <c r="A294" s="13">
        <v>44316</v>
      </c>
      <c r="B294" t="s">
        <v>80</v>
      </c>
      <c r="C294" s="65" t="s">
        <v>43</v>
      </c>
      <c r="D294" t="s">
        <v>34</v>
      </c>
      <c r="E294" s="65">
        <v>78</v>
      </c>
      <c r="F294">
        <v>375</v>
      </c>
      <c r="G294">
        <v>31</v>
      </c>
      <c r="H294">
        <v>0</v>
      </c>
      <c r="I294">
        <v>10</v>
      </c>
      <c r="J294">
        <v>2</v>
      </c>
      <c r="K294" s="23">
        <f>IF(Tableau1[[#This Row],[Quantité (H)]]=0,0,Tableau1[[#This Row],[Gasoil (L)]]/Tableau1[[#This Row],[Quantité (H)]])</f>
        <v>4.8076923076923075</v>
      </c>
      <c r="M294" s="23">
        <v>5685.87</v>
      </c>
      <c r="N294" s="23">
        <v>14760</v>
      </c>
      <c r="O294" s="23">
        <f>Tableau1[[#This Row],[Productivité]]-Tableau1[[#This Row],[ les Charges]]</f>
        <v>9074.130000000001</v>
      </c>
      <c r="R294" s="23">
        <f>VLOOKUP(Tableau1[[#This Row],[Code]],$V$3:$Z$157,4,)</f>
        <v>16380</v>
      </c>
      <c r="S294" s="23">
        <f>VLOOKUP(Tableau1[[#This Row],[Code]],$V$3:$Z$157,5,)</f>
        <v>10710</v>
      </c>
    </row>
    <row r="295" spans="1:19" hidden="1" x14ac:dyDescent="0.25">
      <c r="A295" s="13">
        <v>44316</v>
      </c>
      <c r="B295" t="s">
        <v>116</v>
      </c>
      <c r="C295" s="65" t="s">
        <v>43</v>
      </c>
      <c r="D295" t="s">
        <v>35</v>
      </c>
      <c r="E295" s="65">
        <v>204</v>
      </c>
      <c r="F295">
        <v>714</v>
      </c>
      <c r="G295">
        <v>13</v>
      </c>
      <c r="H295">
        <v>0</v>
      </c>
      <c r="I295">
        <v>0</v>
      </c>
      <c r="J295">
        <v>4</v>
      </c>
      <c r="K295" s="23">
        <f>IF(Tableau1[[#This Row],[Quantité (H)]]=0,0,Tableau1[[#This Row],[Gasoil (L)]]/Tableau1[[#This Row],[Quantité (H)]])</f>
        <v>3.5</v>
      </c>
      <c r="M295" s="23">
        <v>8012.49</v>
      </c>
      <c r="N295" s="23">
        <v>36900</v>
      </c>
      <c r="O295" s="23">
        <f>Tableau1[[#This Row],[Productivité]]-Tableau1[[#This Row],[ les Charges]]</f>
        <v>28887.510000000002</v>
      </c>
      <c r="R295" s="23">
        <f>VLOOKUP(Tableau1[[#This Row],[Code]],$V$3:$Z$157,4,)</f>
        <v>23580</v>
      </c>
      <c r="S295" s="23">
        <f>VLOOKUP(Tableau1[[#This Row],[Code]],$V$3:$Z$157,5,)</f>
        <v>17025</v>
      </c>
    </row>
    <row r="296" spans="1:19" hidden="1" x14ac:dyDescent="0.25">
      <c r="A296" s="13">
        <v>44316</v>
      </c>
      <c r="B296" t="s">
        <v>79</v>
      </c>
      <c r="C296" s="65" t="s">
        <v>87</v>
      </c>
      <c r="D296" t="s">
        <v>63</v>
      </c>
      <c r="E296" s="65">
        <v>114</v>
      </c>
      <c r="F296">
        <v>126</v>
      </c>
      <c r="G296">
        <v>0</v>
      </c>
      <c r="H296">
        <v>0</v>
      </c>
      <c r="I296">
        <v>0</v>
      </c>
      <c r="J296">
        <v>0</v>
      </c>
      <c r="K296" s="23">
        <f>IF(Tableau1[[#This Row],[Quantité (H)]]=0,0,Tableau1[[#This Row],[Gasoil (L)]]/Tableau1[[#This Row],[Quantité (H)]])</f>
        <v>1.1052631578947369</v>
      </c>
      <c r="O296" s="23">
        <f>Tableau1[[#This Row],[Productivité]]-Tableau1[[#This Row],[ les Charges]]</f>
        <v>0</v>
      </c>
      <c r="R296" s="23">
        <f>VLOOKUP(Tableau1[[#This Row],[Code]],$V$3:$Z$157,4,)</f>
        <v>11050</v>
      </c>
      <c r="S296" s="23">
        <f>VLOOKUP(Tableau1[[#This Row],[Code]],$V$3:$Z$157,5,)</f>
        <v>9630</v>
      </c>
    </row>
    <row r="297" spans="1:19" hidden="1" x14ac:dyDescent="0.25">
      <c r="A297" s="13">
        <v>44316</v>
      </c>
      <c r="B297" t="s">
        <v>80</v>
      </c>
      <c r="C297" s="65" t="s">
        <v>87</v>
      </c>
      <c r="D297" t="s">
        <v>63</v>
      </c>
      <c r="E297" s="65">
        <v>70</v>
      </c>
      <c r="F297">
        <v>37</v>
      </c>
      <c r="G297">
        <v>0</v>
      </c>
      <c r="H297">
        <v>0</v>
      </c>
      <c r="I297">
        <v>0</v>
      </c>
      <c r="J297">
        <v>0</v>
      </c>
      <c r="K297" s="23">
        <f>IF(Tableau1[[#This Row],[Quantité (H)]]=0,0,Tableau1[[#This Row],[Gasoil (L)]]/Tableau1[[#This Row],[Quantité (H)]])</f>
        <v>0.52857142857142858</v>
      </c>
      <c r="M297" s="23">
        <v>5844</v>
      </c>
      <c r="N297" s="23">
        <v>12350</v>
      </c>
      <c r="O297" s="23">
        <f>Tableau1[[#This Row],[Productivité]]-Tableau1[[#This Row],[ les Charges]]</f>
        <v>6506</v>
      </c>
      <c r="R297" s="23">
        <f>VLOOKUP(Tableau1[[#This Row],[Code]],$V$3:$Z$157,4,)</f>
        <v>11050</v>
      </c>
      <c r="S297" s="23">
        <f>VLOOKUP(Tableau1[[#This Row],[Code]],$V$3:$Z$157,5,)</f>
        <v>9630</v>
      </c>
    </row>
    <row r="298" spans="1:19" hidden="1" x14ac:dyDescent="0.25">
      <c r="A298" s="13">
        <v>44316</v>
      </c>
      <c r="B298" t="s">
        <v>84</v>
      </c>
      <c r="C298" s="65" t="s">
        <v>87</v>
      </c>
      <c r="D298" t="s">
        <v>63</v>
      </c>
      <c r="E298" s="65">
        <v>52</v>
      </c>
      <c r="F298">
        <v>105</v>
      </c>
      <c r="G298">
        <v>0</v>
      </c>
      <c r="H298">
        <v>0</v>
      </c>
      <c r="I298">
        <v>0</v>
      </c>
      <c r="J298">
        <v>0</v>
      </c>
      <c r="K298" s="23">
        <f>IF(Tableau1[[#This Row],[Quantité (H)]]=0,0,Tableau1[[#This Row],[Gasoil (L)]]/Tableau1[[#This Row],[Quantité (H)]])</f>
        <v>2.0192307692307692</v>
      </c>
      <c r="M298" s="23">
        <v>5844</v>
      </c>
      <c r="N298" s="23">
        <v>12350</v>
      </c>
      <c r="O298" s="23">
        <f>Tableau1[[#This Row],[Productivité]]-Tableau1[[#This Row],[ les Charges]]</f>
        <v>6506</v>
      </c>
      <c r="R298" s="23">
        <f>VLOOKUP(Tableau1[[#This Row],[Code]],$V$3:$Z$157,4,)</f>
        <v>11050</v>
      </c>
      <c r="S298" s="23">
        <f>VLOOKUP(Tableau1[[#This Row],[Code]],$V$3:$Z$157,5,)</f>
        <v>9630</v>
      </c>
    </row>
    <row r="299" spans="1:19" hidden="1" x14ac:dyDescent="0.25">
      <c r="A299" s="13">
        <v>44316</v>
      </c>
      <c r="B299" t="s">
        <v>79</v>
      </c>
      <c r="C299" s="65" t="s">
        <v>87</v>
      </c>
      <c r="D299" t="s">
        <v>105</v>
      </c>
      <c r="E299" s="3">
        <v>24</v>
      </c>
      <c r="F299">
        <v>122.59</v>
      </c>
      <c r="G299">
        <v>0</v>
      </c>
      <c r="H299">
        <v>0</v>
      </c>
      <c r="I299">
        <v>0</v>
      </c>
      <c r="J299">
        <v>0</v>
      </c>
      <c r="K299" s="23">
        <f>IF(Tableau1[[#This Row],[Quantité (H)]]=0,0,Tableau1[[#This Row],[Gasoil (L)]]/Tableau1[[#This Row],[Quantité (H)]])</f>
        <v>5.1079166666666671</v>
      </c>
      <c r="O299" s="23">
        <f>Tableau1[[#This Row],[Productivité]]-Tableau1[[#This Row],[ les Charges]]</f>
        <v>0</v>
      </c>
      <c r="R299" s="23">
        <f>VLOOKUP(Tableau1[[#This Row],[Code]],$V$3:$Z$157,4,)</f>
        <v>10920</v>
      </c>
      <c r="S299" s="23">
        <f>VLOOKUP(Tableau1[[#This Row],[Code]],$V$3:$Z$157,5,)</f>
        <v>7680</v>
      </c>
    </row>
    <row r="300" spans="1:19" hidden="1" x14ac:dyDescent="0.25">
      <c r="A300" s="13">
        <v>44316</v>
      </c>
      <c r="B300" t="s">
        <v>80</v>
      </c>
      <c r="C300" s="65" t="s">
        <v>87</v>
      </c>
      <c r="D300" t="s">
        <v>105</v>
      </c>
      <c r="E300" s="65">
        <v>200</v>
      </c>
      <c r="F300">
        <v>418</v>
      </c>
      <c r="G300">
        <v>0</v>
      </c>
      <c r="H300">
        <v>0</v>
      </c>
      <c r="I300">
        <v>0</v>
      </c>
      <c r="J300">
        <v>0</v>
      </c>
      <c r="K300" s="23">
        <f>IF(Tableau1[[#This Row],[Quantité (H)]]=0,0,Tableau1[[#This Row],[Gasoil (L)]]/Tableau1[[#This Row],[Quantité (H)]])</f>
        <v>2.09</v>
      </c>
      <c r="M300" s="23">
        <v>5406</v>
      </c>
      <c r="N300" s="23">
        <v>14040</v>
      </c>
      <c r="O300" s="23">
        <f>Tableau1[[#This Row],[Productivité]]-Tableau1[[#This Row],[ les Charges]]</f>
        <v>8634</v>
      </c>
      <c r="R300" s="23">
        <f>VLOOKUP(Tableau1[[#This Row],[Code]],$V$3:$Z$157,4,)</f>
        <v>10920</v>
      </c>
      <c r="S300" s="23">
        <f>VLOOKUP(Tableau1[[#This Row],[Code]],$V$3:$Z$157,5,)</f>
        <v>7680</v>
      </c>
    </row>
    <row r="301" spans="1:19" hidden="1" x14ac:dyDescent="0.25">
      <c r="A301" s="13">
        <v>44316</v>
      </c>
      <c r="B301" t="s">
        <v>80</v>
      </c>
      <c r="C301" t="s">
        <v>88</v>
      </c>
      <c r="D301" t="s">
        <v>64</v>
      </c>
      <c r="E301" s="65">
        <v>0</v>
      </c>
      <c r="F301">
        <v>111</v>
      </c>
      <c r="G301">
        <v>0</v>
      </c>
      <c r="H301">
        <v>0</v>
      </c>
      <c r="I301">
        <v>0</v>
      </c>
      <c r="J301">
        <v>0</v>
      </c>
      <c r="K301" s="23">
        <f>IF(Tableau1[[#This Row],[Quantité (H)]]=0,0,Tableau1[[#This Row],[Gasoil (L)]]/Tableau1[[#This Row],[Quantité (H)]])</f>
        <v>0</v>
      </c>
      <c r="O301" s="23">
        <f>Tableau1[[#This Row],[Productivité]]-Tableau1[[#This Row],[ les Charges]]</f>
        <v>0</v>
      </c>
      <c r="R301" s="23">
        <f>VLOOKUP(Tableau1[[#This Row],[Code]],$V$3:$Z$157,4,)</f>
        <v>9600</v>
      </c>
      <c r="S301" s="23">
        <f>VLOOKUP(Tableau1[[#This Row],[Code]],$V$3:$Z$157,5,)</f>
        <v>8270</v>
      </c>
    </row>
    <row r="302" spans="1:19" hidden="1" x14ac:dyDescent="0.25">
      <c r="A302" s="13">
        <v>44316</v>
      </c>
      <c r="B302" t="s">
        <v>84</v>
      </c>
      <c r="C302" t="s">
        <v>88</v>
      </c>
      <c r="D302" t="s">
        <v>64</v>
      </c>
      <c r="E302" s="3">
        <v>8</v>
      </c>
      <c r="F302">
        <v>30</v>
      </c>
      <c r="G302">
        <v>0</v>
      </c>
      <c r="H302">
        <v>0</v>
      </c>
      <c r="I302">
        <v>0</v>
      </c>
      <c r="J302">
        <v>0</v>
      </c>
      <c r="K302" s="23">
        <f>IF(Tableau1[[#This Row],[Quantité (H)]]=0,0,Tableau1[[#This Row],[Gasoil (L)]]/Tableau1[[#This Row],[Quantité (H)]])</f>
        <v>3.75</v>
      </c>
      <c r="M302" s="23">
        <v>1110</v>
      </c>
      <c r="N302" s="23">
        <v>11200</v>
      </c>
      <c r="O302" s="23">
        <f>Tableau1[[#This Row],[Productivité]]-Tableau1[[#This Row],[ les Charges]]</f>
        <v>10090</v>
      </c>
      <c r="R302" s="23">
        <f>VLOOKUP(Tableau1[[#This Row],[Code]],$V$3:$Z$157,4,)</f>
        <v>9600</v>
      </c>
      <c r="S302" s="23">
        <f>VLOOKUP(Tableau1[[#This Row],[Code]],$V$3:$Z$157,5,)</f>
        <v>8270</v>
      </c>
    </row>
    <row r="303" spans="1:19" hidden="1" x14ac:dyDescent="0.25">
      <c r="A303" s="13">
        <v>44316</v>
      </c>
      <c r="B303" t="s">
        <v>83</v>
      </c>
      <c r="C303" s="65" t="s">
        <v>88</v>
      </c>
      <c r="D303" t="s">
        <v>65</v>
      </c>
      <c r="E303" s="65">
        <v>38</v>
      </c>
      <c r="F303">
        <v>269</v>
      </c>
      <c r="G303">
        <v>0</v>
      </c>
      <c r="H303">
        <v>0</v>
      </c>
      <c r="I303">
        <v>0</v>
      </c>
      <c r="J303">
        <v>0</v>
      </c>
      <c r="K303" s="23">
        <f>IF(Tableau1[[#This Row],[Quantité (H)]]=0,0,Tableau1[[#This Row],[Gasoil (L)]]/Tableau1[[#This Row],[Quantité (H)]])</f>
        <v>7.0789473684210522</v>
      </c>
      <c r="M303" s="23">
        <v>11369.68</v>
      </c>
      <c r="N303" s="23">
        <v>9600</v>
      </c>
      <c r="O303" s="23">
        <f>Tableau1[[#This Row],[Productivité]]-Tableau1[[#This Row],[ les Charges]]</f>
        <v>-1769.6800000000003</v>
      </c>
      <c r="R303" s="23">
        <f>VLOOKUP(Tableau1[[#This Row],[Code]],$V$3:$Z$157,4,)</f>
        <v>18400</v>
      </c>
      <c r="S303" s="23">
        <f>VLOOKUP(Tableau1[[#This Row],[Code]],$V$3:$Z$157,5,)</f>
        <v>15820</v>
      </c>
    </row>
    <row r="304" spans="1:19" hidden="1" x14ac:dyDescent="0.25">
      <c r="A304" s="13">
        <v>44316</v>
      </c>
      <c r="B304" t="s">
        <v>116</v>
      </c>
      <c r="C304" s="65" t="s">
        <v>88</v>
      </c>
      <c r="D304" t="s">
        <v>65</v>
      </c>
      <c r="E304" s="65">
        <v>0</v>
      </c>
      <c r="F304">
        <v>79</v>
      </c>
      <c r="G304">
        <v>0</v>
      </c>
      <c r="H304">
        <v>0</v>
      </c>
      <c r="I304">
        <v>0</v>
      </c>
      <c r="J304">
        <v>0</v>
      </c>
      <c r="K304" s="23">
        <f>IF(Tableau1[[#This Row],[Quantité (H)]]=0,0,Tableau1[[#This Row],[Gasoil (L)]]/Tableau1[[#This Row],[Quantité (H)]])</f>
        <v>0</v>
      </c>
      <c r="O304" s="23">
        <f>Tableau1[[#This Row],[Productivité]]-Tableau1[[#This Row],[ les Charges]]</f>
        <v>0</v>
      </c>
      <c r="R304" s="23">
        <f>VLOOKUP(Tableau1[[#This Row],[Code]],$V$3:$Z$157,4,)</f>
        <v>18400</v>
      </c>
      <c r="S304" s="23">
        <f>VLOOKUP(Tableau1[[#This Row],[Code]],$V$3:$Z$157,5,)</f>
        <v>15820</v>
      </c>
    </row>
    <row r="305" spans="1:19" hidden="1" x14ac:dyDescent="0.25">
      <c r="A305" s="13">
        <v>44316</v>
      </c>
      <c r="B305" t="s">
        <v>83</v>
      </c>
      <c r="C305" s="65" t="s">
        <v>88</v>
      </c>
      <c r="D305" t="s">
        <v>66</v>
      </c>
      <c r="E305" s="65">
        <v>5</v>
      </c>
      <c r="F305">
        <v>75</v>
      </c>
      <c r="G305">
        <v>0</v>
      </c>
      <c r="H305">
        <v>0</v>
      </c>
      <c r="I305">
        <v>0</v>
      </c>
      <c r="J305">
        <v>0</v>
      </c>
      <c r="K305" s="23">
        <f>IF(Tableau1[[#This Row],[Quantité (H)]]=0,0,Tableau1[[#This Row],[Gasoil (L)]]/Tableau1[[#This Row],[Quantité (H)]])</f>
        <v>15</v>
      </c>
      <c r="L305" s="23">
        <v>3.5377358490566038</v>
      </c>
      <c r="M305" s="23">
        <v>11474</v>
      </c>
      <c r="N305" s="23">
        <v>11200</v>
      </c>
      <c r="O305" s="23">
        <f>Tableau1[[#This Row],[Productivité]]-Tableau1[[#This Row],[ les Charges]]</f>
        <v>-274</v>
      </c>
      <c r="R305" s="23">
        <f>VLOOKUP(Tableau1[[#This Row],[Code]],$V$3:$Z$157,4,)</f>
        <v>9600</v>
      </c>
      <c r="S305" s="23">
        <f>VLOOKUP(Tableau1[[#This Row],[Code]],$V$3:$Z$157,5,)</f>
        <v>9220</v>
      </c>
    </row>
    <row r="306" spans="1:19" hidden="1" x14ac:dyDescent="0.25">
      <c r="A306" s="13">
        <v>44316</v>
      </c>
      <c r="B306" t="s">
        <v>79</v>
      </c>
      <c r="C306" s="65" t="s">
        <v>88</v>
      </c>
      <c r="D306" t="s">
        <v>66</v>
      </c>
      <c r="E306" s="65">
        <v>0</v>
      </c>
      <c r="F306">
        <v>48</v>
      </c>
      <c r="G306">
        <v>0</v>
      </c>
      <c r="H306">
        <v>0</v>
      </c>
      <c r="I306">
        <v>0</v>
      </c>
      <c r="J306">
        <v>0</v>
      </c>
      <c r="K306" s="23">
        <f>IF(Tableau1[[#This Row],[Quantité (H)]]=0,0,Tableau1[[#This Row],[Gasoil (L)]]/Tableau1[[#This Row],[Quantité (H)]])</f>
        <v>0</v>
      </c>
      <c r="O306" s="23">
        <f>Tableau1[[#This Row],[Productivité]]-Tableau1[[#This Row],[ les Charges]]</f>
        <v>0</v>
      </c>
      <c r="R306" s="23">
        <f>VLOOKUP(Tableau1[[#This Row],[Code]],$V$3:$Z$157,4,)</f>
        <v>9600</v>
      </c>
      <c r="S306" s="23">
        <f>VLOOKUP(Tableau1[[#This Row],[Code]],$V$3:$Z$157,5,)</f>
        <v>9220</v>
      </c>
    </row>
    <row r="307" spans="1:19" hidden="1" x14ac:dyDescent="0.25">
      <c r="A307" s="13">
        <v>44316</v>
      </c>
      <c r="B307" t="s">
        <v>83</v>
      </c>
      <c r="C307" s="65" t="s">
        <v>88</v>
      </c>
      <c r="D307" t="s">
        <v>67</v>
      </c>
      <c r="E307" s="3">
        <v>228</v>
      </c>
      <c r="F307">
        <v>138</v>
      </c>
      <c r="G307">
        <v>0</v>
      </c>
      <c r="H307">
        <v>0</v>
      </c>
      <c r="I307">
        <v>0</v>
      </c>
      <c r="J307">
        <v>0</v>
      </c>
      <c r="K307" s="23">
        <f>IF(Tableau1[[#This Row],[Quantité (H)]]=0,0,Tableau1[[#This Row],[Gasoil (L)]]/Tableau1[[#This Row],[Quantité (H)]])</f>
        <v>0.60526315789473684</v>
      </c>
      <c r="L307" s="23">
        <v>10.44663133989402</v>
      </c>
      <c r="M307" s="23">
        <v>3798.18</v>
      </c>
      <c r="N307" s="23">
        <v>8400</v>
      </c>
      <c r="O307" s="23">
        <f>Tableau1[[#This Row],[Productivité]]-Tableau1[[#This Row],[ les Charges]]</f>
        <v>4601.82</v>
      </c>
      <c r="R307" s="23">
        <f>VLOOKUP(Tableau1[[#This Row],[Code]],$V$3:$Z$157,4,)</f>
        <v>6600</v>
      </c>
      <c r="S307" s="23">
        <f>VLOOKUP(Tableau1[[#This Row],[Code]],$V$3:$Z$157,5,)</f>
        <v>5450</v>
      </c>
    </row>
    <row r="308" spans="1:19" hidden="1" x14ac:dyDescent="0.25">
      <c r="A308" s="13">
        <v>44316</v>
      </c>
      <c r="B308" t="s">
        <v>80</v>
      </c>
      <c r="C308" s="65" t="s">
        <v>88</v>
      </c>
      <c r="D308" t="s">
        <v>69</v>
      </c>
      <c r="E308" s="65">
        <v>232</v>
      </c>
      <c r="F308">
        <v>227</v>
      </c>
      <c r="G308">
        <v>0</v>
      </c>
      <c r="H308">
        <v>0</v>
      </c>
      <c r="I308">
        <v>0</v>
      </c>
      <c r="J308">
        <v>0</v>
      </c>
      <c r="K308" s="23">
        <f>IF(Tableau1[[#This Row],[Quantité (H)]]=0,0,Tableau1[[#This Row],[Gasoil (L)]]/Tableau1[[#This Row],[Quantité (H)]])</f>
        <v>0.97844827586206895</v>
      </c>
      <c r="L308" s="23">
        <v>6.8787878787878789</v>
      </c>
      <c r="M308" s="23">
        <v>2270</v>
      </c>
      <c r="N308" s="23">
        <v>8700</v>
      </c>
      <c r="O308" s="23">
        <f>Tableau1[[#This Row],[Productivité]]-Tableau1[[#This Row],[ les Charges]]</f>
        <v>6430</v>
      </c>
      <c r="R308" s="23">
        <f>VLOOKUP(Tableau1[[#This Row],[Code]],$V$3:$Z$157,4,)</f>
        <v>6900</v>
      </c>
      <c r="S308" s="23">
        <f>VLOOKUP(Tableau1[[#This Row],[Code]],$V$3:$Z$157,5,)</f>
        <v>4130</v>
      </c>
    </row>
    <row r="309" spans="1:19" hidden="1" x14ac:dyDescent="0.25">
      <c r="A309" s="13">
        <v>44316</v>
      </c>
      <c r="B309" t="s">
        <v>80</v>
      </c>
      <c r="C309" s="65" t="s">
        <v>88</v>
      </c>
      <c r="D309" t="s">
        <v>70</v>
      </c>
      <c r="E309" s="3">
        <v>83</v>
      </c>
      <c r="F309">
        <v>99</v>
      </c>
      <c r="G309">
        <v>0</v>
      </c>
      <c r="H309">
        <v>0</v>
      </c>
      <c r="I309">
        <v>0</v>
      </c>
      <c r="J309">
        <v>0</v>
      </c>
      <c r="K309" s="23">
        <f>IF(Tableau1[[#This Row],[Quantité (H)]]=0,0,Tableau1[[#This Row],[Gasoil (L)]]/Tableau1[[#This Row],[Quantité (H)]])</f>
        <v>1.1927710843373494</v>
      </c>
      <c r="L309" s="23">
        <v>12.708600770218229</v>
      </c>
      <c r="M309" s="23">
        <v>2800</v>
      </c>
      <c r="N309" s="23">
        <v>0</v>
      </c>
      <c r="O309" s="23">
        <f>Tableau1[[#This Row],[Productivité]]-Tableau1[[#This Row],[ les Charges]]</f>
        <v>-2800</v>
      </c>
      <c r="R309" s="23">
        <f>VLOOKUP(Tableau1[[#This Row],[Code]],$V$3:$Z$157,4,)</f>
        <v>7500</v>
      </c>
      <c r="S309" s="23">
        <f>VLOOKUP(Tableau1[[#This Row],[Code]],$V$3:$Z$157,5,)</f>
        <v>5500</v>
      </c>
    </row>
    <row r="310" spans="1:19" hidden="1" x14ac:dyDescent="0.25">
      <c r="A310" s="13">
        <v>44316</v>
      </c>
      <c r="B310" t="s">
        <v>84</v>
      </c>
      <c r="C310" s="65" t="s">
        <v>88</v>
      </c>
      <c r="D310" t="s">
        <v>70</v>
      </c>
      <c r="E310" s="3">
        <v>24</v>
      </c>
      <c r="F310">
        <v>222</v>
      </c>
      <c r="G310">
        <v>0</v>
      </c>
      <c r="H310">
        <v>0</v>
      </c>
      <c r="I310">
        <v>0</v>
      </c>
      <c r="J310">
        <v>0</v>
      </c>
      <c r="K310" s="23">
        <f>IF(Tableau1[[#This Row],[Quantité (H)]]=0,0,Tableau1[[#This Row],[Gasoil (L)]]/Tableau1[[#This Row],[Quantité (H)]])</f>
        <v>9.25</v>
      </c>
      <c r="L310" s="23">
        <v>6.3014476298609141</v>
      </c>
      <c r="O310" s="23">
        <f>Tableau1[[#This Row],[Productivité]]-Tableau1[[#This Row],[ les Charges]]</f>
        <v>0</v>
      </c>
      <c r="R310" s="23">
        <f>VLOOKUP(Tableau1[[#This Row],[Code]],$V$3:$Z$157,4,)</f>
        <v>7500</v>
      </c>
      <c r="S310" s="23">
        <f>VLOOKUP(Tableau1[[#This Row],[Code]],$V$3:$Z$157,5,)</f>
        <v>5500</v>
      </c>
    </row>
    <row r="311" spans="1:19" hidden="1" x14ac:dyDescent="0.25">
      <c r="A311" s="13">
        <v>44316</v>
      </c>
      <c r="B311" t="s">
        <v>83</v>
      </c>
      <c r="C311" s="65" t="s">
        <v>88</v>
      </c>
      <c r="D311" t="s">
        <v>71</v>
      </c>
      <c r="E311" s="3">
        <v>8</v>
      </c>
      <c r="F311">
        <v>51</v>
      </c>
      <c r="G311">
        <v>0</v>
      </c>
      <c r="H311">
        <v>0</v>
      </c>
      <c r="I311">
        <v>0</v>
      </c>
      <c r="J311">
        <v>0</v>
      </c>
      <c r="K311" s="23">
        <f>IF(Tableau1[[#This Row],[Quantité (H)]]=0,0,Tableau1[[#This Row],[Gasoil (L)]]/Tableau1[[#This Row],[Quantité (H)]])</f>
        <v>6.375</v>
      </c>
      <c r="O311" s="23">
        <f>Tableau1[[#This Row],[Productivité]]-Tableau1[[#This Row],[ les Charges]]</f>
        <v>0</v>
      </c>
      <c r="R311" s="23">
        <f>VLOOKUP(Tableau1[[#This Row],[Code]],$V$3:$Z$157,4,)</f>
        <v>7200</v>
      </c>
      <c r="S311" s="23">
        <f>VLOOKUP(Tableau1[[#This Row],[Code]],$V$3:$Z$157,5,)</f>
        <v>3820</v>
      </c>
    </row>
    <row r="312" spans="1:19" hidden="1" x14ac:dyDescent="0.25">
      <c r="A312" s="13">
        <v>44316</v>
      </c>
      <c r="B312" t="s">
        <v>80</v>
      </c>
      <c r="C312" t="s">
        <v>88</v>
      </c>
      <c r="D312" t="s">
        <v>71</v>
      </c>
      <c r="E312" s="3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 s="23">
        <f>IF(Tableau1[[#This Row],[Quantité (H)]]=0,0,Tableau1[[#This Row],[Gasoil (L)]]/Tableau1[[#This Row],[Quantité (H)]])</f>
        <v>0</v>
      </c>
      <c r="O312" s="23">
        <f>Tableau1[[#This Row],[Productivité]]-Tableau1[[#This Row],[ les Charges]]</f>
        <v>0</v>
      </c>
      <c r="R312" s="23">
        <f>VLOOKUP(Tableau1[[#This Row],[Code]],$V$3:$Z$157,4,)</f>
        <v>7200</v>
      </c>
      <c r="S312" s="23">
        <f>VLOOKUP(Tableau1[[#This Row],[Code]],$V$3:$Z$157,5,)</f>
        <v>3820</v>
      </c>
    </row>
    <row r="313" spans="1:19" hidden="1" x14ac:dyDescent="0.25">
      <c r="A313" s="13">
        <v>44316</v>
      </c>
      <c r="B313" t="s">
        <v>116</v>
      </c>
      <c r="C313" t="s">
        <v>88</v>
      </c>
      <c r="D313" t="s">
        <v>71</v>
      </c>
      <c r="E313" s="3">
        <v>83</v>
      </c>
      <c r="F313">
        <v>175</v>
      </c>
      <c r="G313">
        <v>0</v>
      </c>
      <c r="H313">
        <v>0</v>
      </c>
      <c r="I313">
        <v>0</v>
      </c>
      <c r="J313">
        <v>0</v>
      </c>
      <c r="K313" s="23">
        <f>IF(Tableau1[[#This Row],[Quantité (H)]]=0,0,Tableau1[[#This Row],[Gasoil (L)]]/Tableau1[[#This Row],[Quantité (H)]])</f>
        <v>2.1084337349397591</v>
      </c>
      <c r="L313" s="23">
        <v>7.1633237822349569</v>
      </c>
      <c r="M313" s="23">
        <v>2260</v>
      </c>
      <c r="N313" s="23">
        <v>9000</v>
      </c>
      <c r="O313" s="23">
        <f>Tableau1[[#This Row],[Productivité]]-Tableau1[[#This Row],[ les Charges]]</f>
        <v>6740</v>
      </c>
      <c r="R313" s="23">
        <f>VLOOKUP(Tableau1[[#This Row],[Code]],$V$3:$Z$157,4,)</f>
        <v>7200</v>
      </c>
      <c r="S313" s="23">
        <f>VLOOKUP(Tableau1[[#This Row],[Code]],$V$3:$Z$157,5,)</f>
        <v>3820</v>
      </c>
    </row>
    <row r="314" spans="1:19" hidden="1" x14ac:dyDescent="0.25">
      <c r="A314" s="13">
        <v>44316</v>
      </c>
      <c r="B314" t="s">
        <v>80</v>
      </c>
      <c r="C314" t="s">
        <v>88</v>
      </c>
      <c r="D314" t="s">
        <v>72</v>
      </c>
      <c r="E314" s="3">
        <v>0</v>
      </c>
      <c r="F314">
        <v>63</v>
      </c>
      <c r="G314">
        <v>0</v>
      </c>
      <c r="H314">
        <v>0</v>
      </c>
      <c r="I314">
        <v>0</v>
      </c>
      <c r="J314">
        <v>0</v>
      </c>
      <c r="K314" s="23">
        <f>IF(Tableau1[[#This Row],[Quantité (H)]]=0,0,Tableau1[[#This Row],[Gasoil (L)]]/Tableau1[[#This Row],[Quantité (H)]])</f>
        <v>0</v>
      </c>
      <c r="O314" s="23">
        <f>Tableau1[[#This Row],[Productivité]]-Tableau1[[#This Row],[ les Charges]]</f>
        <v>0</v>
      </c>
      <c r="R314" s="23">
        <f>VLOOKUP(Tableau1[[#This Row],[Code]],$V$3:$Z$157,4,)</f>
        <v>7500</v>
      </c>
      <c r="S314" s="23">
        <f>VLOOKUP(Tableau1[[#This Row],[Code]],$V$3:$Z$157,5,)</f>
        <v>4062</v>
      </c>
    </row>
    <row r="315" spans="1:19" hidden="1" x14ac:dyDescent="0.25">
      <c r="A315" s="13">
        <v>44316</v>
      </c>
      <c r="B315" t="s">
        <v>84</v>
      </c>
      <c r="C315" s="65" t="s">
        <v>88</v>
      </c>
      <c r="D315" t="s">
        <v>72</v>
      </c>
      <c r="E315" s="3">
        <v>16</v>
      </c>
      <c r="F315">
        <v>308</v>
      </c>
      <c r="G315">
        <v>0</v>
      </c>
      <c r="H315">
        <v>0</v>
      </c>
      <c r="I315">
        <v>0</v>
      </c>
      <c r="J315">
        <v>0</v>
      </c>
      <c r="K315" s="23">
        <f>IF(Tableau1[[#This Row],[Quantité (H)]]=0,0,Tableau1[[#This Row],[Gasoil (L)]]/Tableau1[[#This Row],[Quantité (H)]])</f>
        <v>19.25</v>
      </c>
      <c r="L315" s="23">
        <v>5.0335022062428498</v>
      </c>
      <c r="M315" s="23">
        <v>3710</v>
      </c>
      <c r="N315" s="23">
        <v>8100</v>
      </c>
      <c r="O315" s="23">
        <f>Tableau1[[#This Row],[Productivité]]-Tableau1[[#This Row],[ les Charges]]</f>
        <v>4390</v>
      </c>
      <c r="R315" s="23">
        <f>VLOOKUP(Tableau1[[#This Row],[Code]],$V$3:$Z$157,4,)</f>
        <v>7500</v>
      </c>
      <c r="S315" s="23">
        <f>VLOOKUP(Tableau1[[#This Row],[Code]],$V$3:$Z$157,5,)</f>
        <v>4062</v>
      </c>
    </row>
    <row r="316" spans="1:19" hidden="1" x14ac:dyDescent="0.25">
      <c r="A316" s="13">
        <v>44316</v>
      </c>
      <c r="B316" t="s">
        <v>84</v>
      </c>
      <c r="C316" t="s">
        <v>88</v>
      </c>
      <c r="D316" t="s">
        <v>73</v>
      </c>
      <c r="E316" s="3">
        <v>0</v>
      </c>
      <c r="F316">
        <v>20</v>
      </c>
      <c r="G316">
        <v>0</v>
      </c>
      <c r="H316">
        <v>0</v>
      </c>
      <c r="I316">
        <v>0</v>
      </c>
      <c r="J316">
        <v>0</v>
      </c>
      <c r="K316" s="23">
        <f>IF(Tableau1[[#This Row],[Quantité (H)]]=0,0,Tableau1[[#This Row],[Gasoil (L)]]/Tableau1[[#This Row],[Quantité (H)]])</f>
        <v>0</v>
      </c>
      <c r="O316" s="23">
        <f>Tableau1[[#This Row],[Productivité]]-Tableau1[[#This Row],[ les Charges]]</f>
        <v>0</v>
      </c>
      <c r="R316" s="23">
        <f>VLOOKUP(Tableau1[[#This Row],[Code]],$V$3:$Z$157,4,)</f>
        <v>6000</v>
      </c>
      <c r="S316" s="23">
        <f>VLOOKUP(Tableau1[[#This Row],[Code]],$V$3:$Z$157,5,)</f>
        <v>4008</v>
      </c>
    </row>
    <row r="317" spans="1:19" hidden="1" x14ac:dyDescent="0.25">
      <c r="A317" s="13">
        <v>44316</v>
      </c>
      <c r="B317" t="s">
        <v>79</v>
      </c>
      <c r="C317" s="65" t="s">
        <v>88</v>
      </c>
      <c r="D317" t="s">
        <v>73</v>
      </c>
      <c r="E317" s="3">
        <v>188</v>
      </c>
      <c r="F317">
        <v>173.17000000000002</v>
      </c>
      <c r="G317">
        <v>0</v>
      </c>
      <c r="H317">
        <v>0</v>
      </c>
      <c r="I317">
        <v>0</v>
      </c>
      <c r="J317">
        <v>0</v>
      </c>
      <c r="K317" s="23">
        <f>IF(Tableau1[[#This Row],[Quantité (H)]]=0,0,Tableau1[[#This Row],[Gasoil (L)]]/Tableau1[[#This Row],[Quantité (H)]])</f>
        <v>0.92111702127659578</v>
      </c>
      <c r="L317" s="23">
        <v>29.089534688392419</v>
      </c>
      <c r="M317" s="23">
        <v>1932</v>
      </c>
      <c r="N317" s="23">
        <v>7200</v>
      </c>
      <c r="O317" s="23">
        <f>Tableau1[[#This Row],[Productivité]]-Tableau1[[#This Row],[ les Charges]]</f>
        <v>5268</v>
      </c>
      <c r="R317" s="23">
        <f>VLOOKUP(Tableau1[[#This Row],[Code]],$V$3:$Z$157,4,)</f>
        <v>6000</v>
      </c>
      <c r="S317" s="23">
        <f>VLOOKUP(Tableau1[[#This Row],[Code]],$V$3:$Z$157,5,)</f>
        <v>4008</v>
      </c>
    </row>
    <row r="318" spans="1:19" hidden="1" x14ac:dyDescent="0.25">
      <c r="A318" s="13">
        <v>44316</v>
      </c>
      <c r="B318" t="s">
        <v>116</v>
      </c>
      <c r="C318" s="65" t="s">
        <v>88</v>
      </c>
      <c r="D318" t="s">
        <v>74</v>
      </c>
      <c r="E318" s="65">
        <v>61</v>
      </c>
      <c r="F318">
        <v>35</v>
      </c>
      <c r="G318">
        <v>0</v>
      </c>
      <c r="H318">
        <v>0</v>
      </c>
      <c r="I318">
        <v>0</v>
      </c>
      <c r="J318">
        <v>0</v>
      </c>
      <c r="K318" s="23">
        <f>IF(Tableau1[[#This Row],[Quantité (H)]]=0,0,Tableau1[[#This Row],[Gasoil (L)]]/Tableau1[[#This Row],[Quantité (H)]])</f>
        <v>0.57377049180327866</v>
      </c>
      <c r="O318" s="23">
        <f>Tableau1[[#This Row],[Productivité]]-Tableau1[[#This Row],[ les Charges]]</f>
        <v>0</v>
      </c>
      <c r="R318" s="23">
        <f>VLOOKUP(Tableau1[[#This Row],[Code]],$V$3:$Z$157,4,)</f>
        <v>6600</v>
      </c>
      <c r="S318" s="23">
        <f>VLOOKUP(Tableau1[[#This Row],[Code]],$V$3:$Z$157,5,)</f>
        <v>4820</v>
      </c>
    </row>
    <row r="319" spans="1:19" hidden="1" x14ac:dyDescent="0.25">
      <c r="A319" s="13">
        <v>44316</v>
      </c>
      <c r="B319" t="s">
        <v>84</v>
      </c>
      <c r="C319" s="65" t="s">
        <v>88</v>
      </c>
      <c r="D319" t="s">
        <v>74</v>
      </c>
      <c r="E319" s="65">
        <v>56</v>
      </c>
      <c r="F319">
        <v>37</v>
      </c>
      <c r="G319">
        <v>0</v>
      </c>
      <c r="H319">
        <v>0</v>
      </c>
      <c r="I319">
        <v>0</v>
      </c>
      <c r="J319">
        <v>0</v>
      </c>
      <c r="K319" s="23">
        <f>IF(Tableau1[[#This Row],[Quantité (H)]]=0,0,Tableau1[[#This Row],[Gasoil (L)]]/Tableau1[[#This Row],[Quantité (H)]])</f>
        <v>0.6607142857142857</v>
      </c>
      <c r="O319" s="23">
        <f>Tableau1[[#This Row],[Productivité]]-Tableau1[[#This Row],[ les Charges]]</f>
        <v>0</v>
      </c>
      <c r="R319" s="23">
        <f>VLOOKUP(Tableau1[[#This Row],[Code]],$V$3:$Z$157,4,)</f>
        <v>6600</v>
      </c>
      <c r="S319" s="23">
        <f>VLOOKUP(Tableau1[[#This Row],[Code]],$V$3:$Z$157,5,)</f>
        <v>4820</v>
      </c>
    </row>
    <row r="320" spans="1:19" hidden="1" x14ac:dyDescent="0.25">
      <c r="A320" s="13">
        <v>44316</v>
      </c>
      <c r="B320" t="s">
        <v>83</v>
      </c>
      <c r="C320" s="65" t="s">
        <v>88</v>
      </c>
      <c r="D320" t="s">
        <v>74</v>
      </c>
      <c r="E320" s="3">
        <v>87</v>
      </c>
      <c r="F320">
        <v>143</v>
      </c>
      <c r="G320">
        <v>0</v>
      </c>
      <c r="H320">
        <v>0</v>
      </c>
      <c r="I320">
        <v>0</v>
      </c>
      <c r="J320">
        <v>0</v>
      </c>
      <c r="K320" s="23">
        <f>IF(Tableau1[[#This Row],[Quantité (H)]]=0,0,Tableau1[[#This Row],[Gasoil (L)]]/Tableau1[[#This Row],[Quantité (H)]])</f>
        <v>1.6436781609195403</v>
      </c>
      <c r="O320" s="23">
        <f>Tableau1[[#This Row],[Productivité]]-Tableau1[[#This Row],[ les Charges]]</f>
        <v>0</v>
      </c>
      <c r="R320" s="23">
        <f>VLOOKUP(Tableau1[[#This Row],[Code]],$V$3:$Z$157,4,)</f>
        <v>6600</v>
      </c>
      <c r="S320" s="23">
        <f>VLOOKUP(Tableau1[[#This Row],[Code]],$V$3:$Z$157,5,)</f>
        <v>4820</v>
      </c>
    </row>
    <row r="321" spans="1:19" hidden="1" x14ac:dyDescent="0.25">
      <c r="A321" s="13">
        <v>44316</v>
      </c>
      <c r="B321" t="s">
        <v>80</v>
      </c>
      <c r="C321" s="65" t="s">
        <v>88</v>
      </c>
      <c r="D321" t="s">
        <v>75</v>
      </c>
      <c r="E321" s="65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 s="23">
        <f>IF(Tableau1[[#This Row],[Quantité (H)]]=0,0,Tableau1[[#This Row],[Gasoil (L)]]/Tableau1[[#This Row],[Quantité (H)]])</f>
        <v>0</v>
      </c>
      <c r="O321" s="23">
        <f>Tableau1[[#This Row],[Productivité]]-Tableau1[[#This Row],[ les Charges]]</f>
        <v>0</v>
      </c>
      <c r="R321" s="23">
        <f>VLOOKUP(Tableau1[[#This Row],[Code]],$V$3:$Z$157,4,)</f>
        <v>6600</v>
      </c>
      <c r="S321" s="23">
        <f>VLOOKUP(Tableau1[[#This Row],[Code]],$V$3:$Z$157,5,)</f>
        <v>4470</v>
      </c>
    </row>
    <row r="322" spans="1:19" hidden="1" x14ac:dyDescent="0.25">
      <c r="A322" s="13">
        <v>44316</v>
      </c>
      <c r="B322" t="s">
        <v>84</v>
      </c>
      <c r="C322" s="65" t="s">
        <v>88</v>
      </c>
      <c r="D322" t="s">
        <v>75</v>
      </c>
      <c r="E322" s="3">
        <v>236</v>
      </c>
      <c r="F322">
        <v>170</v>
      </c>
      <c r="G322">
        <v>0</v>
      </c>
      <c r="H322">
        <v>0</v>
      </c>
      <c r="I322">
        <v>0</v>
      </c>
      <c r="J322">
        <v>0</v>
      </c>
      <c r="K322" s="23">
        <f>IF(Tableau1[[#This Row],[Quantité (H)]]=0,0,Tableau1[[#This Row],[Gasoil (L)]]/Tableau1[[#This Row],[Quantité (H)]])</f>
        <v>0.72033898305084743</v>
      </c>
      <c r="L322" s="23">
        <v>8.6558044806517316</v>
      </c>
      <c r="M322" s="23">
        <v>2691.66</v>
      </c>
      <c r="N322" s="23">
        <v>17400</v>
      </c>
      <c r="O322" s="23">
        <f>Tableau1[[#This Row],[Productivité]]-Tableau1[[#This Row],[ les Charges]]</f>
        <v>14708.34</v>
      </c>
      <c r="R322" s="23">
        <f>VLOOKUP(Tableau1[[#This Row],[Code]],$V$3:$Z$157,4,)</f>
        <v>6600</v>
      </c>
      <c r="S322" s="23">
        <f>VLOOKUP(Tableau1[[#This Row],[Code]],$V$3:$Z$157,5,)</f>
        <v>4470</v>
      </c>
    </row>
    <row r="323" spans="1:19" hidden="1" x14ac:dyDescent="0.25">
      <c r="A323" s="13">
        <v>44316</v>
      </c>
      <c r="B323" t="s">
        <v>80</v>
      </c>
      <c r="C323" s="65" t="s">
        <v>88</v>
      </c>
      <c r="D323" t="s">
        <v>76</v>
      </c>
      <c r="E323" s="3">
        <v>224</v>
      </c>
      <c r="F323">
        <v>141</v>
      </c>
      <c r="G323">
        <v>0</v>
      </c>
      <c r="H323">
        <v>0</v>
      </c>
      <c r="I323">
        <v>0</v>
      </c>
      <c r="J323">
        <v>0</v>
      </c>
      <c r="K323" s="23">
        <f>IF(Tableau1[[#This Row],[Quantité (H)]]=0,0,Tableau1[[#This Row],[Gasoil (L)]]/Tableau1[[#This Row],[Quantité (H)]])</f>
        <v>0.6294642857142857</v>
      </c>
      <c r="L323" s="23">
        <v>8.89589905362776</v>
      </c>
      <c r="M323" s="23">
        <v>1410</v>
      </c>
      <c r="N323" s="23">
        <v>9000</v>
      </c>
      <c r="O323" s="23">
        <f>Tableau1[[#This Row],[Productivité]]-Tableau1[[#This Row],[ les Charges]]</f>
        <v>7590</v>
      </c>
      <c r="R323" s="23">
        <f>VLOOKUP(Tableau1[[#This Row],[Code]],$V$3:$Z$157,4,)</f>
        <v>7500</v>
      </c>
      <c r="S323" s="23">
        <f>VLOOKUP(Tableau1[[#This Row],[Code]],$V$3:$Z$157,5,)</f>
        <v>5560</v>
      </c>
    </row>
    <row r="324" spans="1:19" hidden="1" x14ac:dyDescent="0.25">
      <c r="A324" s="13">
        <v>44316</v>
      </c>
      <c r="B324" t="s">
        <v>84</v>
      </c>
      <c r="C324" s="65" t="s">
        <v>88</v>
      </c>
      <c r="D324" t="s">
        <v>77</v>
      </c>
      <c r="E324" s="3">
        <v>97</v>
      </c>
      <c r="F324">
        <v>72</v>
      </c>
      <c r="G324">
        <v>0</v>
      </c>
      <c r="H324">
        <v>0</v>
      </c>
      <c r="I324">
        <v>0</v>
      </c>
      <c r="J324">
        <v>0</v>
      </c>
      <c r="K324" s="23">
        <f>IF(Tableau1[[#This Row],[Quantité (H)]]=0,0,Tableau1[[#This Row],[Gasoil (L)]]/Tableau1[[#This Row],[Quantité (H)]])</f>
        <v>0.74226804123711343</v>
      </c>
      <c r="L324" s="23">
        <v>9.7560975609756095</v>
      </c>
      <c r="O324" s="23">
        <f>Tableau1[[#This Row],[Productivité]]-Tableau1[[#This Row],[ les Charges]]</f>
        <v>0</v>
      </c>
      <c r="R324" s="23">
        <f>VLOOKUP(Tableau1[[#This Row],[Code]],$V$3:$Z$157,4,)</f>
        <v>6300</v>
      </c>
      <c r="S324" s="23">
        <f>VLOOKUP(Tableau1[[#This Row],[Code]],$V$3:$Z$157,5,)</f>
        <v>5000</v>
      </c>
    </row>
    <row r="325" spans="1:19" hidden="1" x14ac:dyDescent="0.25">
      <c r="A325" s="13">
        <v>44316</v>
      </c>
      <c r="B325" t="s">
        <v>80</v>
      </c>
      <c r="C325" s="65" t="s">
        <v>88</v>
      </c>
      <c r="D325" t="s">
        <v>77</v>
      </c>
      <c r="E325" s="65">
        <v>112</v>
      </c>
      <c r="F325">
        <v>37</v>
      </c>
      <c r="G325">
        <v>0</v>
      </c>
      <c r="H325">
        <v>0</v>
      </c>
      <c r="I325">
        <v>0</v>
      </c>
      <c r="J325">
        <v>0</v>
      </c>
      <c r="K325" s="23">
        <f>IF(Tableau1[[#This Row],[Quantité (H)]]=0,0,Tableau1[[#This Row],[Gasoil (L)]]/Tableau1[[#This Row],[Quantité (H)]])</f>
        <v>0.33035714285714285</v>
      </c>
      <c r="M325" s="23">
        <v>3508.18</v>
      </c>
      <c r="N325" s="23">
        <v>7800</v>
      </c>
      <c r="O325" s="23">
        <f>Tableau1[[#This Row],[Productivité]]-Tableau1[[#This Row],[ les Charges]]</f>
        <v>4291.82</v>
      </c>
      <c r="R325" s="23">
        <f>VLOOKUP(Tableau1[[#This Row],[Code]],$V$3:$Z$157,4,)</f>
        <v>6300</v>
      </c>
      <c r="S325" s="23">
        <f>VLOOKUP(Tableau1[[#This Row],[Code]],$V$3:$Z$157,5,)</f>
        <v>5000</v>
      </c>
    </row>
    <row r="326" spans="1:19" hidden="1" x14ac:dyDescent="0.25">
      <c r="A326" s="13">
        <v>44316</v>
      </c>
      <c r="B326" t="s">
        <v>116</v>
      </c>
      <c r="C326" s="65" t="s">
        <v>88</v>
      </c>
      <c r="D326" t="s">
        <v>78</v>
      </c>
      <c r="E326" s="3">
        <v>216</v>
      </c>
      <c r="F326">
        <v>302</v>
      </c>
      <c r="G326">
        <v>0</v>
      </c>
      <c r="H326">
        <v>0</v>
      </c>
      <c r="I326">
        <v>0</v>
      </c>
      <c r="J326">
        <v>0</v>
      </c>
      <c r="K326" s="23">
        <f>IF(Tableau1[[#This Row],[Quantité (H)]]=0,0,Tableau1[[#This Row],[Gasoil (L)]]/Tableau1[[#This Row],[Quantité (H)]])</f>
        <v>1.3981481481481481</v>
      </c>
      <c r="L326" s="23">
        <v>8.8020985135529006</v>
      </c>
      <c r="M326" s="23">
        <v>5438.18</v>
      </c>
      <c r="N326" s="23">
        <v>7800</v>
      </c>
      <c r="O326" s="23">
        <f>Tableau1[[#This Row],[Productivité]]-Tableau1[[#This Row],[ les Charges]]</f>
        <v>2361.8199999999997</v>
      </c>
      <c r="R326" s="23">
        <f>VLOOKUP(Tableau1[[#This Row],[Code]],$V$3:$Z$157,4,)</f>
        <v>6600</v>
      </c>
      <c r="S326" s="23">
        <f>VLOOKUP(Tableau1[[#This Row],[Code]],$V$3:$Z$157,5,)</f>
        <v>4140</v>
      </c>
    </row>
    <row r="327" spans="1:19" hidden="1" x14ac:dyDescent="0.25">
      <c r="A327" s="13">
        <v>44347</v>
      </c>
      <c r="B327" t="s">
        <v>80</v>
      </c>
      <c r="C327" s="65" t="s">
        <v>92</v>
      </c>
      <c r="D327" t="s">
        <v>31</v>
      </c>
      <c r="E327" s="3">
        <v>0</v>
      </c>
      <c r="F327">
        <v>55</v>
      </c>
      <c r="G327">
        <v>0</v>
      </c>
      <c r="H327">
        <v>0</v>
      </c>
      <c r="I327">
        <v>5</v>
      </c>
      <c r="J327">
        <v>0</v>
      </c>
      <c r="K327" s="23">
        <f>IF(Tableau1[[#This Row],[Quantité (H)]]=0,0,Tableau1[[#This Row],[Gasoil (L)]]/Tableau1[[#This Row],[Quantité (H)]])</f>
        <v>0</v>
      </c>
      <c r="M327" s="23">
        <v>725</v>
      </c>
      <c r="N327" s="23">
        <v>800</v>
      </c>
      <c r="O327" s="23">
        <f>Tableau1[[#This Row],[Productivité]]-Tableau1[[#This Row],[ les Charges]]</f>
        <v>75</v>
      </c>
      <c r="R327" s="23">
        <f>VLOOKUP(Tableau1[[#This Row],[Code]],$V$3:$Z$157,4,)</f>
        <v>800</v>
      </c>
      <c r="S327" s="23">
        <f>VLOOKUP(Tableau1[[#This Row],[Code]],$V$3:$Z$157,5,)</f>
        <v>75</v>
      </c>
    </row>
    <row r="328" spans="1:19" hidden="1" x14ac:dyDescent="0.25">
      <c r="A328" s="13">
        <v>44347</v>
      </c>
      <c r="B328" t="s">
        <v>80</v>
      </c>
      <c r="C328" s="65" t="s">
        <v>40</v>
      </c>
      <c r="D328" t="s">
        <v>16</v>
      </c>
      <c r="E328" s="65">
        <v>30</v>
      </c>
      <c r="F328">
        <v>456</v>
      </c>
      <c r="G328">
        <v>0</v>
      </c>
      <c r="H328">
        <v>0</v>
      </c>
      <c r="I328">
        <v>6</v>
      </c>
      <c r="J328">
        <v>0</v>
      </c>
      <c r="K328" s="23">
        <f>IF(Tableau1[[#This Row],[Quantité (H)]]=0,0,Tableau1[[#This Row],[Gasoil (L)]]/Tableau1[[#This Row],[Quantité (H)]])</f>
        <v>15.2</v>
      </c>
      <c r="M328" s="23">
        <v>9961.66</v>
      </c>
      <c r="N328" s="23">
        <v>14800</v>
      </c>
      <c r="O328" s="23">
        <f>Tableau1[[#This Row],[Productivité]]-Tableau1[[#This Row],[ les Charges]]</f>
        <v>4838.34</v>
      </c>
      <c r="R328" s="23">
        <f>VLOOKUP(Tableau1[[#This Row],[Code]],$V$3:$Z$157,4,)</f>
        <v>14800</v>
      </c>
      <c r="S328" s="23">
        <f>VLOOKUP(Tableau1[[#This Row],[Code]],$V$3:$Z$157,5,)</f>
        <v>4838.34</v>
      </c>
    </row>
    <row r="329" spans="1:19" hidden="1" x14ac:dyDescent="0.25">
      <c r="A329" s="13">
        <v>44347</v>
      </c>
      <c r="B329" t="s">
        <v>83</v>
      </c>
      <c r="C329" s="65" t="s">
        <v>40</v>
      </c>
      <c r="D329" t="s">
        <v>17</v>
      </c>
      <c r="E329" s="65">
        <v>57</v>
      </c>
      <c r="F329">
        <v>393</v>
      </c>
      <c r="G329">
        <v>10</v>
      </c>
      <c r="H329">
        <v>0</v>
      </c>
      <c r="I329">
        <v>0</v>
      </c>
      <c r="J329">
        <v>0</v>
      </c>
      <c r="K329" s="23">
        <f>IF(Tableau1[[#This Row],[Quantité (H)]]=0,0,Tableau1[[#This Row],[Gasoil (L)]]/Tableau1[[#This Row],[Quantité (H)]])</f>
        <v>6.8947368421052628</v>
      </c>
      <c r="M329" s="23">
        <v>4330</v>
      </c>
      <c r="N329" s="23">
        <v>11400</v>
      </c>
      <c r="O329" s="23">
        <f>Tableau1[[#This Row],[Productivité]]-Tableau1[[#This Row],[ les Charges]]</f>
        <v>7070</v>
      </c>
      <c r="R329" s="23">
        <f>VLOOKUP(Tableau1[[#This Row],[Code]],$V$3:$Z$157,4,)</f>
        <v>11400</v>
      </c>
      <c r="S329" s="23">
        <f>VLOOKUP(Tableau1[[#This Row],[Code]],$V$3:$Z$157,5,)</f>
        <v>7070</v>
      </c>
    </row>
    <row r="330" spans="1:19" hidden="1" x14ac:dyDescent="0.25">
      <c r="A330" s="13">
        <v>44347</v>
      </c>
      <c r="B330" t="s">
        <v>80</v>
      </c>
      <c r="C330" s="65" t="s">
        <v>40</v>
      </c>
      <c r="D330" t="s">
        <v>18</v>
      </c>
      <c r="E330" s="65">
        <v>41</v>
      </c>
      <c r="F330">
        <v>261</v>
      </c>
      <c r="G330">
        <v>5</v>
      </c>
      <c r="H330">
        <v>0</v>
      </c>
      <c r="I330">
        <v>0</v>
      </c>
      <c r="J330">
        <v>0</v>
      </c>
      <c r="K330" s="23">
        <f>IF(Tableau1[[#This Row],[Quantité (H)]]=0,0,Tableau1[[#This Row],[Gasoil (L)]]/Tableau1[[#This Row],[Quantité (H)]])</f>
        <v>6.3658536585365857</v>
      </c>
      <c r="M330" s="23">
        <v>3130</v>
      </c>
      <c r="N330" s="23">
        <v>12300</v>
      </c>
      <c r="O330" s="23">
        <f>Tableau1[[#This Row],[Productivité]]-Tableau1[[#This Row],[ les Charges]]</f>
        <v>9170</v>
      </c>
      <c r="R330" s="23">
        <f>VLOOKUP(Tableau1[[#This Row],[Code]],$V$3:$Z$157,4,)</f>
        <v>12300</v>
      </c>
      <c r="S330" s="23">
        <f>VLOOKUP(Tableau1[[#This Row],[Code]],$V$3:$Z$157,5,)</f>
        <v>9170</v>
      </c>
    </row>
    <row r="331" spans="1:19" hidden="1" x14ac:dyDescent="0.25">
      <c r="A331" s="13">
        <v>44347</v>
      </c>
      <c r="B331" t="s">
        <v>116</v>
      </c>
      <c r="C331" s="65" t="s">
        <v>40</v>
      </c>
      <c r="D331" t="s">
        <v>19</v>
      </c>
      <c r="E331" s="65">
        <v>56</v>
      </c>
      <c r="F331">
        <v>505</v>
      </c>
      <c r="G331">
        <v>10</v>
      </c>
      <c r="H331">
        <v>0</v>
      </c>
      <c r="I331">
        <v>5</v>
      </c>
      <c r="J331">
        <v>2</v>
      </c>
      <c r="K331" s="23">
        <f>IF(Tableau1[[#This Row],[Quantité (H)]]=0,0,Tableau1[[#This Row],[Gasoil (L)]]/Tableau1[[#This Row],[Quantité (H)]])</f>
        <v>9.0178571428571423</v>
      </c>
      <c r="M331" s="23">
        <v>5695</v>
      </c>
      <c r="N331" s="23">
        <v>11200</v>
      </c>
      <c r="O331" s="23">
        <f>Tableau1[[#This Row],[Productivité]]-Tableau1[[#This Row],[ les Charges]]</f>
        <v>5505</v>
      </c>
      <c r="R331" s="23">
        <f>VLOOKUP(Tableau1[[#This Row],[Code]],$V$3:$Z$157,4,)</f>
        <v>11200</v>
      </c>
      <c r="S331" s="23">
        <f>VLOOKUP(Tableau1[[#This Row],[Code]],$V$3:$Z$157,5,)</f>
        <v>5505</v>
      </c>
    </row>
    <row r="332" spans="1:19" hidden="1" x14ac:dyDescent="0.25">
      <c r="A332" s="13">
        <v>44347</v>
      </c>
      <c r="B332" t="s">
        <v>116</v>
      </c>
      <c r="C332" s="65" t="s">
        <v>85</v>
      </c>
      <c r="D332" t="s">
        <v>44</v>
      </c>
      <c r="E332" s="3">
        <v>165.5</v>
      </c>
      <c r="F332">
        <v>984</v>
      </c>
      <c r="G332">
        <v>0</v>
      </c>
      <c r="H332">
        <v>0</v>
      </c>
      <c r="I332">
        <v>0</v>
      </c>
      <c r="J332">
        <v>0</v>
      </c>
      <c r="K332" s="23">
        <f>IF(Tableau1[[#This Row],[Quantité (H)]]=0,0,Tableau1[[#This Row],[Gasoil (L)]]/Tableau1[[#This Row],[Quantité (H)]])</f>
        <v>5.9456193353474323</v>
      </c>
      <c r="L332" s="23">
        <v>121.48148148148148</v>
      </c>
      <c r="M332" s="23">
        <v>9840</v>
      </c>
      <c r="N332" s="23">
        <v>46340</v>
      </c>
      <c r="O332" s="23">
        <f>Tableau1[[#This Row],[Productivité]]-Tableau1[[#This Row],[ les Charges]]</f>
        <v>36500</v>
      </c>
      <c r="R332" s="23">
        <f>VLOOKUP(Tableau1[[#This Row],[Code]],$V$3:$Z$157,4,)</f>
        <v>46340</v>
      </c>
      <c r="S332" s="23">
        <f>VLOOKUP(Tableau1[[#This Row],[Code]],$V$3:$Z$157,5,)</f>
        <v>36500</v>
      </c>
    </row>
    <row r="333" spans="1:19" hidden="1" x14ac:dyDescent="0.25">
      <c r="A333" s="13">
        <v>44347</v>
      </c>
      <c r="B333" t="s">
        <v>80</v>
      </c>
      <c r="C333" s="65" t="s">
        <v>85</v>
      </c>
      <c r="D333" t="s">
        <v>45</v>
      </c>
      <c r="E333" s="3">
        <v>231</v>
      </c>
      <c r="F333">
        <v>760</v>
      </c>
      <c r="G333">
        <v>0</v>
      </c>
      <c r="H333">
        <v>0</v>
      </c>
      <c r="I333">
        <v>0</v>
      </c>
      <c r="J333">
        <v>0</v>
      </c>
      <c r="K333" s="23">
        <f>IF(Tableau1[[#This Row],[Quantité (H)]]=0,0,Tableau1[[#This Row],[Gasoil (L)]]/Tableau1[[#This Row],[Quantité (H)]])</f>
        <v>3.2900432900432901</v>
      </c>
      <c r="L333" s="23">
        <v>33</v>
      </c>
      <c r="M333" s="23">
        <v>7600</v>
      </c>
      <c r="N333" s="23">
        <v>64680</v>
      </c>
      <c r="O333" s="23">
        <f>Tableau1[[#This Row],[Productivité]]-Tableau1[[#This Row],[ les Charges]]</f>
        <v>57080</v>
      </c>
      <c r="R333" s="23">
        <f>VLOOKUP(Tableau1[[#This Row],[Code]],$V$3:$Z$157,4,)</f>
        <v>64680</v>
      </c>
      <c r="S333" s="23">
        <f>VLOOKUP(Tableau1[[#This Row],[Code]],$V$3:$Z$157,5,)</f>
        <v>57080</v>
      </c>
    </row>
    <row r="334" spans="1:19" hidden="1" x14ac:dyDescent="0.25">
      <c r="A334" s="13">
        <v>44347</v>
      </c>
      <c r="B334" t="s">
        <v>83</v>
      </c>
      <c r="C334" s="65" t="s">
        <v>85</v>
      </c>
      <c r="D334" t="s">
        <v>46</v>
      </c>
      <c r="E334" s="3">
        <v>174</v>
      </c>
      <c r="F334">
        <v>1953</v>
      </c>
      <c r="G334">
        <v>0</v>
      </c>
      <c r="H334">
        <v>0</v>
      </c>
      <c r="I334">
        <v>0</v>
      </c>
      <c r="J334">
        <v>0</v>
      </c>
      <c r="K334" s="23">
        <f>IF(Tableau1[[#This Row],[Quantité (H)]]=0,0,Tableau1[[#This Row],[Gasoil (L)]]/Tableau1[[#This Row],[Quantité (H)]])</f>
        <v>11.224137931034482</v>
      </c>
      <c r="L334" s="23">
        <v>58.981876332622605</v>
      </c>
      <c r="M334" s="23">
        <v>22629.18</v>
      </c>
      <c r="N334" s="23">
        <v>48720</v>
      </c>
      <c r="O334" s="23">
        <f>Tableau1[[#This Row],[Productivité]]-Tableau1[[#This Row],[ les Charges]]</f>
        <v>26090.82</v>
      </c>
      <c r="R334" s="23">
        <f>VLOOKUP(Tableau1[[#This Row],[Code]],$V$3:$Z$157,4,)</f>
        <v>48720</v>
      </c>
      <c r="S334" s="23">
        <f>VLOOKUP(Tableau1[[#This Row],[Code]],$V$3:$Z$157,5,)</f>
        <v>26090.82</v>
      </c>
    </row>
    <row r="335" spans="1:19" hidden="1" x14ac:dyDescent="0.25">
      <c r="A335" s="13">
        <v>44347</v>
      </c>
      <c r="B335" t="s">
        <v>80</v>
      </c>
      <c r="C335" s="65" t="s">
        <v>85</v>
      </c>
      <c r="D335" t="s">
        <v>47</v>
      </c>
      <c r="E335" s="3">
        <v>233</v>
      </c>
      <c r="F335">
        <v>811</v>
      </c>
      <c r="G335">
        <v>0</v>
      </c>
      <c r="H335">
        <v>0</v>
      </c>
      <c r="I335">
        <v>0</v>
      </c>
      <c r="J335">
        <v>0</v>
      </c>
      <c r="K335" s="23">
        <f>IF(Tableau1[[#This Row],[Quantité (H)]]=0,0,Tableau1[[#This Row],[Gasoil (L)]]/Tableau1[[#This Row],[Quantité (H)]])</f>
        <v>3.4806866952789699</v>
      </c>
      <c r="L335" s="23">
        <v>67.126965861143077</v>
      </c>
      <c r="M335" s="23">
        <v>11209.18</v>
      </c>
      <c r="N335" s="23">
        <v>65240</v>
      </c>
      <c r="O335" s="23">
        <f>Tableau1[[#This Row],[Productivité]]-Tableau1[[#This Row],[ les Charges]]</f>
        <v>54030.82</v>
      </c>
      <c r="R335" s="23">
        <f>VLOOKUP(Tableau1[[#This Row],[Code]],$V$3:$Z$157,4,)</f>
        <v>65240</v>
      </c>
      <c r="S335" s="23">
        <f>VLOOKUP(Tableau1[[#This Row],[Code]],$V$3:$Z$157,5,)</f>
        <v>54030.82</v>
      </c>
    </row>
    <row r="336" spans="1:19" hidden="1" x14ac:dyDescent="0.25">
      <c r="A336" s="13">
        <v>44347</v>
      </c>
      <c r="B336" t="s">
        <v>116</v>
      </c>
      <c r="C336" s="65" t="s">
        <v>85</v>
      </c>
      <c r="D336" t="s">
        <v>48</v>
      </c>
      <c r="E336" s="3">
        <v>75</v>
      </c>
      <c r="F336">
        <v>262</v>
      </c>
      <c r="G336">
        <v>0</v>
      </c>
      <c r="H336">
        <v>0</v>
      </c>
      <c r="I336">
        <v>0</v>
      </c>
      <c r="J336">
        <v>0</v>
      </c>
      <c r="K336" s="23">
        <f>IF(Tableau1[[#This Row],[Quantité (H)]]=0,0,Tableau1[[#This Row],[Gasoil (L)]]/Tableau1[[#This Row],[Quantité (H)]])</f>
        <v>3.4933333333333332</v>
      </c>
      <c r="L336" s="23">
        <v>36.704446381865736</v>
      </c>
      <c r="O336" s="23">
        <f>Tableau1[[#This Row],[Productivité]]-Tableau1[[#This Row],[ les Charges]]</f>
        <v>0</v>
      </c>
      <c r="R336" s="23">
        <f>VLOOKUP(Tableau1[[#This Row],[Code]],$V$3:$Z$157,4,)</f>
        <v>17400</v>
      </c>
      <c r="S336" s="23">
        <f>VLOOKUP(Tableau1[[#This Row],[Code]],$V$3:$Z$157,5,)</f>
        <v>8595</v>
      </c>
    </row>
    <row r="337" spans="1:19" hidden="1" x14ac:dyDescent="0.25">
      <c r="A337" s="13">
        <v>44347</v>
      </c>
      <c r="B337" t="s">
        <v>79</v>
      </c>
      <c r="C337" s="65" t="s">
        <v>85</v>
      </c>
      <c r="D337" t="s">
        <v>48</v>
      </c>
      <c r="E337" s="3">
        <v>0</v>
      </c>
      <c r="F337">
        <v>154</v>
      </c>
      <c r="G337">
        <v>0</v>
      </c>
      <c r="H337">
        <v>0</v>
      </c>
      <c r="I337">
        <v>0</v>
      </c>
      <c r="J337">
        <v>0</v>
      </c>
      <c r="K337" s="23">
        <f>IF(Tableau1[[#This Row],[Quantité (H)]]=0,0,Tableau1[[#This Row],[Gasoil (L)]]/Tableau1[[#This Row],[Quantité (H)]])</f>
        <v>0</v>
      </c>
      <c r="L337" s="23">
        <v>36.704446381865736</v>
      </c>
      <c r="O337" s="23">
        <f>Tableau1[[#This Row],[Productivité]]-Tableau1[[#This Row],[ les Charges]]</f>
        <v>0</v>
      </c>
      <c r="R337" s="23">
        <f>VLOOKUP(Tableau1[[#This Row],[Code]],$V$3:$Z$157,4,)</f>
        <v>17400</v>
      </c>
      <c r="S337" s="23">
        <f>VLOOKUP(Tableau1[[#This Row],[Code]],$V$3:$Z$157,5,)</f>
        <v>8595</v>
      </c>
    </row>
    <row r="338" spans="1:19" hidden="1" x14ac:dyDescent="0.25">
      <c r="A338" s="13">
        <v>44347</v>
      </c>
      <c r="B338" t="s">
        <v>84</v>
      </c>
      <c r="C338" s="65" t="s">
        <v>85</v>
      </c>
      <c r="D338" t="s">
        <v>48</v>
      </c>
      <c r="E338" s="3">
        <v>0</v>
      </c>
      <c r="F338">
        <v>107</v>
      </c>
      <c r="G338">
        <v>0</v>
      </c>
      <c r="H338">
        <v>0</v>
      </c>
      <c r="I338">
        <v>0</v>
      </c>
      <c r="J338">
        <v>0</v>
      </c>
      <c r="K338" s="23">
        <f>IF(Tableau1[[#This Row],[Quantité (H)]]=0,0,Tableau1[[#This Row],[Gasoil (L)]]/Tableau1[[#This Row],[Quantité (H)]])</f>
        <v>0</v>
      </c>
      <c r="L338" s="23">
        <v>36.704446381865736</v>
      </c>
      <c r="O338" s="23">
        <f>Tableau1[[#This Row],[Productivité]]-Tableau1[[#This Row],[ les Charges]]</f>
        <v>0</v>
      </c>
      <c r="R338" s="23">
        <f>VLOOKUP(Tableau1[[#This Row],[Code]],$V$3:$Z$157,4,)</f>
        <v>17400</v>
      </c>
      <c r="S338" s="23">
        <f>VLOOKUP(Tableau1[[#This Row],[Code]],$V$3:$Z$157,5,)</f>
        <v>8595</v>
      </c>
    </row>
    <row r="339" spans="1:19" hidden="1" x14ac:dyDescent="0.25">
      <c r="A339" s="13">
        <v>44347</v>
      </c>
      <c r="B339" t="s">
        <v>80</v>
      </c>
      <c r="C339" s="65" t="s">
        <v>85</v>
      </c>
      <c r="D339" t="s">
        <v>48</v>
      </c>
      <c r="E339" s="3">
        <v>41</v>
      </c>
      <c r="F339">
        <v>319</v>
      </c>
      <c r="G339">
        <v>0</v>
      </c>
      <c r="H339">
        <v>0</v>
      </c>
      <c r="I339">
        <v>11</v>
      </c>
      <c r="J339">
        <v>0</v>
      </c>
      <c r="K339" s="23">
        <f>IF(Tableau1[[#This Row],[Quantité (H)]]=0,0,Tableau1[[#This Row],[Gasoil (L)]]/Tableau1[[#This Row],[Quantité (H)]])</f>
        <v>7.7804878048780486</v>
      </c>
      <c r="L339" s="23">
        <v>36.704446381865736</v>
      </c>
      <c r="M339" s="23">
        <v>8805</v>
      </c>
      <c r="N339" s="23">
        <v>17400</v>
      </c>
      <c r="O339" s="23">
        <f>Tableau1[[#This Row],[Productivité]]-Tableau1[[#This Row],[ les Charges]]</f>
        <v>8595</v>
      </c>
      <c r="R339" s="23">
        <f>VLOOKUP(Tableau1[[#This Row],[Code]],$V$3:$Z$157,4,)</f>
        <v>17400</v>
      </c>
      <c r="S339" s="23">
        <f>VLOOKUP(Tableau1[[#This Row],[Code]],$V$3:$Z$157,5,)</f>
        <v>8595</v>
      </c>
    </row>
    <row r="340" spans="1:19" hidden="1" x14ac:dyDescent="0.25">
      <c r="A340" s="13">
        <v>44347</v>
      </c>
      <c r="B340" t="s">
        <v>80</v>
      </c>
      <c r="C340" s="65" t="s">
        <v>85</v>
      </c>
      <c r="D340" t="s">
        <v>49</v>
      </c>
      <c r="E340" s="65">
        <v>104</v>
      </c>
      <c r="F340">
        <v>681</v>
      </c>
      <c r="G340">
        <v>0</v>
      </c>
      <c r="H340">
        <v>0</v>
      </c>
      <c r="I340">
        <v>36</v>
      </c>
      <c r="J340">
        <v>0</v>
      </c>
      <c r="K340" s="23">
        <f>IF(Tableau1[[#This Row],[Quantité (H)]]=0,0,Tableau1[[#This Row],[Gasoil (L)]]/Tableau1[[#This Row],[Quantité (H)]])</f>
        <v>6.5480769230769234</v>
      </c>
      <c r="L340" s="23">
        <v>51.865955826351865</v>
      </c>
      <c r="M340" s="23">
        <v>8070</v>
      </c>
      <c r="N340" s="23">
        <v>17625</v>
      </c>
      <c r="O340" s="23">
        <f>Tableau1[[#This Row],[Productivité]]-Tableau1[[#This Row],[ les Charges]]</f>
        <v>9555</v>
      </c>
      <c r="R340" s="23">
        <f>VLOOKUP(Tableau1[[#This Row],[Code]],$V$3:$Z$157,4,)</f>
        <v>17625</v>
      </c>
      <c r="S340" s="23">
        <f>VLOOKUP(Tableau1[[#This Row],[Code]],$V$3:$Z$157,5,)</f>
        <v>9555</v>
      </c>
    </row>
    <row r="341" spans="1:19" hidden="1" x14ac:dyDescent="0.25">
      <c r="A341" s="13">
        <v>44347</v>
      </c>
      <c r="B341" t="s">
        <v>83</v>
      </c>
      <c r="C341" s="65" t="s">
        <v>85</v>
      </c>
      <c r="D341" t="s">
        <v>50</v>
      </c>
      <c r="E341" s="65">
        <v>175</v>
      </c>
      <c r="F341">
        <v>468</v>
      </c>
      <c r="G341">
        <v>0</v>
      </c>
      <c r="H341">
        <v>0</v>
      </c>
      <c r="I341">
        <v>0</v>
      </c>
      <c r="J341">
        <v>0</v>
      </c>
      <c r="K341" s="23">
        <f>IF(Tableau1[[#This Row],[Quantité (H)]]=0,0,Tableau1[[#This Row],[Gasoil (L)]]/Tableau1[[#This Row],[Quantité (H)]])</f>
        <v>2.6742857142857144</v>
      </c>
      <c r="L341" s="23">
        <v>34.482758620689658</v>
      </c>
      <c r="M341" s="23">
        <v>4680</v>
      </c>
      <c r="N341" s="23">
        <v>26250</v>
      </c>
      <c r="O341" s="23">
        <f>Tableau1[[#This Row],[Productivité]]-Tableau1[[#This Row],[ les Charges]]</f>
        <v>21570</v>
      </c>
      <c r="R341" s="23">
        <f>VLOOKUP(Tableau1[[#This Row],[Code]],$V$3:$Z$157,4,)</f>
        <v>26250</v>
      </c>
      <c r="S341" s="23">
        <f>VLOOKUP(Tableau1[[#This Row],[Code]],$V$3:$Z$157,5,)</f>
        <v>21570</v>
      </c>
    </row>
    <row r="342" spans="1:19" hidden="1" x14ac:dyDescent="0.25">
      <c r="A342" s="13">
        <v>44347</v>
      </c>
      <c r="B342" t="s">
        <v>79</v>
      </c>
      <c r="C342" s="65" t="s">
        <v>85</v>
      </c>
      <c r="D342" t="s">
        <v>54</v>
      </c>
      <c r="E342" s="65">
        <v>153.5</v>
      </c>
      <c r="F342">
        <v>656.76</v>
      </c>
      <c r="G342">
        <v>0</v>
      </c>
      <c r="H342">
        <v>0</v>
      </c>
      <c r="I342">
        <v>0</v>
      </c>
      <c r="J342">
        <v>10</v>
      </c>
      <c r="K342" s="23">
        <f>IF(Tableau1[[#This Row],[Quantité (H)]]=0,0,Tableau1[[#This Row],[Gasoil (L)]]/Tableau1[[#This Row],[Quantité (H)]])</f>
        <v>4.2785667752442995</v>
      </c>
      <c r="L342" s="23">
        <v>33</v>
      </c>
      <c r="O342" s="23">
        <f>Tableau1[[#This Row],[Productivité]]-Tableau1[[#This Row],[ les Charges]]</f>
        <v>0</v>
      </c>
      <c r="R342" s="23">
        <f>VLOOKUP(Tableau1[[#This Row],[Code]],$V$3:$Z$157,4,)</f>
        <v>52500</v>
      </c>
      <c r="S342" s="23">
        <f>VLOOKUP(Tableau1[[#This Row],[Code]],$V$3:$Z$157,5,)</f>
        <v>44820</v>
      </c>
    </row>
    <row r="343" spans="1:19" hidden="1" x14ac:dyDescent="0.25">
      <c r="A343" s="13">
        <v>44347</v>
      </c>
      <c r="B343" t="s">
        <v>80</v>
      </c>
      <c r="C343" s="65" t="s">
        <v>85</v>
      </c>
      <c r="D343" t="s">
        <v>54</v>
      </c>
      <c r="E343" s="65">
        <v>34</v>
      </c>
      <c r="F343">
        <v>0</v>
      </c>
      <c r="G343">
        <v>0</v>
      </c>
      <c r="H343">
        <v>0</v>
      </c>
      <c r="I343">
        <v>0</v>
      </c>
      <c r="J343">
        <v>0</v>
      </c>
      <c r="K343" s="23">
        <f>IF(Tableau1[[#This Row],[Quantité (H)]]=0,0,Tableau1[[#This Row],[Gasoil (L)]]/Tableau1[[#This Row],[Quantité (H)]])</f>
        <v>0</v>
      </c>
      <c r="L343" s="23">
        <v>33</v>
      </c>
      <c r="M343" s="23">
        <v>7680</v>
      </c>
      <c r="N343" s="23">
        <v>52500</v>
      </c>
      <c r="O343" s="23">
        <f>Tableau1[[#This Row],[Productivité]]-Tableau1[[#This Row],[ les Charges]]</f>
        <v>44820</v>
      </c>
      <c r="R343" s="23">
        <f>VLOOKUP(Tableau1[[#This Row],[Code]],$V$3:$Z$157,4,)</f>
        <v>52500</v>
      </c>
      <c r="S343" s="23">
        <f>VLOOKUP(Tableau1[[#This Row],[Code]],$V$3:$Z$157,5,)</f>
        <v>44820</v>
      </c>
    </row>
    <row r="344" spans="1:19" hidden="1" x14ac:dyDescent="0.25">
      <c r="A344" s="13">
        <v>44347</v>
      </c>
      <c r="B344" t="s">
        <v>80</v>
      </c>
      <c r="C344" s="65" t="s">
        <v>85</v>
      </c>
      <c r="D344" t="s">
        <v>56</v>
      </c>
      <c r="E344" s="65">
        <v>94</v>
      </c>
      <c r="F344">
        <v>1595</v>
      </c>
      <c r="G344">
        <v>0</v>
      </c>
      <c r="H344">
        <v>0</v>
      </c>
      <c r="I344">
        <v>0</v>
      </c>
      <c r="J344">
        <v>2</v>
      </c>
      <c r="K344" s="23">
        <f>IF(Tableau1[[#This Row],[Quantité (H)]]=0,0,Tableau1[[#This Row],[Gasoil (L)]]/Tableau1[[#This Row],[Quantité (H)]])</f>
        <v>16.968085106382979</v>
      </c>
      <c r="L344" s="23">
        <v>81.878850102669404</v>
      </c>
      <c r="M344" s="23">
        <v>21004.9</v>
      </c>
      <c r="N344" s="23">
        <v>30900</v>
      </c>
      <c r="O344" s="23">
        <f>Tableau1[[#This Row],[Productivité]]-Tableau1[[#This Row],[ les Charges]]</f>
        <v>9895.0999999999985</v>
      </c>
      <c r="R344" s="23">
        <f>VLOOKUP(Tableau1[[#This Row],[Code]],$V$3:$Z$157,4,)</f>
        <v>30900</v>
      </c>
      <c r="S344" s="23">
        <f>VLOOKUP(Tableau1[[#This Row],[Code]],$V$3:$Z$157,5,)</f>
        <v>9895.0999999999985</v>
      </c>
    </row>
    <row r="345" spans="1:19" hidden="1" x14ac:dyDescent="0.25">
      <c r="A345" s="13">
        <v>44347</v>
      </c>
      <c r="B345" t="s">
        <v>80</v>
      </c>
      <c r="C345" s="65" t="s">
        <v>85</v>
      </c>
      <c r="D345" t="s">
        <v>57</v>
      </c>
      <c r="E345" s="65">
        <v>0</v>
      </c>
      <c r="F345">
        <v>1918</v>
      </c>
      <c r="G345">
        <v>0</v>
      </c>
      <c r="H345">
        <v>0</v>
      </c>
      <c r="I345">
        <v>0</v>
      </c>
      <c r="J345">
        <v>1</v>
      </c>
      <c r="K345" s="23">
        <f>IF(Tableau1[[#This Row],[Quantité (H)]]=0,0,Tableau1[[#This Row],[Gasoil (L)]]/Tableau1[[#This Row],[Quantité (H)]])</f>
        <v>0</v>
      </c>
      <c r="L345" s="23">
        <v>36.288781061608589</v>
      </c>
      <c r="M345" s="23">
        <v>34146.17</v>
      </c>
      <c r="N345" s="23">
        <v>26240</v>
      </c>
      <c r="O345" s="23">
        <f>Tableau1[[#This Row],[Productivité]]-Tableau1[[#This Row],[ les Charges]]</f>
        <v>-7906.1699999999983</v>
      </c>
      <c r="R345" s="23">
        <f>VLOOKUP(Tableau1[[#This Row],[Code]],$V$3:$Z$157,4,)</f>
        <v>26240</v>
      </c>
      <c r="S345" s="23">
        <f>VLOOKUP(Tableau1[[#This Row],[Code]],$V$3:$Z$157,5,)</f>
        <v>-7906.1699999999983</v>
      </c>
    </row>
    <row r="346" spans="1:19" hidden="1" x14ac:dyDescent="0.25">
      <c r="A346" s="13">
        <v>44347</v>
      </c>
      <c r="B346" t="s">
        <v>84</v>
      </c>
      <c r="C346" s="65" t="s">
        <v>85</v>
      </c>
      <c r="D346" t="s">
        <v>57</v>
      </c>
      <c r="E346" s="65">
        <v>34</v>
      </c>
      <c r="F346">
        <v>550</v>
      </c>
      <c r="G346">
        <v>0</v>
      </c>
      <c r="H346">
        <v>0</v>
      </c>
      <c r="I346">
        <v>0</v>
      </c>
      <c r="J346">
        <v>0</v>
      </c>
      <c r="K346" s="23">
        <f>IF(Tableau1[[#This Row],[Quantité (H)]]=0,0,Tableau1[[#This Row],[Gasoil (L)]]/Tableau1[[#This Row],[Quantité (H)]])</f>
        <v>16.176470588235293</v>
      </c>
      <c r="L346" s="23">
        <v>36.288781061608589</v>
      </c>
      <c r="O346" s="23">
        <f>Tableau1[[#This Row],[Productivité]]-Tableau1[[#This Row],[ les Charges]]</f>
        <v>0</v>
      </c>
      <c r="R346" s="23">
        <f>VLOOKUP(Tableau1[[#This Row],[Code]],$V$3:$Z$157,4,)</f>
        <v>26240</v>
      </c>
      <c r="S346" s="23">
        <f>VLOOKUP(Tableau1[[#This Row],[Code]],$V$3:$Z$157,5,)</f>
        <v>-7906.1699999999983</v>
      </c>
    </row>
    <row r="347" spans="1:19" hidden="1" x14ac:dyDescent="0.25">
      <c r="A347" s="13">
        <v>44347</v>
      </c>
      <c r="B347" t="s">
        <v>80</v>
      </c>
      <c r="C347" s="65" t="s">
        <v>85</v>
      </c>
      <c r="D347" t="s">
        <v>55</v>
      </c>
      <c r="E347" s="65">
        <v>116</v>
      </c>
      <c r="F347">
        <v>533</v>
      </c>
      <c r="G347">
        <v>0</v>
      </c>
      <c r="H347">
        <v>0</v>
      </c>
      <c r="I347">
        <v>0</v>
      </c>
      <c r="J347">
        <v>0</v>
      </c>
      <c r="K347" s="23">
        <f>IF(Tableau1[[#This Row],[Quantité (H)]]=0,0,Tableau1[[#This Row],[Gasoil (L)]]/Tableau1[[#This Row],[Quantité (H)]])</f>
        <v>4.5948275862068968</v>
      </c>
      <c r="L347" s="23">
        <v>37</v>
      </c>
      <c r="M347" s="23">
        <v>5330</v>
      </c>
      <c r="N347" s="23">
        <v>32480</v>
      </c>
      <c r="O347" s="23">
        <f>Tableau1[[#This Row],[Productivité]]-Tableau1[[#This Row],[ les Charges]]</f>
        <v>27150</v>
      </c>
      <c r="R347" s="23">
        <f>VLOOKUP(Tableau1[[#This Row],[Code]],$V$3:$Z$157,4,)</f>
        <v>32480</v>
      </c>
      <c r="S347" s="23">
        <f>VLOOKUP(Tableau1[[#This Row],[Code]],$V$3:$Z$157,5,)</f>
        <v>27150</v>
      </c>
    </row>
    <row r="348" spans="1:19" hidden="1" x14ac:dyDescent="0.25">
      <c r="A348" s="13">
        <v>44347</v>
      </c>
      <c r="B348" t="s">
        <v>79</v>
      </c>
      <c r="C348" s="65" t="s">
        <v>85</v>
      </c>
      <c r="D348" t="s">
        <v>55</v>
      </c>
      <c r="E348" s="65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 s="23">
        <f>IF(Tableau1[[#This Row],[Quantité (H)]]=0,0,Tableau1[[#This Row],[Gasoil (L)]]/Tableau1[[#This Row],[Quantité (H)]])</f>
        <v>0</v>
      </c>
      <c r="L348" s="23">
        <v>37</v>
      </c>
      <c r="M348" s="23">
        <v>5330</v>
      </c>
      <c r="N348" s="23">
        <v>32480</v>
      </c>
      <c r="O348" s="23">
        <f>Tableau1[[#This Row],[Productivité]]-Tableau1[[#This Row],[ les Charges]]</f>
        <v>27150</v>
      </c>
      <c r="R348" s="23">
        <f>VLOOKUP(Tableau1[[#This Row],[Code]],$V$3:$Z$157,4,)</f>
        <v>32480</v>
      </c>
      <c r="S348" s="23">
        <f>VLOOKUP(Tableau1[[#This Row],[Code]],$V$3:$Z$157,5,)</f>
        <v>27150</v>
      </c>
    </row>
    <row r="349" spans="1:19" hidden="1" x14ac:dyDescent="0.25">
      <c r="A349" s="13">
        <v>44347</v>
      </c>
      <c r="B349" t="s">
        <v>79</v>
      </c>
      <c r="C349" s="65" t="s">
        <v>85</v>
      </c>
      <c r="D349" t="s">
        <v>134</v>
      </c>
      <c r="E349">
        <v>0</v>
      </c>
      <c r="F349">
        <v>0</v>
      </c>
      <c r="G349">
        <v>0</v>
      </c>
      <c r="H349">
        <v>0</v>
      </c>
      <c r="I349">
        <v>15</v>
      </c>
      <c r="J349">
        <v>0</v>
      </c>
      <c r="K349" s="23">
        <f>IF(Tableau1[[#This Row],[Quantité (H)]]=0,0,Tableau1[[#This Row],[Gasoil (L)]]/Tableau1[[#This Row],[Quantité (H)]])</f>
        <v>0</v>
      </c>
      <c r="O349" s="23">
        <f>Tableau1[[#This Row],[Productivité]]-Tableau1[[#This Row],[ les Charges]]</f>
        <v>0</v>
      </c>
      <c r="R349" s="23">
        <f>VLOOKUP(Tableau1[[#This Row],[Code]],$V$3:$Z$157,4,)</f>
        <v>5100</v>
      </c>
      <c r="S349" s="23">
        <f>VLOOKUP(Tableau1[[#This Row],[Code]],$V$3:$Z$157,5,)</f>
        <v>1222.0999999999999</v>
      </c>
    </row>
    <row r="350" spans="1:19" hidden="1" x14ac:dyDescent="0.25">
      <c r="A350" s="13">
        <v>44347</v>
      </c>
      <c r="B350" t="s">
        <v>80</v>
      </c>
      <c r="C350" s="65" t="s">
        <v>85</v>
      </c>
      <c r="D350" t="s">
        <v>134</v>
      </c>
      <c r="E350" s="65">
        <v>16</v>
      </c>
      <c r="F350">
        <v>174</v>
      </c>
      <c r="G350">
        <v>2</v>
      </c>
      <c r="H350">
        <v>0</v>
      </c>
      <c r="I350">
        <v>35</v>
      </c>
      <c r="J350">
        <v>0</v>
      </c>
      <c r="K350" s="23">
        <f>IF(Tableau1[[#This Row],[Quantité (H)]]=0,0,Tableau1[[#This Row],[Gasoil (L)]]/Tableau1[[#This Row],[Quantité (H)]])</f>
        <v>10.875</v>
      </c>
      <c r="M350" s="23">
        <v>3877.9</v>
      </c>
      <c r="N350" s="23">
        <v>5100</v>
      </c>
      <c r="O350" s="23">
        <f>Tableau1[[#This Row],[Productivité]]-Tableau1[[#This Row],[ les Charges]]</f>
        <v>1222.0999999999999</v>
      </c>
      <c r="R350" s="23">
        <f>VLOOKUP(Tableau1[[#This Row],[Code]],$V$3:$Z$157,4,)</f>
        <v>5100</v>
      </c>
      <c r="S350" s="23">
        <f>VLOOKUP(Tableau1[[#This Row],[Code]],$V$3:$Z$157,5,)</f>
        <v>1222.0999999999999</v>
      </c>
    </row>
    <row r="351" spans="1:19" hidden="1" x14ac:dyDescent="0.25">
      <c r="A351" s="13">
        <v>44347</v>
      </c>
      <c r="B351" t="s">
        <v>83</v>
      </c>
      <c r="C351" s="65" t="s">
        <v>85</v>
      </c>
      <c r="D351" t="s">
        <v>52</v>
      </c>
      <c r="E351" s="65">
        <v>67.300000000000011</v>
      </c>
      <c r="F351">
        <v>246</v>
      </c>
      <c r="G351">
        <v>0</v>
      </c>
      <c r="H351">
        <v>0</v>
      </c>
      <c r="I351">
        <v>0</v>
      </c>
      <c r="J351">
        <v>0</v>
      </c>
      <c r="K351" s="23">
        <f>IF(Tableau1[[#This Row],[Quantité (H)]]=0,0,Tableau1[[#This Row],[Gasoil (L)]]/Tableau1[[#This Row],[Quantité (H)]])</f>
        <v>3.6552748885586919</v>
      </c>
      <c r="L351" s="23">
        <v>0.27326046387629965</v>
      </c>
      <c r="M351" s="23">
        <v>2460</v>
      </c>
      <c r="N351" s="23">
        <v>16825</v>
      </c>
      <c r="O351" s="23">
        <f>Tableau1[[#This Row],[Productivité]]-Tableau1[[#This Row],[ les Charges]]</f>
        <v>14365</v>
      </c>
      <c r="R351" s="23">
        <f>VLOOKUP(Tableau1[[#This Row],[Code]],$V$3:$Z$157,4,)</f>
        <v>16825</v>
      </c>
      <c r="S351" s="23">
        <f>VLOOKUP(Tableau1[[#This Row],[Code]],$V$3:$Z$157,5,)</f>
        <v>14365</v>
      </c>
    </row>
    <row r="352" spans="1:19" hidden="1" x14ac:dyDescent="0.25">
      <c r="A352" s="13">
        <v>44347</v>
      </c>
      <c r="B352" t="s">
        <v>83</v>
      </c>
      <c r="C352" s="65" t="s">
        <v>42</v>
      </c>
      <c r="D352" t="s">
        <v>28</v>
      </c>
      <c r="E352" s="65">
        <v>170</v>
      </c>
      <c r="F352">
        <v>2473</v>
      </c>
      <c r="G352">
        <v>5</v>
      </c>
      <c r="H352">
        <v>0</v>
      </c>
      <c r="I352">
        <v>0</v>
      </c>
      <c r="J352">
        <v>0</v>
      </c>
      <c r="K352" s="23">
        <f>IF(Tableau1[[#This Row],[Quantité (H)]]=0,0,Tableau1[[#This Row],[Gasoil (L)]]/Tableau1[[#This Row],[Quantité (H)]])</f>
        <v>14.547058823529412</v>
      </c>
      <c r="M352" s="23">
        <v>24930</v>
      </c>
      <c r="N352" s="23">
        <v>61200</v>
      </c>
      <c r="O352" s="23">
        <f>Tableau1[[#This Row],[Productivité]]-Tableau1[[#This Row],[ les Charges]]</f>
        <v>36270</v>
      </c>
      <c r="R352" s="23">
        <f>VLOOKUP(Tableau1[[#This Row],[Code]],$V$3:$Z$157,4,)</f>
        <v>61200</v>
      </c>
      <c r="S352" s="23">
        <f>VLOOKUP(Tableau1[[#This Row],[Code]],$V$3:$Z$157,5,)</f>
        <v>36270</v>
      </c>
    </row>
    <row r="353" spans="1:19" hidden="1" x14ac:dyDescent="0.25">
      <c r="A353" s="13">
        <v>44347</v>
      </c>
      <c r="B353" t="s">
        <v>80</v>
      </c>
      <c r="C353" s="65" t="s">
        <v>42</v>
      </c>
      <c r="D353" t="s">
        <v>29</v>
      </c>
      <c r="E353" s="65">
        <v>210</v>
      </c>
      <c r="F353">
        <v>1659.72</v>
      </c>
      <c r="G353">
        <v>30</v>
      </c>
      <c r="H353">
        <v>0</v>
      </c>
      <c r="I353">
        <v>10</v>
      </c>
      <c r="J353">
        <v>10</v>
      </c>
      <c r="K353" s="23">
        <f>IF(Tableau1[[#This Row],[Quantité (H)]]=0,0,Tableau1[[#This Row],[Gasoil (L)]]/Tableau1[[#This Row],[Quantité (H)]])</f>
        <v>7.9034285714285719</v>
      </c>
      <c r="M353" s="23">
        <v>11987.2</v>
      </c>
      <c r="N353" s="23">
        <v>79800</v>
      </c>
      <c r="O353" s="23">
        <f>Tableau1[[#This Row],[Productivité]]-Tableau1[[#This Row],[ les Charges]]</f>
        <v>67812.800000000003</v>
      </c>
      <c r="R353" s="23">
        <f>VLOOKUP(Tableau1[[#This Row],[Code]],$V$3:$Z$157,4,)</f>
        <v>79800</v>
      </c>
      <c r="S353" s="23">
        <f>VLOOKUP(Tableau1[[#This Row],[Code]],$V$3:$Z$157,5,)</f>
        <v>67812.800000000003</v>
      </c>
    </row>
    <row r="354" spans="1:19" hidden="1" x14ac:dyDescent="0.25">
      <c r="A354" s="13">
        <v>44347</v>
      </c>
      <c r="B354" t="s">
        <v>84</v>
      </c>
      <c r="C354" s="65" t="s">
        <v>42</v>
      </c>
      <c r="D354" t="s">
        <v>94</v>
      </c>
      <c r="E354" s="65">
        <v>157</v>
      </c>
      <c r="F354">
        <v>1647</v>
      </c>
      <c r="G354">
        <v>40</v>
      </c>
      <c r="H354">
        <v>0</v>
      </c>
      <c r="I354">
        <v>0</v>
      </c>
      <c r="J354">
        <v>10</v>
      </c>
      <c r="K354" s="23">
        <f>IF(Tableau1[[#This Row],[Quantité (H)]]=0,0,Tableau1[[#This Row],[Gasoil (L)]]/Tableau1[[#This Row],[Quantité (H)]])</f>
        <v>10.490445859872612</v>
      </c>
      <c r="M354" s="23">
        <v>20211.650000000001</v>
      </c>
      <c r="N354" s="23">
        <v>59660</v>
      </c>
      <c r="O354" s="23">
        <f>Tableau1[[#This Row],[Productivité]]-Tableau1[[#This Row],[ les Charges]]</f>
        <v>39448.35</v>
      </c>
      <c r="R354" s="23">
        <f>VLOOKUP(Tableau1[[#This Row],[Code]],$V$3:$Z$157,4,)</f>
        <v>59660</v>
      </c>
      <c r="S354" s="23">
        <f>VLOOKUP(Tableau1[[#This Row],[Code]],$V$3:$Z$157,5,)</f>
        <v>39448.35</v>
      </c>
    </row>
    <row r="355" spans="1:19" hidden="1" x14ac:dyDescent="0.25">
      <c r="A355" s="13">
        <v>44347</v>
      </c>
      <c r="B355" t="s">
        <v>84</v>
      </c>
      <c r="C355" s="65" t="s">
        <v>42</v>
      </c>
      <c r="D355" t="s">
        <v>126</v>
      </c>
      <c r="E355" s="65">
        <v>189</v>
      </c>
      <c r="F355">
        <v>1745</v>
      </c>
      <c r="G355">
        <v>35</v>
      </c>
      <c r="H355">
        <v>0</v>
      </c>
      <c r="I355">
        <v>0</v>
      </c>
      <c r="J355">
        <v>10</v>
      </c>
      <c r="K355" s="23">
        <f>IF(Tableau1[[#This Row],[Quantité (H)]]=0,0,Tableau1[[#This Row],[Gasoil (L)]]/Tableau1[[#This Row],[Quantité (H)]])</f>
        <v>9.2328042328042326</v>
      </c>
      <c r="M355" s="23">
        <v>20383.32</v>
      </c>
      <c r="N355" s="23">
        <v>68040</v>
      </c>
      <c r="O355" s="23">
        <f>Tableau1[[#This Row],[Productivité]]-Tableau1[[#This Row],[ les Charges]]</f>
        <v>47656.68</v>
      </c>
      <c r="R355" s="23">
        <f>VLOOKUP(Tableau1[[#This Row],[Code]],$V$3:$Z$157,4,)</f>
        <v>68040</v>
      </c>
      <c r="S355" s="23">
        <f>VLOOKUP(Tableau1[[#This Row],[Code]],$V$3:$Z$157,5,)</f>
        <v>47656.68</v>
      </c>
    </row>
    <row r="356" spans="1:19" hidden="1" x14ac:dyDescent="0.25">
      <c r="A356" s="13">
        <v>44347</v>
      </c>
      <c r="B356" t="s">
        <v>83</v>
      </c>
      <c r="C356" t="s">
        <v>173</v>
      </c>
      <c r="D356" t="s">
        <v>36</v>
      </c>
      <c r="E356" s="3">
        <v>117</v>
      </c>
      <c r="F356">
        <v>3884</v>
      </c>
      <c r="G356">
        <v>19</v>
      </c>
      <c r="H356">
        <v>0</v>
      </c>
      <c r="I356">
        <v>0</v>
      </c>
      <c r="J356">
        <v>45</v>
      </c>
      <c r="K356" s="23">
        <f>IF(Tableau1[[#This Row],[Quantité (H)]]=0,0,Tableau1[[#This Row],[Gasoil (L)]]/Tableau1[[#This Row],[Quantité (H)]])</f>
        <v>33.196581196581199</v>
      </c>
      <c r="M356" s="23">
        <v>15284.5</v>
      </c>
      <c r="N356" s="23">
        <v>157950</v>
      </c>
      <c r="O356" s="23">
        <f>Tableau1[[#This Row],[Productivité]]-Tableau1[[#This Row],[ les Charges]]</f>
        <v>142665.5</v>
      </c>
      <c r="R356" s="23">
        <f>VLOOKUP(Tableau1[[#This Row],[Code]],$V$3:$Z$157,4,)</f>
        <v>157950</v>
      </c>
      <c r="S356" s="23">
        <f>VLOOKUP(Tableau1[[#This Row],[Code]],$V$3:$Z$157,5,)</f>
        <v>142665.5</v>
      </c>
    </row>
    <row r="357" spans="1:19" hidden="1" x14ac:dyDescent="0.25">
      <c r="A357" s="13">
        <v>44347</v>
      </c>
      <c r="B357" t="s">
        <v>79</v>
      </c>
      <c r="C357" t="s">
        <v>173</v>
      </c>
      <c r="D357" t="s">
        <v>37</v>
      </c>
      <c r="E357" s="3">
        <v>142.5</v>
      </c>
      <c r="F357">
        <v>0</v>
      </c>
      <c r="G357">
        <v>0</v>
      </c>
      <c r="H357">
        <v>0</v>
      </c>
      <c r="I357">
        <v>0</v>
      </c>
      <c r="J357">
        <v>0</v>
      </c>
      <c r="K357" s="23">
        <f>IF(Tableau1[[#This Row],[Quantité (H)]]=0,0,Tableau1[[#This Row],[Gasoil (L)]]/Tableau1[[#This Row],[Quantité (H)]])</f>
        <v>0</v>
      </c>
      <c r="M357" s="23">
        <v>11810.6</v>
      </c>
      <c r="N357" s="23">
        <v>192375</v>
      </c>
      <c r="O357" s="23">
        <f>Tableau1[[#This Row],[Productivité]]-Tableau1[[#This Row],[ les Charges]]</f>
        <v>180564.4</v>
      </c>
      <c r="R357" s="23">
        <f>VLOOKUP(Tableau1[[#This Row],[Code]],$V$3:$Z$157,4,)</f>
        <v>192375</v>
      </c>
      <c r="S357" s="23">
        <f>VLOOKUP(Tableau1[[#This Row],[Code]],$V$3:$Z$157,5,)</f>
        <v>180564.4</v>
      </c>
    </row>
    <row r="358" spans="1:19" hidden="1" x14ac:dyDescent="0.25">
      <c r="A358" s="13">
        <v>44347</v>
      </c>
      <c r="B358" t="s">
        <v>80</v>
      </c>
      <c r="C358" t="s">
        <v>85</v>
      </c>
      <c r="D358" t="s">
        <v>51</v>
      </c>
      <c r="E358" s="3">
        <v>0</v>
      </c>
      <c r="F358">
        <v>356</v>
      </c>
      <c r="G358">
        <v>5</v>
      </c>
      <c r="H358">
        <v>0</v>
      </c>
      <c r="I358">
        <v>0</v>
      </c>
      <c r="J358">
        <v>0</v>
      </c>
      <c r="K358" s="23">
        <f>IF(Tableau1[[#This Row],[Quantité (H)]]=0,0,Tableau1[[#This Row],[Gasoil (L)]]/Tableau1[[#This Row],[Quantité (H)]])</f>
        <v>0</v>
      </c>
      <c r="L358" s="23">
        <v>10.814224640497473</v>
      </c>
      <c r="O358" s="23">
        <f>Tableau1[[#This Row],[Productivité]]-Tableau1[[#This Row],[ les Charges]]</f>
        <v>0</v>
      </c>
      <c r="R358" s="23">
        <f>VLOOKUP(Tableau1[[#This Row],[Code]],$V$3:$Z$157,4,)</f>
        <v>20825</v>
      </c>
      <c r="S358" s="23">
        <f>VLOOKUP(Tableau1[[#This Row],[Code]],$V$3:$Z$157,5,)</f>
        <v>12880</v>
      </c>
    </row>
    <row r="359" spans="1:19" hidden="1" x14ac:dyDescent="0.25">
      <c r="A359" s="13">
        <v>44347</v>
      </c>
      <c r="B359" t="s">
        <v>79</v>
      </c>
      <c r="C359" t="s">
        <v>85</v>
      </c>
      <c r="D359" t="s">
        <v>51</v>
      </c>
      <c r="E359" s="3">
        <v>0</v>
      </c>
      <c r="F359">
        <v>187</v>
      </c>
      <c r="G359">
        <v>0</v>
      </c>
      <c r="H359">
        <v>0</v>
      </c>
      <c r="I359">
        <v>0</v>
      </c>
      <c r="J359">
        <v>0</v>
      </c>
      <c r="K359" s="23">
        <f>IF(Tableau1[[#This Row],[Quantité (H)]]=0,0,Tableau1[[#This Row],[Gasoil (L)]]/Tableau1[[#This Row],[Quantité (H)]])</f>
        <v>0</v>
      </c>
      <c r="L359" s="23">
        <v>10.814224640497473</v>
      </c>
      <c r="O359" s="23">
        <f>Tableau1[[#This Row],[Productivité]]-Tableau1[[#This Row],[ les Charges]]</f>
        <v>0</v>
      </c>
      <c r="R359" s="23">
        <f>VLOOKUP(Tableau1[[#This Row],[Code]],$V$3:$Z$157,4,)</f>
        <v>20825</v>
      </c>
      <c r="S359" s="23">
        <f>VLOOKUP(Tableau1[[#This Row],[Code]],$V$3:$Z$157,5,)</f>
        <v>12880</v>
      </c>
    </row>
    <row r="360" spans="1:19" hidden="1" x14ac:dyDescent="0.25">
      <c r="A360" s="13">
        <v>44347</v>
      </c>
      <c r="B360" t="s">
        <v>80</v>
      </c>
      <c r="C360" t="s">
        <v>85</v>
      </c>
      <c r="D360" t="s">
        <v>51</v>
      </c>
      <c r="E360" s="3">
        <v>55</v>
      </c>
      <c r="F360">
        <v>570</v>
      </c>
      <c r="G360">
        <v>0</v>
      </c>
      <c r="H360">
        <v>0</v>
      </c>
      <c r="I360">
        <v>5</v>
      </c>
      <c r="J360">
        <v>0</v>
      </c>
      <c r="K360" s="23">
        <f>IF(Tableau1[[#This Row],[Quantité (H)]]=0,0,Tableau1[[#This Row],[Gasoil (L)]]/Tableau1[[#This Row],[Quantité (H)]])</f>
        <v>10.363636363636363</v>
      </c>
      <c r="L360" s="23">
        <v>10.814224640497473</v>
      </c>
      <c r="M360" s="23">
        <v>7945</v>
      </c>
      <c r="N360" s="23">
        <v>20825</v>
      </c>
      <c r="O360" s="23">
        <f>Tableau1[[#This Row],[Productivité]]-Tableau1[[#This Row],[ les Charges]]</f>
        <v>12880</v>
      </c>
      <c r="R360" s="23">
        <f>VLOOKUP(Tableau1[[#This Row],[Code]],$V$3:$Z$157,4,)</f>
        <v>20825</v>
      </c>
      <c r="S360" s="23">
        <f>VLOOKUP(Tableau1[[#This Row],[Code]],$V$3:$Z$157,5,)</f>
        <v>12880</v>
      </c>
    </row>
    <row r="361" spans="1:19" hidden="1" x14ac:dyDescent="0.25">
      <c r="A361" s="13">
        <v>44347</v>
      </c>
      <c r="B361" t="s">
        <v>83</v>
      </c>
      <c r="C361" t="s">
        <v>175</v>
      </c>
      <c r="D361" t="s">
        <v>30</v>
      </c>
      <c r="E361" s="3">
        <v>173</v>
      </c>
      <c r="F361">
        <v>770</v>
      </c>
      <c r="G361">
        <v>21</v>
      </c>
      <c r="H361">
        <v>0</v>
      </c>
      <c r="I361">
        <v>0</v>
      </c>
      <c r="J361">
        <v>0</v>
      </c>
      <c r="K361" s="23">
        <f>IF(Tableau1[[#This Row],[Quantité (H)]]=0,0,Tableau1[[#This Row],[Gasoil (L)]]/Tableau1[[#This Row],[Quantité (H)]])</f>
        <v>4.4508670520231215</v>
      </c>
      <c r="M361" s="23">
        <v>840</v>
      </c>
      <c r="N361" s="23">
        <v>125425</v>
      </c>
      <c r="O361" s="23">
        <f>Tableau1[[#This Row],[Productivité]]-Tableau1[[#This Row],[ les Charges]]</f>
        <v>124585</v>
      </c>
      <c r="R361" s="23">
        <f>VLOOKUP(Tableau1[[#This Row],[Code]],$V$3:$Z$157,4,)</f>
        <v>125425</v>
      </c>
      <c r="S361" s="23">
        <f>VLOOKUP(Tableau1[[#This Row],[Code]],$V$3:$Z$157,5,)</f>
        <v>124585</v>
      </c>
    </row>
    <row r="362" spans="1:19" hidden="1" x14ac:dyDescent="0.25">
      <c r="A362" s="13">
        <v>44347</v>
      </c>
      <c r="B362" t="s">
        <v>84</v>
      </c>
      <c r="C362" t="s">
        <v>195</v>
      </c>
      <c r="D362" t="s">
        <v>38</v>
      </c>
      <c r="E362" s="3">
        <v>95</v>
      </c>
      <c r="F362">
        <v>2254</v>
      </c>
      <c r="G362">
        <v>25</v>
      </c>
      <c r="H362">
        <v>0</v>
      </c>
      <c r="I362">
        <v>35</v>
      </c>
      <c r="J362">
        <v>10</v>
      </c>
      <c r="K362" s="23">
        <f>IF(Tableau1[[#This Row],[Quantité (H)]]=0,0,Tableau1[[#This Row],[Gasoil (L)]]/Tableau1[[#This Row],[Quantité (H)]])</f>
        <v>23.726315789473684</v>
      </c>
      <c r="O362" s="23">
        <f>Tableau1[[#This Row],[Productivité]]-Tableau1[[#This Row],[ les Charges]]</f>
        <v>0</v>
      </c>
      <c r="R362" s="23">
        <f>VLOOKUP(Tableau1[[#This Row],[Code]],$V$3:$Z$157,4,)</f>
        <v>197800</v>
      </c>
      <c r="S362" s="23">
        <f>VLOOKUP(Tableau1[[#This Row],[Code]],$V$3:$Z$157,5,)</f>
        <v>151683.24</v>
      </c>
    </row>
    <row r="363" spans="1:19" hidden="1" x14ac:dyDescent="0.25">
      <c r="A363" s="13">
        <v>44347</v>
      </c>
      <c r="B363" t="s">
        <v>80</v>
      </c>
      <c r="C363" t="s">
        <v>195</v>
      </c>
      <c r="D363" t="s">
        <v>38</v>
      </c>
      <c r="E363" s="3">
        <v>77</v>
      </c>
      <c r="F363">
        <v>1290</v>
      </c>
      <c r="G363">
        <v>42</v>
      </c>
      <c r="H363">
        <v>0</v>
      </c>
      <c r="I363">
        <v>10</v>
      </c>
      <c r="J363">
        <v>5</v>
      </c>
      <c r="K363" s="23">
        <f>IF(Tableau1[[#This Row],[Quantité (H)]]=0,0,Tableau1[[#This Row],[Gasoil (L)]]/Tableau1[[#This Row],[Quantité (H)]])</f>
        <v>16.753246753246753</v>
      </c>
      <c r="M363" s="23">
        <v>46116.76</v>
      </c>
      <c r="N363" s="23">
        <v>197800</v>
      </c>
      <c r="O363" s="23">
        <f>Tableau1[[#This Row],[Productivité]]-Tableau1[[#This Row],[ les Charges]]</f>
        <v>151683.24</v>
      </c>
      <c r="R363" s="23">
        <f>VLOOKUP(Tableau1[[#This Row],[Code]],$V$3:$Z$157,4,)</f>
        <v>197800</v>
      </c>
      <c r="S363" s="23">
        <f>VLOOKUP(Tableau1[[#This Row],[Code]],$V$3:$Z$157,5,)</f>
        <v>151683.24</v>
      </c>
    </row>
    <row r="364" spans="1:19" hidden="1" x14ac:dyDescent="0.25">
      <c r="A364" s="13">
        <v>44347</v>
      </c>
      <c r="B364" t="s">
        <v>79</v>
      </c>
      <c r="C364" t="s">
        <v>92</v>
      </c>
      <c r="D364" t="s">
        <v>136</v>
      </c>
      <c r="E364" s="3">
        <v>0</v>
      </c>
      <c r="F364">
        <v>0</v>
      </c>
      <c r="G364">
        <v>10</v>
      </c>
      <c r="H364">
        <v>0</v>
      </c>
      <c r="I364">
        <v>0</v>
      </c>
      <c r="J364">
        <v>0</v>
      </c>
      <c r="K364" s="23">
        <f>IF(Tableau1[[#This Row],[Quantité (H)]]=0,0,Tableau1[[#This Row],[Gasoil (L)]]/Tableau1[[#This Row],[Quantité (H)]])</f>
        <v>0</v>
      </c>
      <c r="O364" s="23">
        <f>Tableau1[[#This Row],[Productivité]]-Tableau1[[#This Row],[ les Charges]]</f>
        <v>0</v>
      </c>
      <c r="R364" s="23" t="e">
        <f>VLOOKUP(Tableau1[[#This Row],[Code]],$V$3:$Z$157,4,)</f>
        <v>#N/A</v>
      </c>
      <c r="S364" s="23" t="e">
        <f>VLOOKUP(Tableau1[[#This Row],[Code]],$V$3:$Z$157,5,)</f>
        <v>#N/A</v>
      </c>
    </row>
    <row r="365" spans="1:19" hidden="1" x14ac:dyDescent="0.25">
      <c r="A365" s="13">
        <v>44347</v>
      </c>
      <c r="B365" t="s">
        <v>116</v>
      </c>
      <c r="C365" t="s">
        <v>39</v>
      </c>
      <c r="D365" t="s">
        <v>11</v>
      </c>
      <c r="E365" s="3">
        <v>95</v>
      </c>
      <c r="F365">
        <v>1010</v>
      </c>
      <c r="G365">
        <v>85</v>
      </c>
      <c r="H365">
        <v>0</v>
      </c>
      <c r="I365">
        <v>0</v>
      </c>
      <c r="J365">
        <v>2</v>
      </c>
      <c r="K365" s="23">
        <f>IF(Tableau1[[#This Row],[Quantité (H)]]=0,0,Tableau1[[#This Row],[Gasoil (L)]]/Tableau1[[#This Row],[Quantité (H)]])</f>
        <v>10.631578947368421</v>
      </c>
      <c r="M365" s="23">
        <v>17319.990000000002</v>
      </c>
      <c r="N365" s="23">
        <v>47500</v>
      </c>
      <c r="O365" s="23">
        <f>Tableau1[[#This Row],[Productivité]]-Tableau1[[#This Row],[ les Charges]]</f>
        <v>30180.01</v>
      </c>
      <c r="R365" s="23">
        <f>VLOOKUP(Tableau1[[#This Row],[Code]],$V$3:$Z$157,4,)</f>
        <v>47500</v>
      </c>
      <c r="S365" s="23">
        <f>VLOOKUP(Tableau1[[#This Row],[Code]],$V$3:$Z$157,5,)</f>
        <v>30180.01</v>
      </c>
    </row>
    <row r="366" spans="1:19" hidden="1" x14ac:dyDescent="0.25">
      <c r="A366" s="13">
        <v>44347</v>
      </c>
      <c r="B366" t="s">
        <v>83</v>
      </c>
      <c r="C366" t="s">
        <v>39</v>
      </c>
      <c r="D366" t="s">
        <v>13</v>
      </c>
      <c r="E366" s="65">
        <v>151</v>
      </c>
      <c r="F366">
        <v>527</v>
      </c>
      <c r="G366">
        <v>5</v>
      </c>
      <c r="H366">
        <v>0</v>
      </c>
      <c r="I366">
        <v>0</v>
      </c>
      <c r="J366">
        <v>0</v>
      </c>
      <c r="K366" s="23">
        <f>IF(Tableau1[[#This Row],[Quantité (H)]]=0,0,Tableau1[[#This Row],[Gasoil (L)]]/Tableau1[[#This Row],[Quantité (H)]])</f>
        <v>3.4900662251655628</v>
      </c>
      <c r="M366" s="23">
        <v>5470</v>
      </c>
      <c r="N366" s="23">
        <v>60400</v>
      </c>
      <c r="O366" s="23">
        <f>Tableau1[[#This Row],[Productivité]]-Tableau1[[#This Row],[ les Charges]]</f>
        <v>54930</v>
      </c>
      <c r="R366" s="23">
        <f>VLOOKUP(Tableau1[[#This Row],[Code]],$V$3:$Z$157,4,)</f>
        <v>60400</v>
      </c>
      <c r="S366" s="23">
        <f>VLOOKUP(Tableau1[[#This Row],[Code]],$V$3:$Z$157,5,)</f>
        <v>54930</v>
      </c>
    </row>
    <row r="367" spans="1:19" hidden="1" x14ac:dyDescent="0.25">
      <c r="A367" s="13">
        <v>44347</v>
      </c>
      <c r="B367" t="s">
        <v>80</v>
      </c>
      <c r="C367" t="s">
        <v>39</v>
      </c>
      <c r="D367" t="s">
        <v>14</v>
      </c>
      <c r="E367" s="65">
        <v>60</v>
      </c>
      <c r="F367">
        <v>1454</v>
      </c>
      <c r="G367">
        <v>28</v>
      </c>
      <c r="H367">
        <v>0</v>
      </c>
      <c r="I367">
        <v>5</v>
      </c>
      <c r="J367">
        <v>5</v>
      </c>
      <c r="K367" s="23">
        <f>IF(Tableau1[[#This Row],[Quantité (H)]]=0,0,Tableau1[[#This Row],[Gasoil (L)]]/Tableau1[[#This Row],[Quantité (H)]])</f>
        <v>24.233333333333334</v>
      </c>
      <c r="M367" s="23">
        <v>20952.400000000001</v>
      </c>
      <c r="N367" s="23">
        <v>51000</v>
      </c>
      <c r="O367" s="23">
        <f>Tableau1[[#This Row],[Productivité]]-Tableau1[[#This Row],[ les Charges]]</f>
        <v>30047.599999999999</v>
      </c>
      <c r="R367" s="23">
        <f>VLOOKUP(Tableau1[[#This Row],[Code]],$V$3:$Z$157,4,)</f>
        <v>51000</v>
      </c>
      <c r="S367" s="23">
        <f>VLOOKUP(Tableau1[[#This Row],[Code]],$V$3:$Z$157,5,)</f>
        <v>30047.599999999999</v>
      </c>
    </row>
    <row r="368" spans="1:19" hidden="1" x14ac:dyDescent="0.25">
      <c r="A368" s="13">
        <v>44347</v>
      </c>
      <c r="B368" t="s">
        <v>116</v>
      </c>
      <c r="C368" t="s">
        <v>39</v>
      </c>
      <c r="D368" t="s">
        <v>15</v>
      </c>
      <c r="E368" s="65">
        <v>109</v>
      </c>
      <c r="F368">
        <v>1410</v>
      </c>
      <c r="G368">
        <v>10</v>
      </c>
      <c r="H368">
        <v>0</v>
      </c>
      <c r="I368">
        <v>0</v>
      </c>
      <c r="J368">
        <v>2</v>
      </c>
      <c r="K368" s="23">
        <f>IF(Tableau1[[#This Row],[Quantité (H)]]=0,0,Tableau1[[#This Row],[Gasoil (L)]]/Tableau1[[#This Row],[Quantité (H)]])</f>
        <v>12.935779816513762</v>
      </c>
      <c r="M368" s="23">
        <v>14570</v>
      </c>
      <c r="N368" s="23">
        <v>54500</v>
      </c>
      <c r="O368" s="23">
        <f>Tableau1[[#This Row],[Productivité]]-Tableau1[[#This Row],[ les Charges]]</f>
        <v>39930</v>
      </c>
      <c r="R368" s="23">
        <f>VLOOKUP(Tableau1[[#This Row],[Code]],$V$3:$Z$157,4,)</f>
        <v>54500</v>
      </c>
      <c r="S368" s="23">
        <f>VLOOKUP(Tableau1[[#This Row],[Code]],$V$3:$Z$157,5,)</f>
        <v>39930</v>
      </c>
    </row>
    <row r="369" spans="1:19" hidden="1" x14ac:dyDescent="0.25">
      <c r="A369" s="13">
        <v>44347</v>
      </c>
      <c r="B369" t="s">
        <v>79</v>
      </c>
      <c r="C369" t="s">
        <v>92</v>
      </c>
      <c r="D369" t="s">
        <v>97</v>
      </c>
      <c r="E369" s="3">
        <v>31.5</v>
      </c>
      <c r="F369">
        <v>40</v>
      </c>
      <c r="G369">
        <v>0</v>
      </c>
      <c r="H369">
        <v>0</v>
      </c>
      <c r="I369">
        <v>0</v>
      </c>
      <c r="J369">
        <v>0</v>
      </c>
      <c r="K369" s="23">
        <f>IF(Tableau1[[#This Row],[Quantité (H)]]=0,0,Tableau1[[#This Row],[Gasoil (L)]]/Tableau1[[#This Row],[Quantité (H)]])</f>
        <v>1.2698412698412698</v>
      </c>
      <c r="L369" s="23">
        <v>283.68794326241317</v>
      </c>
      <c r="M369" s="23">
        <v>0</v>
      </c>
      <c r="N369" s="23">
        <v>0</v>
      </c>
      <c r="O369" s="23">
        <f>Tableau1[[#This Row],[Productivité]]-Tableau1[[#This Row],[ les Charges]]</f>
        <v>0</v>
      </c>
      <c r="R369" s="23">
        <f>VLOOKUP(Tableau1[[#This Row],[Code]],$V$3:$Z$157,4,)</f>
        <v>0</v>
      </c>
      <c r="S369" s="23">
        <f>VLOOKUP(Tableau1[[#This Row],[Code]],$V$3:$Z$157,5,)</f>
        <v>0</v>
      </c>
    </row>
    <row r="370" spans="1:19" hidden="1" x14ac:dyDescent="0.25">
      <c r="A370" s="13">
        <v>44347</v>
      </c>
      <c r="B370" t="s">
        <v>80</v>
      </c>
      <c r="C370" t="s">
        <v>92</v>
      </c>
      <c r="D370" t="s">
        <v>98</v>
      </c>
      <c r="E370" s="3">
        <v>0</v>
      </c>
      <c r="F370">
        <v>50</v>
      </c>
      <c r="G370">
        <v>0</v>
      </c>
      <c r="H370">
        <v>0</v>
      </c>
      <c r="I370">
        <v>0</v>
      </c>
      <c r="J370">
        <v>0</v>
      </c>
      <c r="K370" s="23">
        <f>IF(Tableau1[[#This Row],[Quantité (H)]]=0,0,Tableau1[[#This Row],[Gasoil (L)]]/Tableau1[[#This Row],[Quantité (H)]])</f>
        <v>0</v>
      </c>
      <c r="M370" s="23">
        <v>0</v>
      </c>
      <c r="N370" s="23">
        <v>0</v>
      </c>
      <c r="O370" s="23">
        <f>Tableau1[[#This Row],[Productivité]]-Tableau1[[#This Row],[ les Charges]]</f>
        <v>0</v>
      </c>
      <c r="R370" s="23">
        <f>VLOOKUP(Tableau1[[#This Row],[Code]],$V$3:$Z$157,4,)</f>
        <v>0</v>
      </c>
      <c r="S370" s="23">
        <f>VLOOKUP(Tableau1[[#This Row],[Code]],$V$3:$Z$157,5,)</f>
        <v>0</v>
      </c>
    </row>
    <row r="371" spans="1:19" hidden="1" x14ac:dyDescent="0.25">
      <c r="A371" s="13">
        <v>44347</v>
      </c>
      <c r="B371" t="s">
        <v>79</v>
      </c>
      <c r="C371" t="s">
        <v>92</v>
      </c>
      <c r="D371" t="s">
        <v>99</v>
      </c>
      <c r="E371" s="3">
        <v>207</v>
      </c>
      <c r="F371">
        <v>4060</v>
      </c>
      <c r="G371">
        <v>33</v>
      </c>
      <c r="H371">
        <v>0</v>
      </c>
      <c r="I371">
        <v>0</v>
      </c>
      <c r="J371">
        <v>0</v>
      </c>
      <c r="K371" s="23">
        <f>IF(Tableau1[[#This Row],[Quantité (H)]]=0,0,Tableau1[[#This Row],[Gasoil (L)]]/Tableau1[[#This Row],[Quantité (H)]])</f>
        <v>19.613526570048307</v>
      </c>
      <c r="M371" s="23">
        <v>1320</v>
      </c>
      <c r="N371" s="23">
        <v>0</v>
      </c>
      <c r="O371" s="23">
        <f>Tableau1[[#This Row],[Productivité]]-Tableau1[[#This Row],[ les Charges]]</f>
        <v>-1320</v>
      </c>
      <c r="R371" s="23">
        <f>VLOOKUP(Tableau1[[#This Row],[Code]],$V$3:$Z$157,4,)</f>
        <v>0</v>
      </c>
      <c r="S371" s="23">
        <f>VLOOKUP(Tableau1[[#This Row],[Code]],$V$3:$Z$157,5,)</f>
        <v>-1320</v>
      </c>
    </row>
    <row r="372" spans="1:19" hidden="1" x14ac:dyDescent="0.25">
      <c r="A372" s="13">
        <v>44347</v>
      </c>
      <c r="B372" t="s">
        <v>80</v>
      </c>
      <c r="C372" t="s">
        <v>92</v>
      </c>
      <c r="D372" t="s">
        <v>100</v>
      </c>
      <c r="E372" s="3">
        <v>0</v>
      </c>
      <c r="F372">
        <v>80</v>
      </c>
      <c r="G372">
        <v>2</v>
      </c>
      <c r="H372">
        <v>0</v>
      </c>
      <c r="I372">
        <v>0</v>
      </c>
      <c r="J372">
        <v>0</v>
      </c>
      <c r="K372" s="23">
        <f>IF(Tableau1[[#This Row],[Quantité (H)]]=0,0,Tableau1[[#This Row],[Gasoil (L)]]/Tableau1[[#This Row],[Quantité (H)]])</f>
        <v>0</v>
      </c>
      <c r="M372" s="23">
        <v>80</v>
      </c>
      <c r="N372" s="23">
        <v>0</v>
      </c>
      <c r="O372" s="23">
        <f>Tableau1[[#This Row],[Productivité]]-Tableau1[[#This Row],[ les Charges]]</f>
        <v>-80</v>
      </c>
      <c r="R372" s="23">
        <f>VLOOKUP(Tableau1[[#This Row],[Code]],$V$3:$Z$157,4,)</f>
        <v>0</v>
      </c>
      <c r="S372" s="23">
        <f>VLOOKUP(Tableau1[[#This Row],[Code]],$V$3:$Z$157,5,)</f>
        <v>-80</v>
      </c>
    </row>
    <row r="373" spans="1:19" hidden="1" x14ac:dyDescent="0.25">
      <c r="A373" s="13">
        <v>44347</v>
      </c>
      <c r="B373" t="s">
        <v>116</v>
      </c>
      <c r="C373" t="s">
        <v>92</v>
      </c>
      <c r="D373" t="s">
        <v>101</v>
      </c>
      <c r="E373" s="3">
        <v>22</v>
      </c>
      <c r="F373">
        <v>25</v>
      </c>
      <c r="G373">
        <v>0</v>
      </c>
      <c r="H373">
        <v>0</v>
      </c>
      <c r="I373">
        <v>0</v>
      </c>
      <c r="J373">
        <v>0</v>
      </c>
      <c r="K373" s="23">
        <f>IF(Tableau1[[#This Row],[Quantité (H)]]=0,0,Tableau1[[#This Row],[Gasoil (L)]]/Tableau1[[#This Row],[Quantité (H)]])</f>
        <v>1.1363636363636365</v>
      </c>
      <c r="M373" s="23">
        <v>0</v>
      </c>
      <c r="N373" s="23">
        <v>0</v>
      </c>
      <c r="O373" s="23">
        <f>Tableau1[[#This Row],[Productivité]]-Tableau1[[#This Row],[ les Charges]]</f>
        <v>0</v>
      </c>
      <c r="R373" s="23">
        <f>VLOOKUP(Tableau1[[#This Row],[Code]],$V$3:$Z$157,4,)</f>
        <v>0</v>
      </c>
      <c r="S373" s="23">
        <f>VLOOKUP(Tableau1[[#This Row],[Code]],$V$3:$Z$157,5,)</f>
        <v>0</v>
      </c>
    </row>
    <row r="374" spans="1:19" hidden="1" x14ac:dyDescent="0.25">
      <c r="A374" s="13">
        <v>44347</v>
      </c>
      <c r="B374" t="s">
        <v>84</v>
      </c>
      <c r="C374" t="s">
        <v>92</v>
      </c>
      <c r="D374" t="s">
        <v>102</v>
      </c>
      <c r="E374" s="3">
        <v>76</v>
      </c>
      <c r="F374">
        <v>115</v>
      </c>
      <c r="G374">
        <v>0</v>
      </c>
      <c r="H374">
        <v>0</v>
      </c>
      <c r="I374">
        <v>0</v>
      </c>
      <c r="J374">
        <v>0</v>
      </c>
      <c r="K374" s="23">
        <f>IF(Tableau1[[#This Row],[Quantité (H)]]=0,0,Tableau1[[#This Row],[Gasoil (L)]]/Tableau1[[#This Row],[Quantité (H)]])</f>
        <v>1.513157894736842</v>
      </c>
      <c r="M374" s="23">
        <v>0</v>
      </c>
      <c r="N374" s="23">
        <v>0</v>
      </c>
      <c r="O374" s="23">
        <f>Tableau1[[#This Row],[Productivité]]-Tableau1[[#This Row],[ les Charges]]</f>
        <v>0</v>
      </c>
      <c r="R374" s="23">
        <f>VLOOKUP(Tableau1[[#This Row],[Code]],$V$3:$Z$157,4,)</f>
        <v>0</v>
      </c>
      <c r="S374" s="23">
        <f>VLOOKUP(Tableau1[[#This Row],[Code]],$V$3:$Z$157,5,)</f>
        <v>0</v>
      </c>
    </row>
    <row r="375" spans="1:19" hidden="1" x14ac:dyDescent="0.25">
      <c r="A375" s="13">
        <v>44347</v>
      </c>
      <c r="B375" t="s">
        <v>80</v>
      </c>
      <c r="C375" t="s">
        <v>92</v>
      </c>
      <c r="D375" t="s">
        <v>104</v>
      </c>
      <c r="E375" s="3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 s="23">
        <f>IF(Tableau1[[#This Row],[Quantité (H)]]=0,0,Tableau1[[#This Row],[Gasoil (L)]]/Tableau1[[#This Row],[Quantité (H)]])</f>
        <v>0</v>
      </c>
      <c r="M375" s="23">
        <v>0</v>
      </c>
      <c r="N375" s="23">
        <v>0</v>
      </c>
      <c r="O375" s="23">
        <f>Tableau1[[#This Row],[Productivité]]-Tableau1[[#This Row],[ les Charges]]</f>
        <v>0</v>
      </c>
      <c r="R375" s="23">
        <f>VLOOKUP(Tableau1[[#This Row],[Code]],$V$3:$Z$157,4,)</f>
        <v>0</v>
      </c>
      <c r="S375" s="23">
        <f>VLOOKUP(Tableau1[[#This Row],[Code]],$V$3:$Z$157,5,)</f>
        <v>0</v>
      </c>
    </row>
    <row r="376" spans="1:19" hidden="1" x14ac:dyDescent="0.25">
      <c r="A376" s="13">
        <v>44347</v>
      </c>
      <c r="B376" t="s">
        <v>84</v>
      </c>
      <c r="C376" t="s">
        <v>92</v>
      </c>
      <c r="D376" t="s">
        <v>125</v>
      </c>
      <c r="E376" s="3">
        <v>42</v>
      </c>
      <c r="F376">
        <v>35</v>
      </c>
      <c r="G376">
        <v>5</v>
      </c>
      <c r="H376">
        <v>0</v>
      </c>
      <c r="I376">
        <v>0</v>
      </c>
      <c r="J376">
        <v>0</v>
      </c>
      <c r="K376" s="23">
        <f>IF(Tableau1[[#This Row],[Quantité (H)]]=0,0,Tableau1[[#This Row],[Gasoil (L)]]/Tableau1[[#This Row],[Quantité (H)]])</f>
        <v>0.83333333333333337</v>
      </c>
      <c r="O376" s="23">
        <f>Tableau1[[#This Row],[Productivité]]-Tableau1[[#This Row],[ les Charges]]</f>
        <v>0</v>
      </c>
      <c r="R376" s="23" t="e">
        <f>VLOOKUP(Tableau1[[#This Row],[Code]],$V$3:$Z$157,4,)</f>
        <v>#N/A</v>
      </c>
      <c r="S376" s="23" t="e">
        <f>VLOOKUP(Tableau1[[#This Row],[Code]],$V$3:$Z$157,5,)</f>
        <v>#N/A</v>
      </c>
    </row>
    <row r="377" spans="1:19" hidden="1" x14ac:dyDescent="0.25">
      <c r="A377" s="13">
        <v>44347</v>
      </c>
      <c r="B377" t="s">
        <v>116</v>
      </c>
      <c r="C377" t="s">
        <v>92</v>
      </c>
      <c r="D377" t="s">
        <v>121</v>
      </c>
      <c r="E377" s="3">
        <v>12</v>
      </c>
      <c r="F377">
        <v>5</v>
      </c>
      <c r="G377">
        <v>0</v>
      </c>
      <c r="H377">
        <v>0</v>
      </c>
      <c r="I377">
        <v>0</v>
      </c>
      <c r="J377">
        <v>0</v>
      </c>
      <c r="K377" s="23">
        <f>IF(Tableau1[[#This Row],[Quantité (H)]]=0,0,Tableau1[[#This Row],[Gasoil (L)]]/Tableau1[[#This Row],[Quantité (H)]])</f>
        <v>0.41666666666666669</v>
      </c>
      <c r="O377" s="23">
        <f>Tableau1[[#This Row],[Productivité]]-Tableau1[[#This Row],[ les Charges]]</f>
        <v>0</v>
      </c>
      <c r="R377" s="23" t="e">
        <f>VLOOKUP(Tableau1[[#This Row],[Code]],$V$3:$Z$157,4,)</f>
        <v>#N/A</v>
      </c>
      <c r="S377" s="23" t="e">
        <f>VLOOKUP(Tableau1[[#This Row],[Code]],$V$3:$Z$157,5,)</f>
        <v>#N/A</v>
      </c>
    </row>
    <row r="378" spans="1:19" hidden="1" x14ac:dyDescent="0.25">
      <c r="A378" s="13">
        <v>44347</v>
      </c>
      <c r="B378" t="s">
        <v>83</v>
      </c>
      <c r="C378" t="s">
        <v>92</v>
      </c>
      <c r="D378" t="s">
        <v>135</v>
      </c>
      <c r="E378" s="3">
        <v>1</v>
      </c>
      <c r="F378">
        <v>20</v>
      </c>
      <c r="G378">
        <v>5</v>
      </c>
      <c r="H378">
        <v>0</v>
      </c>
      <c r="I378">
        <v>0</v>
      </c>
      <c r="J378">
        <v>0</v>
      </c>
      <c r="K378" s="23">
        <f>IF(Tableau1[[#This Row],[Quantité (H)]]=0,0,Tableau1[[#This Row],[Gasoil (L)]]/Tableau1[[#This Row],[Quantité (H)]])</f>
        <v>20</v>
      </c>
      <c r="O378" s="23">
        <f>Tableau1[[#This Row],[Productivité]]-Tableau1[[#This Row],[ les Charges]]</f>
        <v>0</v>
      </c>
      <c r="R378" s="23" t="e">
        <f>VLOOKUP(Tableau1[[#This Row],[Code]],$V$3:$Z$157,4,)</f>
        <v>#N/A</v>
      </c>
      <c r="S378" s="23" t="e">
        <f>VLOOKUP(Tableau1[[#This Row],[Code]],$V$3:$Z$157,5,)</f>
        <v>#N/A</v>
      </c>
    </row>
    <row r="379" spans="1:19" hidden="1" x14ac:dyDescent="0.25">
      <c r="A379" s="13">
        <v>44347</v>
      </c>
      <c r="B379" t="s">
        <v>83</v>
      </c>
      <c r="C379" t="s">
        <v>92</v>
      </c>
      <c r="D379" t="s">
        <v>120</v>
      </c>
      <c r="E379" s="3">
        <v>43</v>
      </c>
      <c r="F379">
        <v>5</v>
      </c>
      <c r="G379">
        <v>0</v>
      </c>
      <c r="H379">
        <v>0</v>
      </c>
      <c r="I379">
        <v>0</v>
      </c>
      <c r="J379">
        <v>0</v>
      </c>
      <c r="K379" s="23">
        <f>IF(Tableau1[[#This Row],[Quantité (H)]]=0,0,Tableau1[[#This Row],[Gasoil (L)]]/Tableau1[[#This Row],[Quantité (H)]])</f>
        <v>0.11627906976744186</v>
      </c>
      <c r="O379" s="23">
        <f>Tableau1[[#This Row],[Productivité]]-Tableau1[[#This Row],[ les Charges]]</f>
        <v>0</v>
      </c>
      <c r="R379" s="23" t="e">
        <f>VLOOKUP(Tableau1[[#This Row],[Code]],$V$3:$Z$157,4,)</f>
        <v>#N/A</v>
      </c>
      <c r="S379" s="23" t="e">
        <f>VLOOKUP(Tableau1[[#This Row],[Code]],$V$3:$Z$157,5,)</f>
        <v>#N/A</v>
      </c>
    </row>
    <row r="380" spans="1:19" hidden="1" x14ac:dyDescent="0.25">
      <c r="A380" s="13">
        <v>44347</v>
      </c>
      <c r="B380" t="s">
        <v>84</v>
      </c>
      <c r="C380" t="s">
        <v>41</v>
      </c>
      <c r="D380" t="s">
        <v>20</v>
      </c>
      <c r="E380" s="65">
        <v>150</v>
      </c>
      <c r="F380">
        <v>2743</v>
      </c>
      <c r="G380">
        <v>55</v>
      </c>
      <c r="H380">
        <v>0</v>
      </c>
      <c r="I380">
        <v>45</v>
      </c>
      <c r="J380">
        <v>30</v>
      </c>
      <c r="K380" s="23">
        <f>IF(Tableau1[[#This Row],[Quantité (H)]]=0,0,Tableau1[[#This Row],[Gasoil (L)]]/Tableau1[[#This Row],[Quantité (H)]])</f>
        <v>18.286666666666665</v>
      </c>
      <c r="M380" s="23">
        <v>35025.81</v>
      </c>
      <c r="N380" s="23">
        <v>63000</v>
      </c>
      <c r="O380" s="23">
        <f>Tableau1[[#This Row],[Productivité]]-Tableau1[[#This Row],[ les Charges]]</f>
        <v>27974.190000000002</v>
      </c>
      <c r="R380" s="23">
        <f>VLOOKUP(Tableau1[[#This Row],[Code]],$V$3:$Z$157,4,)</f>
        <v>63000</v>
      </c>
      <c r="S380" s="23">
        <f>VLOOKUP(Tableau1[[#This Row],[Code]],$V$3:$Z$157,5,)</f>
        <v>27974.190000000002</v>
      </c>
    </row>
    <row r="381" spans="1:19" hidden="1" x14ac:dyDescent="0.25">
      <c r="A381" s="13">
        <v>44347</v>
      </c>
      <c r="B381" t="s">
        <v>83</v>
      </c>
      <c r="C381" t="s">
        <v>41</v>
      </c>
      <c r="D381" t="s">
        <v>21</v>
      </c>
      <c r="E381" s="65">
        <v>148</v>
      </c>
      <c r="F381">
        <v>1432</v>
      </c>
      <c r="G381">
        <v>53</v>
      </c>
      <c r="H381">
        <v>0</v>
      </c>
      <c r="I381">
        <v>0</v>
      </c>
      <c r="J381">
        <v>0</v>
      </c>
      <c r="K381" s="23">
        <f>IF(Tableau1[[#This Row],[Quantité (H)]]=0,0,Tableau1[[#This Row],[Gasoil (L)]]/Tableau1[[#This Row],[Quantité (H)]])</f>
        <v>9.6756756756756754</v>
      </c>
      <c r="M381" s="23">
        <v>17881.66</v>
      </c>
      <c r="N381" s="23">
        <v>62160</v>
      </c>
      <c r="O381" s="23">
        <f>Tableau1[[#This Row],[Productivité]]-Tableau1[[#This Row],[ les Charges]]</f>
        <v>44278.34</v>
      </c>
      <c r="R381" s="23">
        <f>VLOOKUP(Tableau1[[#This Row],[Code]],$V$3:$Z$157,4,)</f>
        <v>62160</v>
      </c>
      <c r="S381" s="23">
        <f>VLOOKUP(Tableau1[[#This Row],[Code]],$V$3:$Z$157,5,)</f>
        <v>44278.34</v>
      </c>
    </row>
    <row r="382" spans="1:19" hidden="1" x14ac:dyDescent="0.25">
      <c r="A382" s="13">
        <v>44347</v>
      </c>
      <c r="B382" t="s">
        <v>116</v>
      </c>
      <c r="C382" t="s">
        <v>41</v>
      </c>
      <c r="D382" t="s">
        <v>124</v>
      </c>
      <c r="E382" s="65">
        <v>168.5</v>
      </c>
      <c r="F382">
        <v>2485</v>
      </c>
      <c r="G382">
        <v>15</v>
      </c>
      <c r="H382">
        <v>0</v>
      </c>
      <c r="I382">
        <v>70</v>
      </c>
      <c r="J382">
        <v>2</v>
      </c>
      <c r="K382" s="23">
        <f>IF(Tableau1[[#This Row],[Quantité (H)]]=0,0,Tableau1[[#This Row],[Gasoil (L)]]/Tableau1[[#This Row],[Quantité (H)]])</f>
        <v>14.747774480712167</v>
      </c>
      <c r="M382" s="23">
        <v>27970</v>
      </c>
      <c r="N382" s="23">
        <v>70770</v>
      </c>
      <c r="O382" s="23">
        <f>Tableau1[[#This Row],[Productivité]]-Tableau1[[#This Row],[ les Charges]]</f>
        <v>42800</v>
      </c>
      <c r="R382" s="23">
        <f>VLOOKUP(Tableau1[[#This Row],[Code]],$V$3:$Z$157,4,)</f>
        <v>70770</v>
      </c>
      <c r="S382" s="23">
        <f>VLOOKUP(Tableau1[[#This Row],[Code]],$V$3:$Z$157,5,)</f>
        <v>42800</v>
      </c>
    </row>
    <row r="383" spans="1:19" hidden="1" x14ac:dyDescent="0.25">
      <c r="A383" s="13">
        <v>44347</v>
      </c>
      <c r="B383" t="s">
        <v>79</v>
      </c>
      <c r="C383" t="s">
        <v>41</v>
      </c>
      <c r="D383" t="s">
        <v>22</v>
      </c>
      <c r="E383" s="65">
        <v>159</v>
      </c>
      <c r="F383">
        <v>2378</v>
      </c>
      <c r="G383">
        <v>35</v>
      </c>
      <c r="H383">
        <v>0</v>
      </c>
      <c r="I383">
        <v>10</v>
      </c>
      <c r="J383">
        <v>10</v>
      </c>
      <c r="K383" s="23">
        <f>IF(Tableau1[[#This Row],[Quantité (H)]]=0,0,Tableau1[[#This Row],[Gasoil (L)]]/Tableau1[[#This Row],[Quantité (H)]])</f>
        <v>14.955974842767295</v>
      </c>
      <c r="M383" s="23">
        <v>13570</v>
      </c>
      <c r="N383" s="23">
        <v>66780</v>
      </c>
      <c r="O383" s="23">
        <f>Tableau1[[#This Row],[Productivité]]-Tableau1[[#This Row],[ les Charges]]</f>
        <v>53210</v>
      </c>
      <c r="R383" s="23">
        <f>VLOOKUP(Tableau1[[#This Row],[Code]],$V$3:$Z$157,4,)</f>
        <v>66780</v>
      </c>
      <c r="S383" s="23">
        <f>VLOOKUP(Tableau1[[#This Row],[Code]],$V$3:$Z$157,5,)</f>
        <v>53210</v>
      </c>
    </row>
    <row r="384" spans="1:19" hidden="1" x14ac:dyDescent="0.25">
      <c r="A384" s="13">
        <v>44347</v>
      </c>
      <c r="B384" t="s">
        <v>80</v>
      </c>
      <c r="C384" t="s">
        <v>41</v>
      </c>
      <c r="D384" t="s">
        <v>23</v>
      </c>
      <c r="E384" s="65">
        <v>113</v>
      </c>
      <c r="F384">
        <v>3190</v>
      </c>
      <c r="G384">
        <v>10</v>
      </c>
      <c r="H384">
        <v>0</v>
      </c>
      <c r="I384">
        <v>102</v>
      </c>
      <c r="J384">
        <v>20</v>
      </c>
      <c r="K384" s="23">
        <f>IF(Tableau1[[#This Row],[Quantité (H)]]=0,0,Tableau1[[#This Row],[Gasoil (L)]]/Tableau1[[#This Row],[Quantité (H)]])</f>
        <v>28.23008849557522</v>
      </c>
      <c r="M384" s="23">
        <v>36570</v>
      </c>
      <c r="N384" s="23">
        <v>47460</v>
      </c>
      <c r="O384" s="23">
        <f>Tableau1[[#This Row],[Productivité]]-Tableau1[[#This Row],[ les Charges]]</f>
        <v>10890</v>
      </c>
      <c r="R384" s="23">
        <f>VLOOKUP(Tableau1[[#This Row],[Code]],$V$3:$Z$157,4,)</f>
        <v>47460</v>
      </c>
      <c r="S384" s="23">
        <f>VLOOKUP(Tableau1[[#This Row],[Code]],$V$3:$Z$157,5,)</f>
        <v>10890</v>
      </c>
    </row>
    <row r="385" spans="1:19" hidden="1" x14ac:dyDescent="0.25">
      <c r="A385" s="13">
        <v>44347</v>
      </c>
      <c r="B385" t="s">
        <v>80</v>
      </c>
      <c r="C385" t="s">
        <v>41</v>
      </c>
      <c r="D385" t="s">
        <v>24</v>
      </c>
      <c r="E385" s="65">
        <v>249</v>
      </c>
      <c r="F385">
        <v>6079</v>
      </c>
      <c r="G385">
        <v>71</v>
      </c>
      <c r="H385">
        <v>0</v>
      </c>
      <c r="I385">
        <v>0</v>
      </c>
      <c r="J385">
        <v>25</v>
      </c>
      <c r="K385" s="23">
        <f>IF(Tableau1[[#This Row],[Quantité (H)]]=0,0,Tableau1[[#This Row],[Gasoil (L)]]/Tableau1[[#This Row],[Quantité (H)]])</f>
        <v>24.413654618473895</v>
      </c>
      <c r="M385" s="23">
        <v>64505</v>
      </c>
      <c r="N385" s="23">
        <v>104580</v>
      </c>
      <c r="O385" s="23">
        <f>Tableau1[[#This Row],[Productivité]]-Tableau1[[#This Row],[ les Charges]]</f>
        <v>40075</v>
      </c>
      <c r="R385" s="23">
        <f>VLOOKUP(Tableau1[[#This Row],[Code]],$V$3:$Z$157,4,)</f>
        <v>104580</v>
      </c>
      <c r="S385" s="23">
        <f>VLOOKUP(Tableau1[[#This Row],[Code]],$V$3:$Z$157,5,)</f>
        <v>40075</v>
      </c>
    </row>
    <row r="386" spans="1:19" hidden="1" x14ac:dyDescent="0.25">
      <c r="A386" s="13">
        <v>44347</v>
      </c>
      <c r="B386" t="s">
        <v>84</v>
      </c>
      <c r="C386" t="s">
        <v>41</v>
      </c>
      <c r="D386" t="s">
        <v>25</v>
      </c>
      <c r="E386" s="65">
        <v>134</v>
      </c>
      <c r="F386">
        <v>2871</v>
      </c>
      <c r="G386">
        <v>45</v>
      </c>
      <c r="H386">
        <v>0</v>
      </c>
      <c r="I386">
        <v>40</v>
      </c>
      <c r="J386">
        <v>55</v>
      </c>
      <c r="K386" s="23">
        <f>IF(Tableau1[[#This Row],[Quantité (H)]]=0,0,Tableau1[[#This Row],[Gasoil (L)]]/Tableau1[[#This Row],[Quantité (H)]])</f>
        <v>21.425373134328357</v>
      </c>
      <c r="M386" s="23">
        <v>37884.99</v>
      </c>
      <c r="N386" s="23">
        <v>56280</v>
      </c>
      <c r="O386" s="23">
        <f>Tableau1[[#This Row],[Productivité]]-Tableau1[[#This Row],[ les Charges]]</f>
        <v>18395.010000000002</v>
      </c>
      <c r="R386" s="23">
        <f>VLOOKUP(Tableau1[[#This Row],[Code]],$V$3:$Z$157,4,)</f>
        <v>56280</v>
      </c>
      <c r="S386" s="23">
        <f>VLOOKUP(Tableau1[[#This Row],[Code]],$V$3:$Z$157,5,)</f>
        <v>18395.010000000002</v>
      </c>
    </row>
    <row r="387" spans="1:19" hidden="1" x14ac:dyDescent="0.25">
      <c r="A387" s="13">
        <v>44347</v>
      </c>
      <c r="B387" t="s">
        <v>80</v>
      </c>
      <c r="C387" t="s">
        <v>41</v>
      </c>
      <c r="D387" t="s">
        <v>26</v>
      </c>
      <c r="E387" s="65">
        <v>229</v>
      </c>
      <c r="F387">
        <v>7759</v>
      </c>
      <c r="G387">
        <v>46</v>
      </c>
      <c r="H387">
        <v>0</v>
      </c>
      <c r="I387">
        <v>40</v>
      </c>
      <c r="J387">
        <v>20</v>
      </c>
      <c r="K387" s="23">
        <f>IF(Tableau1[[#This Row],[Quantité (H)]]=0,0,Tableau1[[#This Row],[Gasoil (L)]]/Tableau1[[#This Row],[Quantité (H)]])</f>
        <v>33.882096069868993</v>
      </c>
      <c r="M387" s="23">
        <v>81530</v>
      </c>
      <c r="N387" s="23">
        <v>96180</v>
      </c>
      <c r="O387" s="23">
        <f>Tableau1[[#This Row],[Productivité]]-Tableau1[[#This Row],[ les Charges]]</f>
        <v>14650</v>
      </c>
      <c r="R387" s="23">
        <f>VLOOKUP(Tableau1[[#This Row],[Code]],$V$3:$Z$157,4,)</f>
        <v>96180</v>
      </c>
      <c r="S387" s="23">
        <f>VLOOKUP(Tableau1[[#This Row],[Code]],$V$3:$Z$157,5,)</f>
        <v>14650</v>
      </c>
    </row>
    <row r="388" spans="1:19" hidden="1" x14ac:dyDescent="0.25">
      <c r="A388" s="13">
        <v>44347</v>
      </c>
      <c r="B388" t="s">
        <v>83</v>
      </c>
      <c r="C388" t="s">
        <v>41</v>
      </c>
      <c r="D388" t="s">
        <v>27</v>
      </c>
      <c r="E388" s="65">
        <v>142</v>
      </c>
      <c r="F388">
        <v>771</v>
      </c>
      <c r="G388">
        <v>5</v>
      </c>
      <c r="H388">
        <v>0</v>
      </c>
      <c r="I388">
        <v>0</v>
      </c>
      <c r="J388">
        <v>0</v>
      </c>
      <c r="K388" s="23">
        <f>IF(Tableau1[[#This Row],[Quantité (H)]]=0,0,Tableau1[[#This Row],[Gasoil (L)]]/Tableau1[[#This Row],[Quantité (H)]])</f>
        <v>5.429577464788732</v>
      </c>
      <c r="M388" s="23">
        <v>7910</v>
      </c>
      <c r="N388" s="23">
        <v>30580</v>
      </c>
      <c r="O388" s="23">
        <f>Tableau1[[#This Row],[Productivité]]-Tableau1[[#This Row],[ les Charges]]</f>
        <v>22670</v>
      </c>
      <c r="R388" s="23">
        <f>VLOOKUP(Tableau1[[#This Row],[Code]],$V$3:$Z$157,4,)</f>
        <v>30580</v>
      </c>
      <c r="S388" s="23">
        <f>VLOOKUP(Tableau1[[#This Row],[Code]],$V$3:$Z$157,5,)</f>
        <v>22670</v>
      </c>
    </row>
    <row r="389" spans="1:19" hidden="1" x14ac:dyDescent="0.25">
      <c r="A389" s="13">
        <v>44347</v>
      </c>
      <c r="B389" t="s">
        <v>84</v>
      </c>
      <c r="C389" t="s">
        <v>41</v>
      </c>
      <c r="D389" t="s">
        <v>137</v>
      </c>
      <c r="E389" s="65">
        <v>85</v>
      </c>
      <c r="F389">
        <v>1003</v>
      </c>
      <c r="G389">
        <v>20</v>
      </c>
      <c r="H389">
        <v>0</v>
      </c>
      <c r="I389">
        <v>10</v>
      </c>
      <c r="J389">
        <v>5</v>
      </c>
      <c r="K389" s="23">
        <f>IF(Tableau1[[#This Row],[Quantité (H)]]=0,0,Tableau1[[#This Row],[Gasoil (L)]]/Tableau1[[#This Row],[Quantité (H)]])</f>
        <v>11.8</v>
      </c>
      <c r="M389" s="23">
        <v>10545</v>
      </c>
      <c r="N389" s="23">
        <v>17820</v>
      </c>
      <c r="O389" s="23">
        <f>Tableau1[[#This Row],[Productivité]]-Tableau1[[#This Row],[ les Charges]]</f>
        <v>7275</v>
      </c>
      <c r="R389" s="23">
        <f>VLOOKUP(Tableau1[[#This Row],[Code]],$V$3:$Z$157,4,)</f>
        <v>17820</v>
      </c>
      <c r="S389" s="23">
        <f>VLOOKUP(Tableau1[[#This Row],[Code]],$V$3:$Z$157,5,)</f>
        <v>7275</v>
      </c>
    </row>
    <row r="390" spans="1:19" hidden="1" x14ac:dyDescent="0.25">
      <c r="A390" s="13">
        <v>44347</v>
      </c>
      <c r="B390" t="s">
        <v>116</v>
      </c>
      <c r="C390" t="s">
        <v>41</v>
      </c>
      <c r="D390" t="s">
        <v>123</v>
      </c>
      <c r="E390" s="65">
        <v>182</v>
      </c>
      <c r="F390">
        <v>1666</v>
      </c>
      <c r="G390">
        <v>5</v>
      </c>
      <c r="H390">
        <v>0</v>
      </c>
      <c r="I390">
        <v>15</v>
      </c>
      <c r="J390">
        <v>2</v>
      </c>
      <c r="K390" s="23">
        <f>IF(Tableau1[[#This Row],[Quantité (H)]]=0,0,Tableau1[[#This Row],[Gasoil (L)]]/Tableau1[[#This Row],[Quantité (H)]])</f>
        <v>9.1538461538461533</v>
      </c>
      <c r="M390" s="23">
        <v>17455</v>
      </c>
      <c r="N390" s="23">
        <v>40040</v>
      </c>
      <c r="O390" s="23">
        <f>Tableau1[[#This Row],[Productivité]]-Tableau1[[#This Row],[ les Charges]]</f>
        <v>22585</v>
      </c>
      <c r="R390" s="23">
        <f>VLOOKUP(Tableau1[[#This Row],[Code]],$V$3:$Z$157,4,)</f>
        <v>40040</v>
      </c>
      <c r="S390" s="23">
        <f>VLOOKUP(Tableau1[[#This Row],[Code]],$V$3:$Z$157,5,)</f>
        <v>22585</v>
      </c>
    </row>
    <row r="391" spans="1:19" hidden="1" x14ac:dyDescent="0.25">
      <c r="A391" s="13">
        <v>44347</v>
      </c>
      <c r="B391" t="s">
        <v>84</v>
      </c>
      <c r="C391" t="s">
        <v>41</v>
      </c>
      <c r="D391" t="s">
        <v>128</v>
      </c>
      <c r="E391" s="65">
        <v>189</v>
      </c>
      <c r="F391">
        <v>3585</v>
      </c>
      <c r="G391">
        <v>20</v>
      </c>
      <c r="H391">
        <v>0</v>
      </c>
      <c r="I391">
        <v>0</v>
      </c>
      <c r="J391">
        <v>45</v>
      </c>
      <c r="K391" s="23">
        <f>IF(Tableau1[[#This Row],[Quantité (H)]]=0,0,Tableau1[[#This Row],[Gasoil (L)]]/Tableau1[[#This Row],[Quantité (H)]])</f>
        <v>18.968253968253968</v>
      </c>
      <c r="M391" s="23">
        <v>39308.300000000003</v>
      </c>
      <c r="N391" s="23">
        <v>79380</v>
      </c>
      <c r="O391" s="23">
        <f>Tableau1[[#This Row],[Productivité]]-Tableau1[[#This Row],[ les Charges]]</f>
        <v>40071.699999999997</v>
      </c>
      <c r="R391" s="23">
        <f>VLOOKUP(Tableau1[[#This Row],[Code]],$V$3:$Z$157,4,)</f>
        <v>79380</v>
      </c>
      <c r="S391" s="23">
        <f>VLOOKUP(Tableau1[[#This Row],[Code]],$V$3:$Z$157,5,)</f>
        <v>40071.699999999997</v>
      </c>
    </row>
    <row r="392" spans="1:19" hidden="1" x14ac:dyDescent="0.25">
      <c r="A392" s="13">
        <v>44347</v>
      </c>
      <c r="B392" t="s">
        <v>84</v>
      </c>
      <c r="C392" t="s">
        <v>41</v>
      </c>
      <c r="D392" t="s">
        <v>127</v>
      </c>
      <c r="E392" s="65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 s="23">
        <f>IF(Tableau1[[#This Row],[Quantité (H)]]=0,0,Tableau1[[#This Row],[Gasoil (L)]]/Tableau1[[#This Row],[Quantité (H)]])</f>
        <v>0</v>
      </c>
      <c r="M392" s="23">
        <v>0</v>
      </c>
      <c r="N392" s="23">
        <v>0</v>
      </c>
      <c r="O392" s="23">
        <f>Tableau1[[#This Row],[Productivité]]-Tableau1[[#This Row],[ les Charges]]</f>
        <v>0</v>
      </c>
      <c r="R392" s="23">
        <f>VLOOKUP(Tableau1[[#This Row],[Code]],$V$3:$Z$157,4,)</f>
        <v>0</v>
      </c>
      <c r="S392" s="23">
        <f>VLOOKUP(Tableau1[[#This Row],[Code]],$V$3:$Z$157,5,)</f>
        <v>0</v>
      </c>
    </row>
    <row r="393" spans="1:19" hidden="1" x14ac:dyDescent="0.25">
      <c r="A393" s="13">
        <v>44347</v>
      </c>
      <c r="B393" t="s">
        <v>84</v>
      </c>
      <c r="C393" t="s">
        <v>41</v>
      </c>
      <c r="D393" t="s">
        <v>129</v>
      </c>
      <c r="E393" s="65">
        <v>189</v>
      </c>
      <c r="F393">
        <v>2940</v>
      </c>
      <c r="G393">
        <v>5</v>
      </c>
      <c r="H393">
        <v>0</v>
      </c>
      <c r="I393">
        <v>10</v>
      </c>
      <c r="J393">
        <v>25</v>
      </c>
      <c r="K393" s="23">
        <f>IF(Tableau1[[#This Row],[Quantité (H)]]=0,0,Tableau1[[#This Row],[Gasoil (L)]]/Tableau1[[#This Row],[Quantité (H)]])</f>
        <v>15.555555555555555</v>
      </c>
      <c r="M393" s="23">
        <v>32991.620000000003</v>
      </c>
      <c r="N393" s="23">
        <v>79380</v>
      </c>
      <c r="O393" s="23">
        <f>Tableau1[[#This Row],[Productivité]]-Tableau1[[#This Row],[ les Charges]]</f>
        <v>46388.38</v>
      </c>
      <c r="R393" s="23">
        <f>VLOOKUP(Tableau1[[#This Row],[Code]],$V$3:$Z$157,4,)</f>
        <v>79380</v>
      </c>
      <c r="S393" s="23">
        <f>VLOOKUP(Tableau1[[#This Row],[Code]],$V$3:$Z$157,5,)</f>
        <v>46388.38</v>
      </c>
    </row>
    <row r="394" spans="1:19" hidden="1" x14ac:dyDescent="0.25">
      <c r="A394" s="13">
        <v>44347</v>
      </c>
      <c r="B394" t="s">
        <v>116</v>
      </c>
      <c r="C394" t="s">
        <v>41</v>
      </c>
      <c r="D394" t="s">
        <v>122</v>
      </c>
      <c r="E394" s="65">
        <v>145</v>
      </c>
      <c r="F394">
        <v>1407</v>
      </c>
      <c r="G394">
        <v>6</v>
      </c>
      <c r="H394">
        <v>0</v>
      </c>
      <c r="I394">
        <v>25</v>
      </c>
      <c r="J394">
        <v>2</v>
      </c>
      <c r="K394" s="23">
        <f>IF(Tableau1[[#This Row],[Quantité (H)]]=0,0,Tableau1[[#This Row],[Gasoil (L)]]/Tableau1[[#This Row],[Quantité (H)]])</f>
        <v>9.703448275862069</v>
      </c>
      <c r="M394" s="23">
        <v>15255</v>
      </c>
      <c r="N394" s="23">
        <v>31900</v>
      </c>
      <c r="O394" s="23">
        <f>Tableau1[[#This Row],[Productivité]]-Tableau1[[#This Row],[ les Charges]]</f>
        <v>16645</v>
      </c>
      <c r="R394" s="23">
        <f>VLOOKUP(Tableau1[[#This Row],[Code]],$V$3:$Z$157,4,)</f>
        <v>31900</v>
      </c>
      <c r="S394" s="23">
        <f>VLOOKUP(Tableau1[[#This Row],[Code]],$V$3:$Z$157,5,)</f>
        <v>16645</v>
      </c>
    </row>
    <row r="395" spans="1:19" hidden="1" x14ac:dyDescent="0.25">
      <c r="A395" s="13">
        <v>44347</v>
      </c>
      <c r="B395" t="s">
        <v>83</v>
      </c>
      <c r="C395" t="s">
        <v>86</v>
      </c>
      <c r="D395" t="s">
        <v>58</v>
      </c>
      <c r="E395" s="65">
        <v>190</v>
      </c>
      <c r="F395">
        <v>398</v>
      </c>
      <c r="G395">
        <v>0</v>
      </c>
      <c r="H395">
        <v>0</v>
      </c>
      <c r="I395">
        <v>0</v>
      </c>
      <c r="J395">
        <v>0</v>
      </c>
      <c r="K395" s="23">
        <f>IF(Tableau1[[#This Row],[Quantité (H)]]=0,0,Tableau1[[#This Row],[Gasoil (L)]]/Tableau1[[#This Row],[Quantité (H)]])</f>
        <v>2.094736842105263</v>
      </c>
      <c r="M395" s="23">
        <v>3980</v>
      </c>
      <c r="N395" s="23">
        <v>12350</v>
      </c>
      <c r="O395" s="23">
        <f>Tableau1[[#This Row],[Productivité]]-Tableau1[[#This Row],[ les Charges]]</f>
        <v>8370</v>
      </c>
      <c r="R395" s="23">
        <f>VLOOKUP(Tableau1[[#This Row],[Code]],$V$3:$Z$157,4,)</f>
        <v>12350</v>
      </c>
      <c r="S395" s="23">
        <f>VLOOKUP(Tableau1[[#This Row],[Code]],$V$3:$Z$157,5,)</f>
        <v>8370</v>
      </c>
    </row>
    <row r="396" spans="1:19" hidden="1" x14ac:dyDescent="0.25">
      <c r="A396" s="13">
        <v>44347</v>
      </c>
      <c r="B396" t="s">
        <v>80</v>
      </c>
      <c r="C396" t="s">
        <v>86</v>
      </c>
      <c r="D396" t="s">
        <v>59</v>
      </c>
      <c r="E396" s="3">
        <v>25</v>
      </c>
      <c r="F396">
        <v>257</v>
      </c>
      <c r="G396">
        <v>0</v>
      </c>
      <c r="H396">
        <v>0</v>
      </c>
      <c r="I396">
        <v>0</v>
      </c>
      <c r="J396">
        <v>0</v>
      </c>
      <c r="K396" s="23">
        <f>IF(Tableau1[[#This Row],[Quantité (H)]]=0,0,Tableau1[[#This Row],[Gasoil (L)]]/Tableau1[[#This Row],[Quantité (H)]])</f>
        <v>10.28</v>
      </c>
      <c r="M396" s="23">
        <v>3470</v>
      </c>
      <c r="N396" s="23">
        <v>5720</v>
      </c>
      <c r="O396" s="23">
        <f>Tableau1[[#This Row],[Productivité]]-Tableau1[[#This Row],[ les Charges]]</f>
        <v>2250</v>
      </c>
      <c r="R396" s="23">
        <f>VLOOKUP(Tableau1[[#This Row],[Code]],$V$3:$Z$157,4,)</f>
        <v>5720</v>
      </c>
      <c r="S396" s="23">
        <f>VLOOKUP(Tableau1[[#This Row],[Code]],$V$3:$Z$157,5,)</f>
        <v>2250</v>
      </c>
    </row>
    <row r="397" spans="1:19" hidden="1" x14ac:dyDescent="0.25">
      <c r="A397" s="13">
        <v>44347</v>
      </c>
      <c r="B397" t="s">
        <v>80</v>
      </c>
      <c r="C397" t="s">
        <v>86</v>
      </c>
      <c r="D397" t="s">
        <v>60</v>
      </c>
      <c r="E397" s="65">
        <v>192</v>
      </c>
      <c r="F397">
        <v>208</v>
      </c>
      <c r="G397">
        <v>0</v>
      </c>
      <c r="H397">
        <v>0</v>
      </c>
      <c r="I397">
        <v>0</v>
      </c>
      <c r="J397">
        <v>0</v>
      </c>
      <c r="K397" s="23">
        <f>IF(Tableau1[[#This Row],[Quantité (H)]]=0,0,Tableau1[[#This Row],[Gasoil (L)]]/Tableau1[[#This Row],[Quantité (H)]])</f>
        <v>1.0833333333333333</v>
      </c>
      <c r="M397" s="23">
        <v>2080</v>
      </c>
      <c r="N397" s="23">
        <v>12480</v>
      </c>
      <c r="O397" s="23">
        <f>Tableau1[[#This Row],[Productivité]]-Tableau1[[#This Row],[ les Charges]]</f>
        <v>10400</v>
      </c>
      <c r="R397" s="23">
        <f>VLOOKUP(Tableau1[[#This Row],[Code]],$V$3:$Z$157,4,)</f>
        <v>12480</v>
      </c>
      <c r="S397" s="23">
        <f>VLOOKUP(Tableau1[[#This Row],[Code]],$V$3:$Z$157,5,)</f>
        <v>10400</v>
      </c>
    </row>
    <row r="398" spans="1:19" hidden="1" x14ac:dyDescent="0.25">
      <c r="A398" s="13">
        <v>44347</v>
      </c>
      <c r="B398" t="s">
        <v>84</v>
      </c>
      <c r="C398" t="s">
        <v>86</v>
      </c>
      <c r="D398" t="s">
        <v>61</v>
      </c>
      <c r="E398" s="3">
        <v>189</v>
      </c>
      <c r="F398">
        <v>206</v>
      </c>
      <c r="G398">
        <v>0</v>
      </c>
      <c r="H398">
        <v>0</v>
      </c>
      <c r="I398">
        <v>0</v>
      </c>
      <c r="J398">
        <v>0</v>
      </c>
      <c r="K398" s="23">
        <f>IF(Tableau1[[#This Row],[Quantité (H)]]=0,0,Tableau1[[#This Row],[Gasoil (L)]]/Tableau1[[#This Row],[Quantité (H)]])</f>
        <v>1.08994708994709</v>
      </c>
      <c r="L398" s="23">
        <v>9.1352549889135251</v>
      </c>
      <c r="M398" s="23">
        <v>2060</v>
      </c>
      <c r="N398" s="23">
        <v>12285</v>
      </c>
      <c r="O398" s="23">
        <f>Tableau1[[#This Row],[Productivité]]-Tableau1[[#This Row],[ les Charges]]</f>
        <v>10225</v>
      </c>
      <c r="R398" s="23">
        <f>VLOOKUP(Tableau1[[#This Row],[Code]],$V$3:$Z$157,4,)</f>
        <v>12285</v>
      </c>
      <c r="S398" s="23">
        <f>VLOOKUP(Tableau1[[#This Row],[Code]],$V$3:$Z$157,5,)</f>
        <v>10225</v>
      </c>
    </row>
    <row r="399" spans="1:19" hidden="1" x14ac:dyDescent="0.25">
      <c r="A399" s="13">
        <v>44347</v>
      </c>
      <c r="B399" t="s">
        <v>80</v>
      </c>
      <c r="C399" s="65" t="s">
        <v>92</v>
      </c>
      <c r="D399" t="s">
        <v>133</v>
      </c>
      <c r="E399" s="3">
        <v>13</v>
      </c>
      <c r="F399">
        <v>772</v>
      </c>
      <c r="G399">
        <v>30</v>
      </c>
      <c r="H399">
        <v>0</v>
      </c>
      <c r="I399">
        <v>5</v>
      </c>
      <c r="J399">
        <v>0</v>
      </c>
      <c r="K399" s="23">
        <f>IF(Tableau1[[#This Row],[Quantité (H)]]=0,0,Tableau1[[#This Row],[Gasoil (L)]]/Tableau1[[#This Row],[Quantité (H)]])</f>
        <v>59.384615384615387</v>
      </c>
      <c r="O399" s="23">
        <f>Tableau1[[#This Row],[Productivité]]-Tableau1[[#This Row],[ les Charges]]</f>
        <v>0</v>
      </c>
      <c r="R399" s="23" t="e">
        <f>VLOOKUP(Tableau1[[#This Row],[Code]],$V$3:$Z$157,4,)</f>
        <v>#N/A</v>
      </c>
      <c r="S399" s="23" t="e">
        <f>VLOOKUP(Tableau1[[#This Row],[Code]],$V$3:$Z$157,5,)</f>
        <v>#N/A</v>
      </c>
    </row>
    <row r="400" spans="1:19" hidden="1" x14ac:dyDescent="0.25">
      <c r="A400" s="13">
        <v>44347</v>
      </c>
      <c r="B400" t="s">
        <v>83</v>
      </c>
      <c r="C400" s="65" t="s">
        <v>43</v>
      </c>
      <c r="D400" t="s">
        <v>33</v>
      </c>
      <c r="E400" s="65">
        <v>168</v>
      </c>
      <c r="F400">
        <v>336</v>
      </c>
      <c r="G400">
        <v>17</v>
      </c>
      <c r="H400">
        <v>0</v>
      </c>
      <c r="I400">
        <v>0</v>
      </c>
      <c r="J400">
        <v>7</v>
      </c>
      <c r="K400" s="23">
        <f>IF(Tableau1[[#This Row],[Quantité (H)]]=0,0,Tableau1[[#This Row],[Gasoil (L)]]/Tableau1[[#This Row],[Quantité (H)]])</f>
        <v>2</v>
      </c>
      <c r="M400" s="23">
        <v>4285</v>
      </c>
      <c r="N400" s="23">
        <v>30240</v>
      </c>
      <c r="O400" s="23">
        <f>Tableau1[[#This Row],[Productivité]]-Tableau1[[#This Row],[ les Charges]]</f>
        <v>25955</v>
      </c>
      <c r="R400" s="23">
        <f>VLOOKUP(Tableau1[[#This Row],[Code]],$V$3:$Z$157,4,)</f>
        <v>30240</v>
      </c>
      <c r="S400" s="23">
        <f>VLOOKUP(Tableau1[[#This Row],[Code]],$V$3:$Z$157,5,)</f>
        <v>25955</v>
      </c>
    </row>
    <row r="401" spans="1:19" hidden="1" x14ac:dyDescent="0.25">
      <c r="A401" s="13">
        <v>44347</v>
      </c>
      <c r="B401" t="s">
        <v>80</v>
      </c>
      <c r="C401" s="65" t="s">
        <v>43</v>
      </c>
      <c r="D401" t="s">
        <v>34</v>
      </c>
      <c r="E401" s="65">
        <v>91</v>
      </c>
      <c r="F401">
        <v>529</v>
      </c>
      <c r="G401">
        <v>0</v>
      </c>
      <c r="H401">
        <v>0</v>
      </c>
      <c r="I401">
        <v>20</v>
      </c>
      <c r="J401">
        <v>0</v>
      </c>
      <c r="K401" s="23">
        <f>IF(Tableau1[[#This Row],[Quantité (H)]]=0,0,Tableau1[[#This Row],[Gasoil (L)]]/Tableau1[[#This Row],[Quantité (H)]])</f>
        <v>5.813186813186813</v>
      </c>
      <c r="M401" s="23">
        <v>5670</v>
      </c>
      <c r="N401" s="23">
        <v>16380</v>
      </c>
      <c r="O401" s="23">
        <f>Tableau1[[#This Row],[Productivité]]-Tableau1[[#This Row],[ les Charges]]</f>
        <v>10710</v>
      </c>
      <c r="R401" s="23">
        <f>VLOOKUP(Tableau1[[#This Row],[Code]],$V$3:$Z$157,4,)</f>
        <v>16380</v>
      </c>
      <c r="S401" s="23">
        <f>VLOOKUP(Tableau1[[#This Row],[Code]],$V$3:$Z$157,5,)</f>
        <v>10710</v>
      </c>
    </row>
    <row r="402" spans="1:19" hidden="1" x14ac:dyDescent="0.25">
      <c r="A402" s="13">
        <v>44347</v>
      </c>
      <c r="B402" t="s">
        <v>116</v>
      </c>
      <c r="C402" s="65" t="s">
        <v>43</v>
      </c>
      <c r="D402" t="s">
        <v>35</v>
      </c>
      <c r="E402" s="65">
        <v>131</v>
      </c>
      <c r="F402">
        <v>535</v>
      </c>
      <c r="G402">
        <v>10</v>
      </c>
      <c r="H402">
        <v>0</v>
      </c>
      <c r="I402">
        <v>20</v>
      </c>
      <c r="J402">
        <v>3</v>
      </c>
      <c r="K402" s="23">
        <f>IF(Tableau1[[#This Row],[Quantité (H)]]=0,0,Tableau1[[#This Row],[Gasoil (L)]]/Tableau1[[#This Row],[Quantité (H)]])</f>
        <v>4.0839694656488552</v>
      </c>
      <c r="M402" s="23">
        <v>6555</v>
      </c>
      <c r="N402" s="23">
        <v>23580</v>
      </c>
      <c r="O402" s="23">
        <f>Tableau1[[#This Row],[Productivité]]-Tableau1[[#This Row],[ les Charges]]</f>
        <v>17025</v>
      </c>
      <c r="R402" s="23">
        <f>VLOOKUP(Tableau1[[#This Row],[Code]],$V$3:$Z$157,4,)</f>
        <v>23580</v>
      </c>
      <c r="S402" s="23">
        <f>VLOOKUP(Tableau1[[#This Row],[Code]],$V$3:$Z$157,5,)</f>
        <v>17025</v>
      </c>
    </row>
    <row r="403" spans="1:19" hidden="1" x14ac:dyDescent="0.25">
      <c r="A403" s="13">
        <v>44347</v>
      </c>
      <c r="B403" t="s">
        <v>84</v>
      </c>
      <c r="C403" s="65" t="s">
        <v>87</v>
      </c>
      <c r="D403" t="s">
        <v>63</v>
      </c>
      <c r="E403" s="3">
        <v>170</v>
      </c>
      <c r="F403">
        <v>142</v>
      </c>
      <c r="G403">
        <v>0</v>
      </c>
      <c r="H403">
        <v>0</v>
      </c>
      <c r="I403">
        <v>0</v>
      </c>
      <c r="J403">
        <v>0</v>
      </c>
      <c r="K403" s="23">
        <f>IF(Tableau1[[#This Row],[Quantité (H)]]=0,0,Tableau1[[#This Row],[Gasoil (L)]]/Tableau1[[#This Row],[Quantité (H)]])</f>
        <v>0.83529411764705885</v>
      </c>
      <c r="M403" s="23">
        <v>1420</v>
      </c>
      <c r="N403" s="23">
        <v>11050</v>
      </c>
      <c r="O403" s="23">
        <f>Tableau1[[#This Row],[Productivité]]-Tableau1[[#This Row],[ les Charges]]</f>
        <v>9630</v>
      </c>
      <c r="R403" s="23">
        <f>VLOOKUP(Tableau1[[#This Row],[Code]],$V$3:$Z$157,4,)</f>
        <v>11050</v>
      </c>
      <c r="S403" s="23">
        <f>VLOOKUP(Tableau1[[#This Row],[Code]],$V$3:$Z$157,5,)</f>
        <v>9630</v>
      </c>
    </row>
    <row r="404" spans="1:19" hidden="1" x14ac:dyDescent="0.25">
      <c r="A404" s="13">
        <v>44347</v>
      </c>
      <c r="B404" t="s">
        <v>79</v>
      </c>
      <c r="C404" s="65" t="s">
        <v>87</v>
      </c>
      <c r="D404" t="s">
        <v>105</v>
      </c>
      <c r="E404" s="65">
        <v>0</v>
      </c>
      <c r="F404">
        <v>50</v>
      </c>
      <c r="G404">
        <v>0</v>
      </c>
      <c r="H404">
        <v>0</v>
      </c>
      <c r="I404">
        <v>0</v>
      </c>
      <c r="J404">
        <v>0</v>
      </c>
      <c r="K404" s="23">
        <f>IF(Tableau1[[#This Row],[Quantité (H)]]=0,0,Tableau1[[#This Row],[Gasoil (L)]]/Tableau1[[#This Row],[Quantité (H)]])</f>
        <v>0</v>
      </c>
      <c r="O404" s="23">
        <f>Tableau1[[#This Row],[Productivité]]-Tableau1[[#This Row],[ les Charges]]</f>
        <v>0</v>
      </c>
      <c r="R404" s="23">
        <f>VLOOKUP(Tableau1[[#This Row],[Code]],$V$3:$Z$157,4,)</f>
        <v>10920</v>
      </c>
      <c r="S404" s="23">
        <f>VLOOKUP(Tableau1[[#This Row],[Code]],$V$3:$Z$157,5,)</f>
        <v>7680</v>
      </c>
    </row>
    <row r="405" spans="1:19" hidden="1" x14ac:dyDescent="0.25">
      <c r="A405" s="13">
        <v>44347</v>
      </c>
      <c r="B405" t="s">
        <v>80</v>
      </c>
      <c r="C405" s="65" t="s">
        <v>87</v>
      </c>
      <c r="D405" t="s">
        <v>105</v>
      </c>
      <c r="E405" s="65">
        <v>168</v>
      </c>
      <c r="F405">
        <v>324</v>
      </c>
      <c r="G405">
        <v>0</v>
      </c>
      <c r="H405">
        <v>0</v>
      </c>
      <c r="I405">
        <v>0</v>
      </c>
      <c r="J405">
        <v>0</v>
      </c>
      <c r="K405" s="23">
        <f>IF(Tableau1[[#This Row],[Quantité (H)]]=0,0,Tableau1[[#This Row],[Gasoil (L)]]/Tableau1[[#This Row],[Quantité (H)]])</f>
        <v>1.9285714285714286</v>
      </c>
      <c r="M405" s="23">
        <v>3240</v>
      </c>
      <c r="N405" s="23">
        <v>10920</v>
      </c>
      <c r="O405" s="23">
        <f>Tableau1[[#This Row],[Productivité]]-Tableau1[[#This Row],[ les Charges]]</f>
        <v>7680</v>
      </c>
      <c r="R405" s="23">
        <f>VLOOKUP(Tableau1[[#This Row],[Code]],$V$3:$Z$157,4,)</f>
        <v>10920</v>
      </c>
      <c r="S405" s="23">
        <f>VLOOKUP(Tableau1[[#This Row],[Code]],$V$3:$Z$157,5,)</f>
        <v>7680</v>
      </c>
    </row>
    <row r="406" spans="1:19" hidden="1" x14ac:dyDescent="0.25">
      <c r="A406" s="13">
        <v>44347</v>
      </c>
      <c r="B406" t="s">
        <v>84</v>
      </c>
      <c r="C406" s="65" t="s">
        <v>88</v>
      </c>
      <c r="D406" t="s">
        <v>64</v>
      </c>
      <c r="E406" s="3">
        <v>0</v>
      </c>
      <c r="F406">
        <v>44</v>
      </c>
      <c r="G406">
        <v>0</v>
      </c>
      <c r="H406">
        <v>0</v>
      </c>
      <c r="I406">
        <v>0</v>
      </c>
      <c r="J406">
        <v>0</v>
      </c>
      <c r="K406" s="23">
        <f>IF(Tableau1[[#This Row],[Quantité (H)]]=0,0,Tableau1[[#This Row],[Gasoil (L)]]/Tableau1[[#This Row],[Quantité (H)]])</f>
        <v>0</v>
      </c>
      <c r="O406" s="23">
        <f>Tableau1[[#This Row],[Productivité]]-Tableau1[[#This Row],[ les Charges]]</f>
        <v>0</v>
      </c>
      <c r="R406" s="23">
        <f>VLOOKUP(Tableau1[[#This Row],[Code]],$V$3:$Z$157,4,)</f>
        <v>9600</v>
      </c>
      <c r="S406" s="23">
        <f>VLOOKUP(Tableau1[[#This Row],[Code]],$V$3:$Z$157,5,)</f>
        <v>8270</v>
      </c>
    </row>
    <row r="407" spans="1:19" hidden="1" x14ac:dyDescent="0.25">
      <c r="A407" s="13">
        <v>44347</v>
      </c>
      <c r="B407" t="s">
        <v>80</v>
      </c>
      <c r="C407" s="65" t="s">
        <v>88</v>
      </c>
      <c r="D407" t="s">
        <v>64</v>
      </c>
      <c r="E407" s="3">
        <v>0</v>
      </c>
      <c r="F407">
        <v>89</v>
      </c>
      <c r="G407">
        <v>0</v>
      </c>
      <c r="H407">
        <v>0</v>
      </c>
      <c r="I407">
        <v>0</v>
      </c>
      <c r="J407">
        <v>0</v>
      </c>
      <c r="K407" s="23">
        <f>IF(Tableau1[[#This Row],[Quantité (H)]]=0,0,Tableau1[[#This Row],[Gasoil (L)]]/Tableau1[[#This Row],[Quantité (H)]])</f>
        <v>0</v>
      </c>
      <c r="M407" s="23">
        <v>1330</v>
      </c>
      <c r="N407" s="23">
        <v>9600</v>
      </c>
      <c r="O407" s="23">
        <f>Tableau1[[#This Row],[Productivité]]-Tableau1[[#This Row],[ les Charges]]</f>
        <v>8270</v>
      </c>
      <c r="R407" s="23">
        <f>VLOOKUP(Tableau1[[#This Row],[Code]],$V$3:$Z$157,4,)</f>
        <v>9600</v>
      </c>
      <c r="S407" s="23">
        <f>VLOOKUP(Tableau1[[#This Row],[Code]],$V$3:$Z$157,5,)</f>
        <v>8270</v>
      </c>
    </row>
    <row r="408" spans="1:19" hidden="1" x14ac:dyDescent="0.25">
      <c r="A408" s="13">
        <v>44347</v>
      </c>
      <c r="B408" t="s">
        <v>116</v>
      </c>
      <c r="C408" s="65" t="s">
        <v>88</v>
      </c>
      <c r="D408" t="s">
        <v>65</v>
      </c>
      <c r="E408" s="3">
        <v>0</v>
      </c>
      <c r="F408">
        <v>66</v>
      </c>
      <c r="G408">
        <v>0</v>
      </c>
      <c r="H408">
        <v>0</v>
      </c>
      <c r="I408">
        <v>0</v>
      </c>
      <c r="J408">
        <v>0</v>
      </c>
      <c r="K408" s="23">
        <f>IF(Tableau1[[#This Row],[Quantité (H)]]=0,0,Tableau1[[#This Row],[Gasoil (L)]]/Tableau1[[#This Row],[Quantité (H)]])</f>
        <v>0</v>
      </c>
      <c r="L408" s="23">
        <v>14.405360134003351</v>
      </c>
      <c r="O408" s="23">
        <f>Tableau1[[#This Row],[Productivité]]-Tableau1[[#This Row],[ les Charges]]</f>
        <v>0</v>
      </c>
      <c r="R408" s="23">
        <f>VLOOKUP(Tableau1[[#This Row],[Code]],$V$3:$Z$157,4,)</f>
        <v>18400</v>
      </c>
      <c r="S408" s="23">
        <f>VLOOKUP(Tableau1[[#This Row],[Code]],$V$3:$Z$157,5,)</f>
        <v>15820</v>
      </c>
    </row>
    <row r="409" spans="1:19" hidden="1" x14ac:dyDescent="0.25">
      <c r="A409" s="13">
        <v>44347</v>
      </c>
      <c r="B409" t="s">
        <v>83</v>
      </c>
      <c r="C409" s="65" t="s">
        <v>88</v>
      </c>
      <c r="D409" t="s">
        <v>65</v>
      </c>
      <c r="E409" s="3">
        <v>27</v>
      </c>
      <c r="F409">
        <v>192</v>
      </c>
      <c r="G409">
        <v>0</v>
      </c>
      <c r="H409">
        <v>0</v>
      </c>
      <c r="I409">
        <v>0</v>
      </c>
      <c r="J409">
        <v>0</v>
      </c>
      <c r="K409" s="23">
        <f>IF(Tableau1[[#This Row],[Quantité (H)]]=0,0,Tableau1[[#This Row],[Gasoil (L)]]/Tableau1[[#This Row],[Quantité (H)]])</f>
        <v>7.1111111111111107</v>
      </c>
      <c r="L409" s="23">
        <v>14.405360134003351</v>
      </c>
      <c r="M409" s="23">
        <v>2580</v>
      </c>
      <c r="N409" s="23">
        <v>18400</v>
      </c>
      <c r="O409" s="23">
        <f>Tableau1[[#This Row],[Productivité]]-Tableau1[[#This Row],[ les Charges]]</f>
        <v>15820</v>
      </c>
      <c r="R409" s="23">
        <f>VLOOKUP(Tableau1[[#This Row],[Code]],$V$3:$Z$157,4,)</f>
        <v>18400</v>
      </c>
      <c r="S409" s="23">
        <f>VLOOKUP(Tableau1[[#This Row],[Code]],$V$3:$Z$157,5,)</f>
        <v>15820</v>
      </c>
    </row>
    <row r="410" spans="1:19" hidden="1" x14ac:dyDescent="0.25">
      <c r="A410" s="13">
        <v>44347</v>
      </c>
      <c r="B410" t="s">
        <v>79</v>
      </c>
      <c r="C410" s="65" t="s">
        <v>88</v>
      </c>
      <c r="D410" t="s">
        <v>66</v>
      </c>
      <c r="E410" s="65">
        <v>8</v>
      </c>
      <c r="F410">
        <v>0</v>
      </c>
      <c r="G410">
        <v>0</v>
      </c>
      <c r="H410">
        <v>0</v>
      </c>
      <c r="I410">
        <v>0</v>
      </c>
      <c r="J410">
        <v>0</v>
      </c>
      <c r="K410" s="23">
        <f>IF(Tableau1[[#This Row],[Quantité (H)]]=0,0,Tableau1[[#This Row],[Gasoil (L)]]/Tableau1[[#This Row],[Quantité (H)]])</f>
        <v>0</v>
      </c>
      <c r="O410" s="23">
        <f>Tableau1[[#This Row],[Productivité]]-Tableau1[[#This Row],[ les Charges]]</f>
        <v>0</v>
      </c>
      <c r="R410" s="23">
        <f>VLOOKUP(Tableau1[[#This Row],[Code]],$V$3:$Z$157,4,)</f>
        <v>9600</v>
      </c>
      <c r="S410" s="23">
        <f>VLOOKUP(Tableau1[[#This Row],[Code]],$V$3:$Z$157,5,)</f>
        <v>9220</v>
      </c>
    </row>
    <row r="411" spans="1:19" hidden="1" x14ac:dyDescent="0.25">
      <c r="A411" s="13">
        <v>44347</v>
      </c>
      <c r="B411" t="s">
        <v>83</v>
      </c>
      <c r="C411" s="65" t="s">
        <v>88</v>
      </c>
      <c r="D411" t="s">
        <v>66</v>
      </c>
      <c r="E411" s="65">
        <v>7</v>
      </c>
      <c r="F411">
        <v>38</v>
      </c>
      <c r="G411">
        <v>0</v>
      </c>
      <c r="H411">
        <v>0</v>
      </c>
      <c r="I411">
        <v>0</v>
      </c>
      <c r="J411">
        <v>0</v>
      </c>
      <c r="K411" s="23">
        <f>IF(Tableau1[[#This Row],[Quantité (H)]]=0,0,Tableau1[[#This Row],[Gasoil (L)]]/Tableau1[[#This Row],[Quantité (H)]])</f>
        <v>5.4285714285714288</v>
      </c>
      <c r="M411" s="23">
        <v>380</v>
      </c>
      <c r="N411" s="23">
        <v>9600</v>
      </c>
      <c r="O411" s="23">
        <f>Tableau1[[#This Row],[Productivité]]-Tableau1[[#This Row],[ les Charges]]</f>
        <v>9220</v>
      </c>
      <c r="R411" s="23">
        <f>VLOOKUP(Tableau1[[#This Row],[Code]],$V$3:$Z$157,4,)</f>
        <v>9600</v>
      </c>
      <c r="S411" s="23">
        <f>VLOOKUP(Tableau1[[#This Row],[Code]],$V$3:$Z$157,5,)</f>
        <v>9220</v>
      </c>
    </row>
    <row r="412" spans="1:19" hidden="1" x14ac:dyDescent="0.25">
      <c r="A412" s="13">
        <v>44347</v>
      </c>
      <c r="B412" t="s">
        <v>83</v>
      </c>
      <c r="C412" s="65" t="s">
        <v>88</v>
      </c>
      <c r="D412" t="s">
        <v>67</v>
      </c>
      <c r="E412" s="3">
        <v>187</v>
      </c>
      <c r="F412">
        <v>115</v>
      </c>
      <c r="G412">
        <v>0</v>
      </c>
      <c r="H412">
        <v>0</v>
      </c>
      <c r="I412">
        <v>0</v>
      </c>
      <c r="J412">
        <v>0</v>
      </c>
      <c r="K412" s="23">
        <f>IF(Tableau1[[#This Row],[Quantité (H)]]=0,0,Tableau1[[#This Row],[Gasoil (L)]]/Tableau1[[#This Row],[Quantité (H)]])</f>
        <v>0.61497326203208558</v>
      </c>
      <c r="L412" s="23">
        <v>7.8767123287671232</v>
      </c>
      <c r="M412" s="23">
        <v>1150</v>
      </c>
      <c r="N412" s="23">
        <v>6600</v>
      </c>
      <c r="O412" s="23">
        <f>Tableau1[[#This Row],[Productivité]]-Tableau1[[#This Row],[ les Charges]]</f>
        <v>5450</v>
      </c>
      <c r="R412" s="23">
        <f>VLOOKUP(Tableau1[[#This Row],[Code]],$V$3:$Z$157,4,)</f>
        <v>6600</v>
      </c>
      <c r="S412" s="23">
        <f>VLOOKUP(Tableau1[[#This Row],[Code]],$V$3:$Z$157,5,)</f>
        <v>5450</v>
      </c>
    </row>
    <row r="413" spans="1:19" hidden="1" x14ac:dyDescent="0.25">
      <c r="A413" s="13">
        <v>44347</v>
      </c>
      <c r="B413" t="s">
        <v>80</v>
      </c>
      <c r="C413" s="65" t="s">
        <v>88</v>
      </c>
      <c r="D413" t="s">
        <v>69</v>
      </c>
      <c r="E413" s="3">
        <v>192</v>
      </c>
      <c r="F413">
        <v>277</v>
      </c>
      <c r="G413">
        <v>0</v>
      </c>
      <c r="H413">
        <v>0</v>
      </c>
      <c r="I413">
        <v>0</v>
      </c>
      <c r="J413">
        <v>0</v>
      </c>
      <c r="K413" s="23">
        <f>IF(Tableau1[[#This Row],[Quantité (H)]]=0,0,Tableau1[[#This Row],[Gasoil (L)]]/Tableau1[[#This Row],[Quantité (H)]])</f>
        <v>1.4427083333333333</v>
      </c>
      <c r="L413" s="23">
        <v>6.1582925744775459</v>
      </c>
      <c r="M413" s="23">
        <v>2770</v>
      </c>
      <c r="N413" s="23">
        <v>6900</v>
      </c>
      <c r="O413" s="23">
        <f>Tableau1[[#This Row],[Productivité]]-Tableau1[[#This Row],[ les Charges]]</f>
        <v>4130</v>
      </c>
      <c r="R413" s="23">
        <f>VLOOKUP(Tableau1[[#This Row],[Code]],$V$3:$Z$157,4,)</f>
        <v>6900</v>
      </c>
      <c r="S413" s="23">
        <f>VLOOKUP(Tableau1[[#This Row],[Code]],$V$3:$Z$157,5,)</f>
        <v>4130</v>
      </c>
    </row>
    <row r="414" spans="1:19" hidden="1" x14ac:dyDescent="0.25">
      <c r="A414" s="13">
        <v>44347</v>
      </c>
      <c r="B414" t="s">
        <v>80</v>
      </c>
      <c r="C414" s="65" t="s">
        <v>88</v>
      </c>
      <c r="D414" t="s">
        <v>70</v>
      </c>
      <c r="E414" s="3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 s="23">
        <f>IF(Tableau1[[#This Row],[Quantité (H)]]=0,0,Tableau1[[#This Row],[Gasoil (L)]]/Tableau1[[#This Row],[Quantité (H)]])</f>
        <v>0</v>
      </c>
      <c r="O414" s="23">
        <f>Tableau1[[#This Row],[Productivité]]-Tableau1[[#This Row],[ les Charges]]</f>
        <v>0</v>
      </c>
      <c r="R414" s="23">
        <f>VLOOKUP(Tableau1[[#This Row],[Code]],$V$3:$Z$157,4,)</f>
        <v>7500</v>
      </c>
      <c r="S414" s="23">
        <f>VLOOKUP(Tableau1[[#This Row],[Code]],$V$3:$Z$157,5,)</f>
        <v>5500</v>
      </c>
    </row>
    <row r="415" spans="1:19" hidden="1" x14ac:dyDescent="0.25">
      <c r="A415" s="13">
        <v>44347</v>
      </c>
      <c r="B415" t="s">
        <v>84</v>
      </c>
      <c r="C415" s="65" t="s">
        <v>88</v>
      </c>
      <c r="D415" t="s">
        <v>70</v>
      </c>
      <c r="E415" s="3">
        <v>27</v>
      </c>
      <c r="F415">
        <v>200</v>
      </c>
      <c r="G415">
        <v>0</v>
      </c>
      <c r="H415">
        <v>0</v>
      </c>
      <c r="I415">
        <v>0</v>
      </c>
      <c r="J415">
        <v>0</v>
      </c>
      <c r="K415" s="23">
        <f>IF(Tableau1[[#This Row],[Quantité (H)]]=0,0,Tableau1[[#This Row],[Gasoil (L)]]/Tableau1[[#This Row],[Quantité (H)]])</f>
        <v>7.4074074074074074</v>
      </c>
      <c r="L415" s="23">
        <v>4.6146746654360866</v>
      </c>
      <c r="M415" s="23">
        <v>2000</v>
      </c>
      <c r="N415" s="23">
        <v>7500</v>
      </c>
      <c r="O415" s="23">
        <f>Tableau1[[#This Row],[Productivité]]-Tableau1[[#This Row],[ les Charges]]</f>
        <v>5500</v>
      </c>
      <c r="R415" s="23">
        <f>VLOOKUP(Tableau1[[#This Row],[Code]],$V$3:$Z$157,4,)</f>
        <v>7500</v>
      </c>
      <c r="S415" s="23">
        <f>VLOOKUP(Tableau1[[#This Row],[Code]],$V$3:$Z$157,5,)</f>
        <v>5500</v>
      </c>
    </row>
    <row r="416" spans="1:19" hidden="1" x14ac:dyDescent="0.25">
      <c r="A416" s="13">
        <v>44347</v>
      </c>
      <c r="B416" t="s">
        <v>116</v>
      </c>
      <c r="C416" s="65" t="s">
        <v>88</v>
      </c>
      <c r="D416" t="s">
        <v>71</v>
      </c>
      <c r="E416" s="3">
        <v>129</v>
      </c>
      <c r="F416">
        <v>162</v>
      </c>
      <c r="G416">
        <v>0</v>
      </c>
      <c r="H416">
        <v>0</v>
      </c>
      <c r="I416">
        <v>0</v>
      </c>
      <c r="J416">
        <v>0</v>
      </c>
      <c r="K416" s="23">
        <f>IF(Tableau1[[#This Row],[Quantité (H)]]=0,0,Tableau1[[#This Row],[Gasoil (L)]]/Tableau1[[#This Row],[Quantité (H)]])</f>
        <v>1.2558139534883721</v>
      </c>
      <c r="L416" s="23">
        <v>7.5077743225233231</v>
      </c>
      <c r="O416" s="23">
        <f>Tableau1[[#This Row],[Productivité]]-Tableau1[[#This Row],[ les Charges]]</f>
        <v>0</v>
      </c>
      <c r="R416" s="23">
        <f>VLOOKUP(Tableau1[[#This Row],[Code]],$V$3:$Z$157,4,)</f>
        <v>7200</v>
      </c>
      <c r="S416" s="23">
        <f>VLOOKUP(Tableau1[[#This Row],[Code]],$V$3:$Z$157,5,)</f>
        <v>3820</v>
      </c>
    </row>
    <row r="417" spans="1:23" hidden="1" x14ac:dyDescent="0.25">
      <c r="A417" s="13">
        <v>44347</v>
      </c>
      <c r="B417" t="s">
        <v>83</v>
      </c>
      <c r="C417" s="65" t="s">
        <v>88</v>
      </c>
      <c r="D417" t="s">
        <v>71</v>
      </c>
      <c r="E417" s="3">
        <v>47</v>
      </c>
      <c r="F417">
        <v>176</v>
      </c>
      <c r="G417">
        <v>0</v>
      </c>
      <c r="H417">
        <v>0</v>
      </c>
      <c r="I417">
        <v>0</v>
      </c>
      <c r="J417">
        <v>0</v>
      </c>
      <c r="K417" s="23">
        <f>IF(Tableau1[[#This Row],[Quantité (H)]]=0,0,Tableau1[[#This Row],[Gasoil (L)]]/Tableau1[[#This Row],[Quantité (H)]])</f>
        <v>3.7446808510638299</v>
      </c>
      <c r="L417" s="23">
        <v>7.5077743225233231</v>
      </c>
      <c r="M417" s="23">
        <v>3380</v>
      </c>
      <c r="N417" s="23">
        <v>7200</v>
      </c>
      <c r="O417" s="23">
        <f>Tableau1[[#This Row],[Productivité]]-Tableau1[[#This Row],[ les Charges]]</f>
        <v>3820</v>
      </c>
      <c r="R417" s="23">
        <f>VLOOKUP(Tableau1[[#This Row],[Code]],$V$3:$Z$157,4,)</f>
        <v>7200</v>
      </c>
      <c r="S417" s="23">
        <f>VLOOKUP(Tableau1[[#This Row],[Code]],$V$3:$Z$157,5,)</f>
        <v>3820</v>
      </c>
    </row>
    <row r="418" spans="1:23" hidden="1" x14ac:dyDescent="0.25">
      <c r="A418" s="13">
        <v>44347</v>
      </c>
      <c r="B418" t="s">
        <v>80</v>
      </c>
      <c r="C418" s="65" t="s">
        <v>88</v>
      </c>
      <c r="D418" t="s">
        <v>72</v>
      </c>
      <c r="E418" s="3">
        <v>0</v>
      </c>
      <c r="F418">
        <v>47</v>
      </c>
      <c r="G418">
        <v>0</v>
      </c>
      <c r="H418">
        <v>0</v>
      </c>
      <c r="I418">
        <v>0</v>
      </c>
      <c r="J418">
        <v>0</v>
      </c>
      <c r="K418" s="23">
        <f>IF(Tableau1[[#This Row],[Quantité (H)]]=0,0,Tableau1[[#This Row],[Gasoil (L)]]/Tableau1[[#This Row],[Quantité (H)]])</f>
        <v>0</v>
      </c>
      <c r="L418" s="23">
        <v>9.8666152659984601</v>
      </c>
      <c r="O418" s="23">
        <f>Tableau1[[#This Row],[Productivité]]-Tableau1[[#This Row],[ les Charges]]</f>
        <v>0</v>
      </c>
      <c r="R418" s="23">
        <f>VLOOKUP(Tableau1[[#This Row],[Code]],$V$3:$Z$157,4,)</f>
        <v>7500</v>
      </c>
      <c r="S418" s="23">
        <f>VLOOKUP(Tableau1[[#This Row],[Code]],$V$3:$Z$157,5,)</f>
        <v>4062</v>
      </c>
    </row>
    <row r="419" spans="1:23" hidden="1" x14ac:dyDescent="0.25">
      <c r="A419" s="13">
        <v>44347</v>
      </c>
      <c r="B419" t="s">
        <v>79</v>
      </c>
      <c r="C419" s="65" t="s">
        <v>88</v>
      </c>
      <c r="D419" t="s">
        <v>72</v>
      </c>
      <c r="E419" s="3">
        <v>0</v>
      </c>
      <c r="F419">
        <v>50</v>
      </c>
      <c r="G419">
        <v>0</v>
      </c>
      <c r="H419">
        <v>0</v>
      </c>
      <c r="I419">
        <v>0</v>
      </c>
      <c r="J419">
        <v>0</v>
      </c>
      <c r="K419" s="23">
        <f>IF(Tableau1[[#This Row],[Quantité (H)]]=0,0,Tableau1[[#This Row],[Gasoil (L)]]/Tableau1[[#This Row],[Quantité (H)]])</f>
        <v>0</v>
      </c>
      <c r="L419" s="23">
        <v>8.8346</v>
      </c>
      <c r="O419" s="23">
        <f>Tableau1[[#This Row],[Productivité]]-Tableau1[[#This Row],[ les Charges]]</f>
        <v>0</v>
      </c>
      <c r="R419" s="23">
        <f>VLOOKUP(Tableau1[[#This Row],[Code]],$V$3:$Z$157,4,)</f>
        <v>7500</v>
      </c>
      <c r="S419" s="23">
        <f>VLOOKUP(Tableau1[[#This Row],[Code]],$V$3:$Z$157,5,)</f>
        <v>4062</v>
      </c>
    </row>
    <row r="420" spans="1:23" hidden="1" x14ac:dyDescent="0.25">
      <c r="A420" s="13">
        <v>44347</v>
      </c>
      <c r="B420" t="s">
        <v>84</v>
      </c>
      <c r="C420" s="65" t="s">
        <v>88</v>
      </c>
      <c r="D420" t="s">
        <v>72</v>
      </c>
      <c r="E420" s="3">
        <v>27</v>
      </c>
      <c r="F420">
        <v>115</v>
      </c>
      <c r="G420">
        <v>0</v>
      </c>
      <c r="H420">
        <v>0</v>
      </c>
      <c r="I420">
        <v>0</v>
      </c>
      <c r="J420">
        <v>0</v>
      </c>
      <c r="K420" s="23">
        <f>IF(Tableau1[[#This Row],[Quantité (H)]]=0,0,Tableau1[[#This Row],[Gasoil (L)]]/Tableau1[[#This Row],[Quantité (H)]])</f>
        <v>4.2592592592592595</v>
      </c>
      <c r="L420" s="23">
        <v>8.8666152659984583</v>
      </c>
      <c r="M420" s="23">
        <v>3438</v>
      </c>
      <c r="N420" s="23">
        <v>7500</v>
      </c>
      <c r="O420" s="23">
        <f>Tableau1[[#This Row],[Productivité]]-Tableau1[[#This Row],[ les Charges]]</f>
        <v>4062</v>
      </c>
      <c r="R420" s="23">
        <f>VLOOKUP(Tableau1[[#This Row],[Code]],$V$3:$Z$157,4,)</f>
        <v>7500</v>
      </c>
      <c r="S420" s="23">
        <f>VLOOKUP(Tableau1[[#This Row],[Code]],$V$3:$Z$157,5,)</f>
        <v>4062</v>
      </c>
    </row>
    <row r="421" spans="1:23" hidden="1" x14ac:dyDescent="0.25">
      <c r="A421" s="13">
        <v>44347</v>
      </c>
      <c r="B421" t="s">
        <v>79</v>
      </c>
      <c r="C421" s="65" t="s">
        <v>88</v>
      </c>
      <c r="D421" t="s">
        <v>73</v>
      </c>
      <c r="E421" s="3">
        <v>160</v>
      </c>
      <c r="F421">
        <v>255.22</v>
      </c>
      <c r="G421">
        <v>0</v>
      </c>
      <c r="H421">
        <v>0</v>
      </c>
      <c r="I421">
        <v>0</v>
      </c>
      <c r="J421">
        <v>0</v>
      </c>
      <c r="K421" s="23">
        <f>IF(Tableau1[[#This Row],[Quantité (H)]]=0,0,Tableau1[[#This Row],[Gasoil (L)]]/Tableau1[[#This Row],[Quantité (H)]])</f>
        <v>1.5951249999999999</v>
      </c>
      <c r="L421" s="23">
        <v>8.8666152659984583</v>
      </c>
      <c r="M421" s="23">
        <v>1992</v>
      </c>
      <c r="N421" s="23">
        <v>6000</v>
      </c>
      <c r="O421" s="23">
        <f>Tableau1[[#This Row],[Productivité]]-Tableau1[[#This Row],[ les Charges]]</f>
        <v>4008</v>
      </c>
      <c r="R421" s="23">
        <f>VLOOKUP(Tableau1[[#This Row],[Code]],$V$3:$Z$157,4,)</f>
        <v>6000</v>
      </c>
      <c r="S421" s="23">
        <f>VLOOKUP(Tableau1[[#This Row],[Code]],$V$3:$Z$157,5,)</f>
        <v>4008</v>
      </c>
    </row>
    <row r="422" spans="1:23" hidden="1" x14ac:dyDescent="0.25">
      <c r="A422" s="13">
        <v>44347</v>
      </c>
      <c r="B422" t="s">
        <v>116</v>
      </c>
      <c r="C422" s="65" t="s">
        <v>88</v>
      </c>
      <c r="D422" t="s">
        <v>74</v>
      </c>
      <c r="E422" s="3">
        <v>18</v>
      </c>
      <c r="F422">
        <v>36</v>
      </c>
      <c r="G422">
        <v>0</v>
      </c>
      <c r="H422">
        <v>0</v>
      </c>
      <c r="I422">
        <v>0</v>
      </c>
      <c r="J422">
        <v>0</v>
      </c>
      <c r="K422" s="23">
        <f>IF(Tableau1[[#This Row],[Quantité (H)]]=0,0,Tableau1[[#This Row],[Gasoil (L)]]/Tableau1[[#This Row],[Quantité (H)]])</f>
        <v>2</v>
      </c>
      <c r="L422" s="23">
        <v>8.8666152659984583</v>
      </c>
      <c r="O422" s="23">
        <f>Tableau1[[#This Row],[Productivité]]-Tableau1[[#This Row],[ les Charges]]</f>
        <v>0</v>
      </c>
      <c r="R422" s="23">
        <f>VLOOKUP(Tableau1[[#This Row],[Code]],$V$3:$Z$157,4,)</f>
        <v>6600</v>
      </c>
      <c r="S422" s="23">
        <f>VLOOKUP(Tableau1[[#This Row],[Code]],$V$3:$Z$157,5,)</f>
        <v>4820</v>
      </c>
    </row>
    <row r="423" spans="1:23" hidden="1" x14ac:dyDescent="0.25">
      <c r="A423" s="13">
        <v>44347</v>
      </c>
      <c r="B423" t="s">
        <v>83</v>
      </c>
      <c r="C423" s="65" t="s">
        <v>88</v>
      </c>
      <c r="D423" t="s">
        <v>74</v>
      </c>
      <c r="E423" s="3">
        <v>162</v>
      </c>
      <c r="F423">
        <v>142</v>
      </c>
      <c r="G423">
        <v>0</v>
      </c>
      <c r="H423">
        <v>0</v>
      </c>
      <c r="I423">
        <v>0</v>
      </c>
      <c r="J423">
        <v>0</v>
      </c>
      <c r="K423" s="23">
        <f>IF(Tableau1[[#This Row],[Quantité (H)]]=0,0,Tableau1[[#This Row],[Gasoil (L)]]/Tableau1[[#This Row],[Quantité (H)]])</f>
        <v>0.87654320987654322</v>
      </c>
      <c r="L423" s="23">
        <v>8.8666152659984583</v>
      </c>
      <c r="M423" s="23">
        <v>1780</v>
      </c>
      <c r="N423" s="23">
        <v>6600</v>
      </c>
      <c r="O423" s="23">
        <f>Tableau1[[#This Row],[Productivité]]-Tableau1[[#This Row],[ les Charges]]</f>
        <v>4820</v>
      </c>
      <c r="R423" s="23">
        <f>VLOOKUP(Tableau1[[#This Row],[Code]],$V$3:$Z$157,4,)</f>
        <v>6600</v>
      </c>
      <c r="S423" s="23">
        <f>VLOOKUP(Tableau1[[#This Row],[Code]],$V$3:$Z$157,5,)</f>
        <v>4820</v>
      </c>
    </row>
    <row r="424" spans="1:23" hidden="1" x14ac:dyDescent="0.25">
      <c r="A424" s="13">
        <v>44347</v>
      </c>
      <c r="B424" t="s">
        <v>84</v>
      </c>
      <c r="C424" s="65" t="s">
        <v>88</v>
      </c>
      <c r="D424" t="s">
        <v>75</v>
      </c>
      <c r="E424" s="65">
        <v>189</v>
      </c>
      <c r="F424">
        <v>213</v>
      </c>
      <c r="G424">
        <v>0</v>
      </c>
      <c r="H424">
        <v>0</v>
      </c>
      <c r="I424">
        <v>0</v>
      </c>
      <c r="J424">
        <v>0</v>
      </c>
      <c r="K424" s="23">
        <f>IF(Tableau1[[#This Row],[Quantité (H)]]=0,0,Tableau1[[#This Row],[Gasoil (L)]]/Tableau1[[#This Row],[Quantité (H)]])</f>
        <v>1.126984126984127</v>
      </c>
      <c r="L424" s="23">
        <v>6.8007662835249043</v>
      </c>
      <c r="M424" s="23">
        <v>2130</v>
      </c>
      <c r="N424" s="23">
        <v>6600</v>
      </c>
      <c r="O424" s="23">
        <f>Tableau1[[#This Row],[Productivité]]-Tableau1[[#This Row],[ les Charges]]</f>
        <v>4470</v>
      </c>
      <c r="R424" s="23">
        <f>VLOOKUP(Tableau1[[#This Row],[Code]],$V$3:$Z$157,4,)</f>
        <v>6600</v>
      </c>
      <c r="S424" s="23">
        <f>VLOOKUP(Tableau1[[#This Row],[Code]],$V$3:$Z$157,5,)</f>
        <v>4470</v>
      </c>
    </row>
    <row r="425" spans="1:23" hidden="1" x14ac:dyDescent="0.25">
      <c r="A425" s="13">
        <v>44347</v>
      </c>
      <c r="B425" t="s">
        <v>80</v>
      </c>
      <c r="C425" s="65" t="s">
        <v>88</v>
      </c>
      <c r="D425" t="s">
        <v>76</v>
      </c>
      <c r="E425" s="3">
        <v>160</v>
      </c>
      <c r="F425">
        <v>194</v>
      </c>
      <c r="G425">
        <v>0</v>
      </c>
      <c r="H425">
        <v>0</v>
      </c>
      <c r="I425">
        <v>0</v>
      </c>
      <c r="J425">
        <v>0</v>
      </c>
      <c r="K425" s="23">
        <f>IF(Tableau1[[#This Row],[Quantité (H)]]=0,0,Tableau1[[#This Row],[Gasoil (L)]]/Tableau1[[#This Row],[Quantité (H)]])</f>
        <v>1.2124999999999999</v>
      </c>
      <c r="L425" s="23">
        <v>6.4928909952606997</v>
      </c>
      <c r="M425" s="23">
        <v>1940</v>
      </c>
      <c r="N425" s="23">
        <v>7500</v>
      </c>
      <c r="O425" s="23">
        <f>Tableau1[[#This Row],[Productivité]]-Tableau1[[#This Row],[ les Charges]]</f>
        <v>5560</v>
      </c>
      <c r="R425" s="23">
        <f>VLOOKUP(Tableau1[[#This Row],[Code]],$V$3:$Z$157,4,)</f>
        <v>7500</v>
      </c>
      <c r="S425" s="23">
        <f>VLOOKUP(Tableau1[[#This Row],[Code]],$V$3:$Z$157,5,)</f>
        <v>5560</v>
      </c>
    </row>
    <row r="426" spans="1:23" hidden="1" x14ac:dyDescent="0.25">
      <c r="A426" s="13">
        <v>44347</v>
      </c>
      <c r="B426" t="s">
        <v>80</v>
      </c>
      <c r="C426" s="65" t="s">
        <v>88</v>
      </c>
      <c r="D426" t="s">
        <v>77</v>
      </c>
      <c r="E426" s="65">
        <v>0</v>
      </c>
      <c r="F426">
        <v>28</v>
      </c>
      <c r="G426">
        <v>0</v>
      </c>
      <c r="H426">
        <v>0</v>
      </c>
      <c r="I426">
        <v>0</v>
      </c>
      <c r="J426">
        <v>0</v>
      </c>
      <c r="K426" s="23">
        <f>IF(Tableau1[[#This Row],[Quantité (H)]]=0,0,Tableau1[[#This Row],[Gasoil (L)]]/Tableau1[[#This Row],[Quantité (H)]])</f>
        <v>0</v>
      </c>
      <c r="L426" s="23">
        <v>5.5502392344498004</v>
      </c>
      <c r="O426" s="23">
        <f>Tableau1[[#This Row],[Productivité]]-Tableau1[[#This Row],[ les Charges]]</f>
        <v>0</v>
      </c>
      <c r="R426" s="23">
        <f>VLOOKUP(Tableau1[[#This Row],[Code]],$V$3:$Z$157,4,)</f>
        <v>6300</v>
      </c>
      <c r="S426" s="23">
        <f>VLOOKUP(Tableau1[[#This Row],[Code]],$V$3:$Z$157,5,)</f>
        <v>5000</v>
      </c>
    </row>
    <row r="427" spans="1:23" hidden="1" x14ac:dyDescent="0.25">
      <c r="A427" s="13">
        <v>44347</v>
      </c>
      <c r="B427" t="s">
        <v>84</v>
      </c>
      <c r="C427" s="65" t="s">
        <v>88</v>
      </c>
      <c r="D427" t="s">
        <v>77</v>
      </c>
      <c r="E427" s="65">
        <v>180</v>
      </c>
      <c r="F427">
        <v>102</v>
      </c>
      <c r="G427">
        <v>0</v>
      </c>
      <c r="H427">
        <v>0</v>
      </c>
      <c r="I427">
        <v>0</v>
      </c>
      <c r="J427">
        <v>0</v>
      </c>
      <c r="K427" s="23">
        <f>IF(Tableau1[[#This Row],[Quantité (H)]]=0,0,Tableau1[[#This Row],[Gasoil (L)]]/Tableau1[[#This Row],[Quantité (H)]])</f>
        <v>0.56666666666666665</v>
      </c>
      <c r="L427" s="23">
        <v>5.5502392344498004</v>
      </c>
      <c r="M427" s="23">
        <v>1300</v>
      </c>
      <c r="N427" s="23">
        <v>6300</v>
      </c>
      <c r="O427" s="23">
        <f>Tableau1[[#This Row],[Productivité]]-Tableau1[[#This Row],[ les Charges]]</f>
        <v>5000</v>
      </c>
      <c r="R427" s="23">
        <f>VLOOKUP(Tableau1[[#This Row],[Code]],$V$3:$Z$157,4,)</f>
        <v>6300</v>
      </c>
      <c r="S427" s="23">
        <f>VLOOKUP(Tableau1[[#This Row],[Code]],$V$3:$Z$157,5,)</f>
        <v>5000</v>
      </c>
    </row>
    <row r="428" spans="1:23" hidden="1" x14ac:dyDescent="0.25">
      <c r="A428" s="13">
        <v>44347</v>
      </c>
      <c r="B428" t="s">
        <v>116</v>
      </c>
      <c r="C428" s="65" t="s">
        <v>88</v>
      </c>
      <c r="D428" t="s">
        <v>78</v>
      </c>
      <c r="E428" s="3">
        <v>190</v>
      </c>
      <c r="F428">
        <v>246</v>
      </c>
      <c r="G428">
        <v>0</v>
      </c>
      <c r="H428">
        <v>0</v>
      </c>
      <c r="I428">
        <v>0</v>
      </c>
      <c r="J428">
        <v>0</v>
      </c>
      <c r="K428" s="23">
        <f>IF(Tableau1[[#This Row],[Quantité (H)]]=0,0,Tableau1[[#This Row],[Gasoil (L)]]/Tableau1[[#This Row],[Quantité (H)]])</f>
        <v>1.2947368421052632</v>
      </c>
      <c r="L428" s="23">
        <v>5.3292894280762564</v>
      </c>
      <c r="M428" s="23">
        <v>2460</v>
      </c>
      <c r="N428" s="23">
        <v>6600</v>
      </c>
      <c r="O428" s="23">
        <f>Tableau1[[#This Row],[Productivité]]-Tableau1[[#This Row],[ les Charges]]</f>
        <v>4140</v>
      </c>
      <c r="R428" s="23">
        <f>VLOOKUP(Tableau1[[#This Row],[Code]],$V$3:$Z$157,4,)</f>
        <v>6600</v>
      </c>
      <c r="S428" s="23">
        <f>VLOOKUP(Tableau1[[#This Row],[Code]],$V$3:$Z$157,5,)</f>
        <v>4140</v>
      </c>
    </row>
    <row r="429" spans="1:23" hidden="1" x14ac:dyDescent="0.25">
      <c r="A429" s="13">
        <v>44347</v>
      </c>
      <c r="B429" t="s">
        <v>80</v>
      </c>
      <c r="C429" s="65" t="s">
        <v>88</v>
      </c>
      <c r="D429" t="s">
        <v>132</v>
      </c>
      <c r="E429">
        <v>0</v>
      </c>
      <c r="F429">
        <v>26</v>
      </c>
      <c r="G429">
        <v>0</v>
      </c>
      <c r="H429">
        <v>0</v>
      </c>
      <c r="I429">
        <v>0</v>
      </c>
      <c r="J429">
        <v>0</v>
      </c>
      <c r="K429" s="23">
        <f>IF(Tableau1[[#This Row],[Quantité (H)]]=0,0,Tableau1[[#This Row],[Gasoil (L)]]/Tableau1[[#This Row],[Quantité (H)]])</f>
        <v>0</v>
      </c>
      <c r="O429" s="23">
        <f>Tableau1[[#This Row],[Productivité]]-Tableau1[[#This Row],[ les Charges]]</f>
        <v>0</v>
      </c>
      <c r="V429">
        <v>4861.07</v>
      </c>
      <c r="W429">
        <v>3040</v>
      </c>
    </row>
    <row r="430" spans="1:23" hidden="1" x14ac:dyDescent="0.25">
      <c r="A430" s="13">
        <v>44347</v>
      </c>
      <c r="B430" t="s">
        <v>84</v>
      </c>
      <c r="C430" s="65" t="s">
        <v>88</v>
      </c>
      <c r="D430" t="s">
        <v>132</v>
      </c>
      <c r="E430" s="3">
        <v>0</v>
      </c>
      <c r="F430">
        <v>84</v>
      </c>
      <c r="G430">
        <v>0</v>
      </c>
      <c r="H430">
        <v>0</v>
      </c>
      <c r="I430">
        <v>0</v>
      </c>
      <c r="J430">
        <v>0</v>
      </c>
      <c r="K430" s="23">
        <f>IF(Tableau1[[#This Row],[Quantité (H)]]=0,0,Tableau1[[#This Row],[Gasoil (L)]]/Tableau1[[#This Row],[Quantité (H)]])</f>
        <v>0</v>
      </c>
      <c r="L430" s="23">
        <v>7.6993609530409</v>
      </c>
      <c r="M430" s="23">
        <v>1100</v>
      </c>
      <c r="N430" s="23">
        <v>7800</v>
      </c>
      <c r="O430" s="23">
        <f>Tableau1[[#This Row],[Productivité]]-Tableau1[[#This Row],[ les Charges]]</f>
        <v>6700</v>
      </c>
      <c r="P430" s="60"/>
      <c r="V430">
        <v>8708.3700000000008</v>
      </c>
      <c r="W430">
        <v>17600</v>
      </c>
    </row>
    <row r="431" spans="1:23" hidden="1" x14ac:dyDescent="0.25">
      <c r="A431" s="13">
        <v>44377</v>
      </c>
      <c r="B431" t="s">
        <v>80</v>
      </c>
      <c r="C431" s="65" t="s">
        <v>92</v>
      </c>
      <c r="D431" t="s">
        <v>31</v>
      </c>
      <c r="E431" s="65">
        <v>19</v>
      </c>
      <c r="F431">
        <v>229</v>
      </c>
      <c r="G431">
        <v>0</v>
      </c>
      <c r="H431">
        <v>0</v>
      </c>
      <c r="I431">
        <v>45</v>
      </c>
      <c r="J431">
        <v>0</v>
      </c>
      <c r="K431" s="23">
        <f>IF(Tableau1[[#This Row],[Quantité (H)]]=0,0,Tableau1[[#This Row],[Gasoil (L)]]/Tableau1[[#This Row],[Quantité (H)]])</f>
        <v>12.052631578947368</v>
      </c>
      <c r="L431" s="23">
        <v>0</v>
      </c>
      <c r="M431" s="23">
        <v>4861.07</v>
      </c>
      <c r="N431" s="23">
        <v>3040</v>
      </c>
      <c r="O431" s="23">
        <f>Tableau1[[#This Row],[Productivité]]-Tableau1[[#This Row],[ les Charges]]</f>
        <v>-1821.0699999999997</v>
      </c>
      <c r="P431" s="60"/>
      <c r="V431">
        <v>9100</v>
      </c>
      <c r="W431">
        <v>22600</v>
      </c>
    </row>
    <row r="432" spans="1:23" hidden="1" x14ac:dyDescent="0.25">
      <c r="A432" s="13">
        <v>44377</v>
      </c>
      <c r="B432" t="s">
        <v>80</v>
      </c>
      <c r="C432" s="65" t="s">
        <v>40</v>
      </c>
      <c r="D432" t="s">
        <v>16</v>
      </c>
      <c r="E432">
        <v>88</v>
      </c>
      <c r="F432">
        <v>758</v>
      </c>
      <c r="G432">
        <v>10</v>
      </c>
      <c r="H432">
        <v>0</v>
      </c>
      <c r="I432">
        <v>5</v>
      </c>
      <c r="J432">
        <v>0</v>
      </c>
      <c r="K432" s="23">
        <f>IF(Tableau1[[#This Row],[Quantité (H)]]=0,0,Tableau1[[#This Row],[Gasoil (L)]]/Tableau1[[#This Row],[Quantité (H)]])</f>
        <v>8.6136363636363633</v>
      </c>
      <c r="L432" s="23">
        <v>17.627906976744185</v>
      </c>
      <c r="M432" s="23">
        <v>8708.3700000000008</v>
      </c>
      <c r="N432" s="23">
        <v>17600</v>
      </c>
      <c r="O432" s="23">
        <f>Tableau1[[#This Row],[Productivité]]-Tableau1[[#This Row],[ les Charges]]</f>
        <v>8891.6299999999992</v>
      </c>
      <c r="P432" s="60"/>
      <c r="V432">
        <v>760</v>
      </c>
      <c r="W432">
        <v>2700</v>
      </c>
    </row>
    <row r="433" spans="1:23" hidden="1" x14ac:dyDescent="0.25">
      <c r="A433" s="13">
        <v>44377</v>
      </c>
      <c r="B433" t="s">
        <v>83</v>
      </c>
      <c r="C433" s="65" t="s">
        <v>40</v>
      </c>
      <c r="D433" t="s">
        <v>17</v>
      </c>
      <c r="E433" s="65">
        <v>113</v>
      </c>
      <c r="F433">
        <v>860</v>
      </c>
      <c r="G433">
        <v>5</v>
      </c>
      <c r="H433">
        <v>0</v>
      </c>
      <c r="I433">
        <v>5</v>
      </c>
      <c r="J433">
        <v>0</v>
      </c>
      <c r="K433" s="23">
        <f>IF(Tableau1[[#This Row],[Quantité (H)]]=0,0,Tableau1[[#This Row],[Gasoil (L)]]/Tableau1[[#This Row],[Quantité (H)]])</f>
        <v>7.610619469026549</v>
      </c>
      <c r="L433" s="23">
        <v>0</v>
      </c>
      <c r="M433" s="23">
        <v>9100</v>
      </c>
      <c r="N433" s="23">
        <v>22600</v>
      </c>
      <c r="O433" s="23">
        <f>Tableau1[[#This Row],[Productivité]]-Tableau1[[#This Row],[ les Charges]]</f>
        <v>13500</v>
      </c>
      <c r="P433" s="60"/>
      <c r="V433">
        <v>12155</v>
      </c>
    </row>
    <row r="434" spans="1:23" hidden="1" x14ac:dyDescent="0.25">
      <c r="A434" s="13">
        <v>44377</v>
      </c>
      <c r="B434" t="s">
        <v>80</v>
      </c>
      <c r="C434" s="65" t="s">
        <v>40</v>
      </c>
      <c r="D434" t="s">
        <v>18</v>
      </c>
      <c r="E434" s="65">
        <v>3</v>
      </c>
      <c r="F434">
        <v>76</v>
      </c>
      <c r="G434">
        <v>0</v>
      </c>
      <c r="H434">
        <v>0</v>
      </c>
      <c r="I434">
        <v>0</v>
      </c>
      <c r="J434">
        <v>0</v>
      </c>
      <c r="K434" s="23">
        <f>IF(Tableau1[[#This Row],[Quantité (H)]]=0,0,Tableau1[[#This Row],[Gasoil (L)]]/Tableau1[[#This Row],[Quantité (H)]])</f>
        <v>25.333333333333332</v>
      </c>
      <c r="L434" s="23">
        <v>0</v>
      </c>
      <c r="M434" s="23">
        <v>760</v>
      </c>
      <c r="N434" s="23">
        <v>2700</v>
      </c>
      <c r="O434" s="23">
        <f>Tableau1[[#This Row],[Productivité]]-Tableau1[[#This Row],[ les Charges]]</f>
        <v>1940</v>
      </c>
      <c r="P434" s="60"/>
      <c r="V434">
        <v>597.75</v>
      </c>
    </row>
    <row r="435" spans="1:23" hidden="1" x14ac:dyDescent="0.25">
      <c r="A435" s="13">
        <v>44377</v>
      </c>
      <c r="B435" t="s">
        <v>116</v>
      </c>
      <c r="C435" s="65" t="s">
        <v>40</v>
      </c>
      <c r="D435" t="s">
        <v>19</v>
      </c>
      <c r="E435" s="65">
        <v>179</v>
      </c>
      <c r="F435">
        <v>1130</v>
      </c>
      <c r="G435">
        <v>10</v>
      </c>
      <c r="H435">
        <v>0</v>
      </c>
      <c r="I435">
        <v>5</v>
      </c>
      <c r="J435">
        <v>8</v>
      </c>
      <c r="K435" s="23">
        <f>IF(Tableau1[[#This Row],[Quantité (H)]]=0,0,Tableau1[[#This Row],[Gasoil (L)]]/Tableau1[[#This Row],[Quantité (H)]])</f>
        <v>6.3128491620111733</v>
      </c>
      <c r="L435" s="23">
        <v>16.666666666666622</v>
      </c>
      <c r="M435" s="23">
        <v>12155</v>
      </c>
      <c r="O435" s="23">
        <f>Tableau1[[#This Row],[Productivité]]-Tableau1[[#This Row],[ les Charges]]</f>
        <v>-12155</v>
      </c>
      <c r="P435" s="60"/>
      <c r="V435">
        <v>29662.76</v>
      </c>
      <c r="W435">
        <v>68320</v>
      </c>
    </row>
    <row r="436" spans="1:23" hidden="1" x14ac:dyDescent="0.25">
      <c r="A436" s="13">
        <v>44377</v>
      </c>
      <c r="B436" t="s">
        <v>84</v>
      </c>
      <c r="C436" s="65" t="s">
        <v>40</v>
      </c>
      <c r="D436" t="s">
        <v>150</v>
      </c>
      <c r="E436" s="3"/>
      <c r="K436" s="23">
        <f>IF(Tableau1[[#This Row],[Quantité (H)]]=0,0,Tableau1[[#This Row],[Gasoil (L)]]/Tableau1[[#This Row],[Quantité (H)]])</f>
        <v>0</v>
      </c>
      <c r="L436" s="23">
        <v>0</v>
      </c>
      <c r="M436" s="23">
        <v>597.75</v>
      </c>
      <c r="O436" s="23">
        <f>Tableau1[[#This Row],[Productivité]]-Tableau1[[#This Row],[ les Charges]]</f>
        <v>-597.75</v>
      </c>
      <c r="P436" s="60"/>
      <c r="V436">
        <v>29672.76</v>
      </c>
      <c r="W436">
        <v>69160</v>
      </c>
    </row>
    <row r="437" spans="1:23" hidden="1" x14ac:dyDescent="0.25">
      <c r="A437" s="13">
        <v>44377</v>
      </c>
      <c r="B437" t="s">
        <v>116</v>
      </c>
      <c r="C437" s="65" t="s">
        <v>85</v>
      </c>
      <c r="D437" t="s">
        <v>44</v>
      </c>
      <c r="E437" s="3">
        <v>248</v>
      </c>
      <c r="F437">
        <v>799</v>
      </c>
      <c r="G437">
        <v>0</v>
      </c>
      <c r="H437">
        <v>0</v>
      </c>
      <c r="I437">
        <v>0</v>
      </c>
      <c r="J437">
        <v>0</v>
      </c>
      <c r="K437" s="23">
        <f>IF(Tableau1[[#This Row],[Quantité (H)]]=0,0,Tableau1[[#This Row],[Gasoil (L)]]/Tableau1[[#This Row],[Quantité (H)]])</f>
        <v>3.221774193548387</v>
      </c>
      <c r="L437" s="23">
        <v>25.7</v>
      </c>
      <c r="M437" s="23">
        <v>29662.76</v>
      </c>
      <c r="N437" s="23">
        <v>68320</v>
      </c>
      <c r="O437" s="23">
        <f>Tableau1[[#This Row],[Productivité]]-Tableau1[[#This Row],[ les Charges]]</f>
        <v>38657.240000000005</v>
      </c>
      <c r="P437" s="60"/>
      <c r="V437">
        <v>24790</v>
      </c>
      <c r="W437">
        <v>69440</v>
      </c>
    </row>
    <row r="438" spans="1:23" hidden="1" x14ac:dyDescent="0.25">
      <c r="A438" s="13">
        <v>44377</v>
      </c>
      <c r="B438" t="s">
        <v>80</v>
      </c>
      <c r="C438" s="65" t="s">
        <v>85</v>
      </c>
      <c r="D438" t="s">
        <v>45</v>
      </c>
      <c r="E438" s="3">
        <v>247</v>
      </c>
      <c r="F438">
        <v>800</v>
      </c>
      <c r="G438">
        <v>0</v>
      </c>
      <c r="H438">
        <v>0</v>
      </c>
      <c r="I438">
        <v>0</v>
      </c>
      <c r="J438">
        <v>0</v>
      </c>
      <c r="K438" s="23">
        <f>IF(Tableau1[[#This Row],[Quantité (H)]]=0,0,Tableau1[[#This Row],[Gasoil (L)]]/Tableau1[[#This Row],[Quantité (H)]])</f>
        <v>3.2388663967611335</v>
      </c>
      <c r="L438" s="23">
        <v>26.6</v>
      </c>
      <c r="M438" s="23">
        <v>29672.76</v>
      </c>
      <c r="N438" s="23">
        <v>69160</v>
      </c>
      <c r="O438" s="23">
        <f>Tableau1[[#This Row],[Productivité]]-Tableau1[[#This Row],[ les Charges]]</f>
        <v>39487.240000000005</v>
      </c>
      <c r="P438" s="60"/>
      <c r="V438">
        <v>13500</v>
      </c>
      <c r="W438">
        <v>118720</v>
      </c>
    </row>
    <row r="439" spans="1:23" hidden="1" x14ac:dyDescent="0.25">
      <c r="A439" s="13">
        <v>44377</v>
      </c>
      <c r="B439" t="s">
        <v>83</v>
      </c>
      <c r="C439" s="65" t="s">
        <v>85</v>
      </c>
      <c r="D439" t="s">
        <v>46</v>
      </c>
      <c r="E439" s="65">
        <v>248</v>
      </c>
      <c r="F439">
        <v>2479</v>
      </c>
      <c r="G439">
        <v>0</v>
      </c>
      <c r="H439">
        <v>0</v>
      </c>
      <c r="I439">
        <v>0</v>
      </c>
      <c r="J439">
        <v>0</v>
      </c>
      <c r="K439" s="23">
        <f>IF(Tableau1[[#This Row],[Quantité (H)]]=0,0,Tableau1[[#This Row],[Gasoil (L)]]/Tableau1[[#This Row],[Quantité (H)]])</f>
        <v>9.995967741935484</v>
      </c>
      <c r="L439" s="23">
        <v>25.121951219512201</v>
      </c>
      <c r="M439" s="23">
        <v>24790</v>
      </c>
      <c r="N439" s="23">
        <v>69440</v>
      </c>
      <c r="O439" s="23">
        <f>Tableau1[[#This Row],[Productivité]]-Tableau1[[#This Row],[ les Charges]]</f>
        <v>44650</v>
      </c>
      <c r="P439" s="60"/>
      <c r="V439">
        <v>16167.49</v>
      </c>
      <c r="W439">
        <v>37800</v>
      </c>
    </row>
    <row r="440" spans="1:23" hidden="1" x14ac:dyDescent="0.25">
      <c r="A440" s="13">
        <v>44377</v>
      </c>
      <c r="B440" t="s">
        <v>80</v>
      </c>
      <c r="C440" s="65" t="s">
        <v>85</v>
      </c>
      <c r="D440" t="s">
        <v>47</v>
      </c>
      <c r="E440" s="65">
        <v>245</v>
      </c>
      <c r="F440">
        <v>1250</v>
      </c>
      <c r="G440">
        <v>0</v>
      </c>
      <c r="H440">
        <v>0</v>
      </c>
      <c r="I440">
        <v>0</v>
      </c>
      <c r="J440">
        <v>0</v>
      </c>
      <c r="K440" s="23">
        <f>IF(Tableau1[[#This Row],[Quantité (H)]]=0,0,Tableau1[[#This Row],[Gasoil (L)]]/Tableau1[[#This Row],[Quantité (H)]])</f>
        <v>5.1020408163265305</v>
      </c>
      <c r="L440" s="23">
        <v>26.48</v>
      </c>
      <c r="M440" s="23">
        <v>13500</v>
      </c>
      <c r="N440" s="23">
        <v>118720</v>
      </c>
      <c r="O440" s="23">
        <f>Tableau1[[#This Row],[Productivité]]-Tableau1[[#This Row],[ les Charges]]</f>
        <v>105220</v>
      </c>
      <c r="P440" s="60"/>
      <c r="V440">
        <v>18983.93</v>
      </c>
      <c r="W440">
        <v>18600</v>
      </c>
    </row>
    <row r="441" spans="1:23" hidden="1" x14ac:dyDescent="0.25">
      <c r="A441" s="13">
        <v>44377</v>
      </c>
      <c r="B441" t="s">
        <v>116</v>
      </c>
      <c r="C441" s="65" t="s">
        <v>85</v>
      </c>
      <c r="D441" t="s">
        <v>48</v>
      </c>
      <c r="E441">
        <v>252</v>
      </c>
      <c r="F441">
        <v>592</v>
      </c>
      <c r="G441">
        <v>0</v>
      </c>
      <c r="H441">
        <v>0</v>
      </c>
      <c r="I441">
        <v>0</v>
      </c>
      <c r="J441">
        <v>1</v>
      </c>
      <c r="K441" s="23">
        <f>IF(Tableau1[[#This Row],[Quantité (H)]]=0,0,Tableau1[[#This Row],[Gasoil (L)]]/Tableau1[[#This Row],[Quantité (H)]])</f>
        <v>2.3492063492063493</v>
      </c>
      <c r="L441" s="23">
        <v>23.814814814814799</v>
      </c>
      <c r="M441" s="23">
        <v>16167.49</v>
      </c>
      <c r="N441" s="23">
        <v>37800</v>
      </c>
      <c r="O441" s="23">
        <f>Tableau1[[#This Row],[Productivité]]-Tableau1[[#This Row],[ les Charges]]</f>
        <v>21632.510000000002</v>
      </c>
      <c r="P441" s="60"/>
      <c r="V441">
        <v>16797.18</v>
      </c>
      <c r="W441">
        <v>37800</v>
      </c>
    </row>
    <row r="442" spans="1:23" hidden="1" x14ac:dyDescent="0.25">
      <c r="A442" s="13">
        <v>44377</v>
      </c>
      <c r="B442" t="s">
        <v>80</v>
      </c>
      <c r="C442" s="65" t="s">
        <v>85</v>
      </c>
      <c r="D442" t="s">
        <v>49</v>
      </c>
      <c r="E442" s="65">
        <v>118</v>
      </c>
      <c r="F442">
        <v>791</v>
      </c>
      <c r="G442">
        <v>0</v>
      </c>
      <c r="H442">
        <v>0</v>
      </c>
      <c r="I442">
        <v>0</v>
      </c>
      <c r="J442">
        <v>0</v>
      </c>
      <c r="K442" s="23">
        <f>IF(Tableau1[[#This Row],[Quantité (H)]]=0,0,Tableau1[[#This Row],[Gasoil (L)]]/Tableau1[[#This Row],[Quantité (H)]])</f>
        <v>6.7033898305084749</v>
      </c>
      <c r="L442" s="23">
        <v>32.444626743232156</v>
      </c>
      <c r="M442" s="23">
        <v>18983.93</v>
      </c>
      <c r="N442" s="23">
        <v>18600</v>
      </c>
      <c r="O442" s="23">
        <f>Tableau1[[#This Row],[Productivité]]-Tableau1[[#This Row],[ les Charges]]</f>
        <v>-383.93000000000029</v>
      </c>
      <c r="P442" s="60"/>
      <c r="V442">
        <v>17158.830000000002</v>
      </c>
      <c r="W442">
        <v>67200</v>
      </c>
    </row>
    <row r="443" spans="1:23" hidden="1" x14ac:dyDescent="0.25">
      <c r="A443" s="13">
        <v>44377</v>
      </c>
      <c r="B443" t="s">
        <v>83</v>
      </c>
      <c r="C443" s="65" t="s">
        <v>85</v>
      </c>
      <c r="D443" t="s">
        <v>50</v>
      </c>
      <c r="E443" s="65">
        <v>252</v>
      </c>
      <c r="F443">
        <v>683</v>
      </c>
      <c r="G443">
        <v>0</v>
      </c>
      <c r="H443">
        <v>0</v>
      </c>
      <c r="I443">
        <v>0</v>
      </c>
      <c r="J443">
        <v>0</v>
      </c>
      <c r="K443" s="23">
        <f>IF(Tableau1[[#This Row],[Quantité (H)]]=0,0,Tableau1[[#This Row],[Gasoil (L)]]/Tableau1[[#This Row],[Quantité (H)]])</f>
        <v>2.7103174603174605</v>
      </c>
      <c r="L443" s="23">
        <v>22.8162729658793</v>
      </c>
      <c r="M443" s="23">
        <v>16797.18</v>
      </c>
      <c r="N443" s="23">
        <v>37800</v>
      </c>
      <c r="O443" s="23">
        <f>Tableau1[[#This Row],[Productivité]]-Tableau1[[#This Row],[ les Charges]]</f>
        <v>21002.82</v>
      </c>
      <c r="P443" s="60"/>
      <c r="V443">
        <v>26252.97</v>
      </c>
      <c r="W443">
        <v>20250</v>
      </c>
    </row>
    <row r="444" spans="1:23" hidden="1" x14ac:dyDescent="0.25">
      <c r="A444" s="13">
        <v>44377</v>
      </c>
      <c r="B444" t="s">
        <v>84</v>
      </c>
      <c r="C444" s="65" t="s">
        <v>85</v>
      </c>
      <c r="D444" t="s">
        <v>54</v>
      </c>
      <c r="E444">
        <v>114</v>
      </c>
      <c r="F444">
        <v>765</v>
      </c>
      <c r="K444" s="23">
        <f>IF(Tableau1[[#This Row],[Quantité (H)]]=0,0,Tableau1[[#This Row],[Gasoil (L)]]/Tableau1[[#This Row],[Quantité (H)]])</f>
        <v>6.7105263157894735</v>
      </c>
      <c r="L444" s="23">
        <v>28.56</v>
      </c>
      <c r="M444" s="23">
        <v>17158.830000000002</v>
      </c>
      <c r="N444" s="23">
        <v>67200</v>
      </c>
      <c r="O444" s="23">
        <f>Tableau1[[#This Row],[Productivité]]-Tableau1[[#This Row],[ les Charges]]</f>
        <v>50041.17</v>
      </c>
      <c r="P444" s="60"/>
      <c r="V444">
        <v>77966.259999999995</v>
      </c>
      <c r="W444">
        <v>54140</v>
      </c>
    </row>
    <row r="445" spans="1:23" hidden="1" x14ac:dyDescent="0.25">
      <c r="A445" s="13">
        <v>44377</v>
      </c>
      <c r="B445" t="s">
        <v>80</v>
      </c>
      <c r="C445" s="65" t="s">
        <v>85</v>
      </c>
      <c r="D445" t="s">
        <v>56</v>
      </c>
      <c r="E445" s="3">
        <v>0</v>
      </c>
      <c r="F445">
        <v>1384</v>
      </c>
      <c r="G445">
        <v>0</v>
      </c>
      <c r="H445">
        <v>0</v>
      </c>
      <c r="I445">
        <v>0</v>
      </c>
      <c r="J445">
        <v>0</v>
      </c>
      <c r="K445" s="23">
        <f>IF(Tableau1[[#This Row],[Quantité (H)]]=0,0,Tableau1[[#This Row],[Gasoil (L)]]/Tableau1[[#This Row],[Quantité (H)]])</f>
        <v>0</v>
      </c>
      <c r="L445" s="23">
        <v>41.499767116907314</v>
      </c>
      <c r="M445" s="23">
        <v>26252.97</v>
      </c>
      <c r="N445" s="23">
        <v>20250</v>
      </c>
      <c r="O445" s="23">
        <f>Tableau1[[#This Row],[Productivité]]-Tableau1[[#This Row],[ les Charges]]</f>
        <v>-6002.9700000000012</v>
      </c>
      <c r="P445" s="60"/>
      <c r="V445">
        <v>12571.48</v>
      </c>
      <c r="W445">
        <v>54260.08</v>
      </c>
    </row>
    <row r="446" spans="1:23" hidden="1" x14ac:dyDescent="0.25">
      <c r="A446" s="13">
        <v>44377</v>
      </c>
      <c r="B446" t="s">
        <v>84</v>
      </c>
      <c r="C446" s="65" t="s">
        <v>85</v>
      </c>
      <c r="D446" t="s">
        <v>57</v>
      </c>
      <c r="E446">
        <v>46</v>
      </c>
      <c r="F446">
        <v>3386</v>
      </c>
      <c r="K446" s="23">
        <f>IF(Tableau1[[#This Row],[Quantité (H)]]=0,0,Tableau1[[#This Row],[Gasoil (L)]]/Tableau1[[#This Row],[Quantité (H)]])</f>
        <v>73.608695652173907</v>
      </c>
      <c r="L446" s="23">
        <v>28.050000000000004</v>
      </c>
      <c r="M446" s="23">
        <v>77966.259999999995</v>
      </c>
      <c r="N446" s="23">
        <v>54140</v>
      </c>
      <c r="O446" s="23">
        <f>Tableau1[[#This Row],[Productivité]]-Tableau1[[#This Row],[ les Charges]]</f>
        <v>-23826.259999999995</v>
      </c>
      <c r="P446" s="60"/>
      <c r="V446">
        <v>7140.93</v>
      </c>
      <c r="W446">
        <v>13084.95</v>
      </c>
    </row>
    <row r="447" spans="1:23" hidden="1" x14ac:dyDescent="0.25">
      <c r="A447" s="13">
        <v>44377</v>
      </c>
      <c r="B447" t="s">
        <v>84</v>
      </c>
      <c r="C447" s="65" t="s">
        <v>85</v>
      </c>
      <c r="D447" t="s">
        <v>55</v>
      </c>
      <c r="E447">
        <v>193</v>
      </c>
      <c r="F447">
        <v>1053</v>
      </c>
      <c r="I447">
        <v>15</v>
      </c>
      <c r="K447" s="23">
        <f>IF(Tableau1[[#This Row],[Quantité (H)]]=0,0,Tableau1[[#This Row],[Gasoil (L)]]/Tableau1[[#This Row],[Quantité (H)]])</f>
        <v>5.4559585492227978</v>
      </c>
      <c r="L447" s="23">
        <v>25.686131386861302</v>
      </c>
      <c r="M447" s="23">
        <v>12571.48</v>
      </c>
      <c r="N447" s="23">
        <v>54260.08</v>
      </c>
      <c r="O447" s="23">
        <f>Tableau1[[#This Row],[Productivité]]-Tableau1[[#This Row],[ les Charges]]</f>
        <v>41688.600000000006</v>
      </c>
      <c r="P447" s="60"/>
      <c r="V447">
        <v>3066.07</v>
      </c>
      <c r="W447">
        <v>7500</v>
      </c>
    </row>
    <row r="448" spans="1:23" hidden="1" x14ac:dyDescent="0.25">
      <c r="A448" s="13">
        <v>44377</v>
      </c>
      <c r="B448" t="s">
        <v>80</v>
      </c>
      <c r="C448" s="65" t="s">
        <v>85</v>
      </c>
      <c r="D448" t="s">
        <v>134</v>
      </c>
      <c r="E448" s="65">
        <v>76</v>
      </c>
      <c r="F448">
        <v>505</v>
      </c>
      <c r="G448">
        <v>5</v>
      </c>
      <c r="H448">
        <v>0</v>
      </c>
      <c r="I448">
        <v>0</v>
      </c>
      <c r="J448">
        <v>2</v>
      </c>
      <c r="K448" s="23">
        <f>IF(Tableau1[[#This Row],[Quantité (H)]]=0,0,Tableau1[[#This Row],[Gasoil (L)]]/Tableau1[[#This Row],[Quantité (H)]])</f>
        <v>6.6447368421052628</v>
      </c>
      <c r="L448" s="23">
        <v>32.920469361147326</v>
      </c>
      <c r="M448" s="23">
        <v>7140.93</v>
      </c>
      <c r="N448" s="23">
        <v>13084.95</v>
      </c>
      <c r="O448" s="23">
        <f>Tableau1[[#This Row],[Productivité]]-Tableau1[[#This Row],[ les Charges]]</f>
        <v>5944.02</v>
      </c>
      <c r="P448" s="60"/>
      <c r="V448">
        <v>590</v>
      </c>
    </row>
    <row r="449" spans="1:23" hidden="1" x14ac:dyDescent="0.25">
      <c r="A449" s="13">
        <v>44377</v>
      </c>
      <c r="B449" t="s">
        <v>84</v>
      </c>
      <c r="C449" s="65" t="s">
        <v>85</v>
      </c>
      <c r="D449" t="s">
        <v>149</v>
      </c>
      <c r="E449" s="65">
        <v>50</v>
      </c>
      <c r="F449">
        <v>152</v>
      </c>
      <c r="K449" s="23">
        <f>IF(Tableau1[[#This Row],[Quantité (H)]]=0,0,Tableau1[[#This Row],[Gasoil (L)]]/Tableau1[[#This Row],[Quantité (H)]])</f>
        <v>3.04</v>
      </c>
      <c r="L449" s="23">
        <v>25.84</v>
      </c>
      <c r="M449" s="23">
        <v>3066.07</v>
      </c>
      <c r="N449" s="23">
        <v>7500</v>
      </c>
      <c r="O449" s="23">
        <f>Tableau1[[#This Row],[Productivité]]-Tableau1[[#This Row],[ les Charges]]</f>
        <v>4433.93</v>
      </c>
      <c r="P449" s="60"/>
      <c r="V449">
        <v>5828.88</v>
      </c>
    </row>
    <row r="450" spans="1:23" hidden="1" x14ac:dyDescent="0.25">
      <c r="A450" s="13">
        <v>44377</v>
      </c>
      <c r="B450" t="s">
        <v>83</v>
      </c>
      <c r="C450" s="65" t="s">
        <v>85</v>
      </c>
      <c r="D450" t="s">
        <v>148</v>
      </c>
      <c r="E450" s="65">
        <v>8</v>
      </c>
      <c r="F450">
        <v>146</v>
      </c>
      <c r="G450">
        <v>0</v>
      </c>
      <c r="H450">
        <v>0</v>
      </c>
      <c r="I450">
        <v>0</v>
      </c>
      <c r="J450">
        <v>0</v>
      </c>
      <c r="K450" s="23">
        <f>IF(Tableau1[[#This Row],[Quantité (H)]]=0,0,Tableau1[[#This Row],[Gasoil (L)]]/Tableau1[[#This Row],[Quantité (H)]])</f>
        <v>18.25</v>
      </c>
      <c r="L450" s="23">
        <v>9.7058823529412006</v>
      </c>
      <c r="M450" s="23">
        <v>590</v>
      </c>
      <c r="O450" s="23">
        <f>Tableau1[[#This Row],[Productivité]]-Tableau1[[#This Row],[ les Charges]]</f>
        <v>-590</v>
      </c>
      <c r="P450" s="60"/>
      <c r="V450">
        <v>7440</v>
      </c>
      <c r="W450">
        <v>25725</v>
      </c>
    </row>
    <row r="451" spans="1:23" hidden="1" x14ac:dyDescent="0.25">
      <c r="A451" s="13">
        <v>44377</v>
      </c>
      <c r="B451" t="s">
        <v>80</v>
      </c>
      <c r="C451" s="65" t="s">
        <v>85</v>
      </c>
      <c r="D451" t="s">
        <v>151</v>
      </c>
      <c r="E451" s="3"/>
      <c r="K451" s="23">
        <f>IF(Tableau1[[#This Row],[Quantité (H)]]=0,0,Tableau1[[#This Row],[Gasoil (L)]]/Tableau1[[#This Row],[Quantité (H)]])</f>
        <v>0</v>
      </c>
      <c r="L451" s="23">
        <v>0</v>
      </c>
      <c r="M451" s="23">
        <v>5828.88</v>
      </c>
      <c r="O451" s="23">
        <f>Tableau1[[#This Row],[Productivité]]-Tableau1[[#This Row],[ les Charges]]</f>
        <v>-5828.88</v>
      </c>
      <c r="P451" s="60"/>
      <c r="V451">
        <v>19689.55</v>
      </c>
      <c r="W451">
        <v>35100</v>
      </c>
    </row>
    <row r="452" spans="1:23" hidden="1" x14ac:dyDescent="0.25">
      <c r="A452" s="13">
        <v>44377</v>
      </c>
      <c r="B452" t="s">
        <v>83</v>
      </c>
      <c r="C452" s="65" t="s">
        <v>85</v>
      </c>
      <c r="D452" t="s">
        <v>52</v>
      </c>
      <c r="E452" s="65">
        <v>102.9</v>
      </c>
      <c r="F452">
        <v>730</v>
      </c>
      <c r="G452">
        <v>0</v>
      </c>
      <c r="H452">
        <v>0</v>
      </c>
      <c r="I452">
        <v>2</v>
      </c>
      <c r="J452">
        <v>2</v>
      </c>
      <c r="K452" s="23">
        <f>IF(Tableau1[[#This Row],[Quantité (H)]]=0,0,Tableau1[[#This Row],[Gasoil (L)]]/Tableau1[[#This Row],[Quantité (H)]])</f>
        <v>7.094266277939747</v>
      </c>
      <c r="L452" s="23">
        <v>14.4</v>
      </c>
      <c r="M452" s="23">
        <v>7440</v>
      </c>
      <c r="N452" s="23">
        <v>25725</v>
      </c>
      <c r="O452" s="23">
        <f>Tableau1[[#This Row],[Productivité]]-Tableau1[[#This Row],[ les Charges]]</f>
        <v>18285</v>
      </c>
      <c r="P452" s="60"/>
      <c r="V452">
        <v>21691.79</v>
      </c>
      <c r="W452">
        <v>71250</v>
      </c>
    </row>
    <row r="453" spans="1:23" hidden="1" x14ac:dyDescent="0.25">
      <c r="A453" s="13">
        <v>44377</v>
      </c>
      <c r="B453" t="s">
        <v>147</v>
      </c>
      <c r="C453" s="65" t="s">
        <v>42</v>
      </c>
      <c r="D453" t="s">
        <v>28</v>
      </c>
      <c r="E453" s="65">
        <v>126.5</v>
      </c>
      <c r="F453">
        <v>2242</v>
      </c>
      <c r="G453">
        <v>28</v>
      </c>
      <c r="K453" s="23">
        <f>IF(Tableau1[[#This Row],[Quantité (H)]]=0,0,Tableau1[[#This Row],[Gasoil (L)]]/Tableau1[[#This Row],[Quantité (H)]])</f>
        <v>17.723320158102766</v>
      </c>
      <c r="L453" s="23">
        <v>0.44</v>
      </c>
      <c r="M453" s="23">
        <v>19689.55</v>
      </c>
      <c r="N453" s="23">
        <v>35100</v>
      </c>
      <c r="O453" s="23">
        <f>Tableau1[[#This Row],[Productivité]]-Tableau1[[#This Row],[ les Charges]]</f>
        <v>15410.45</v>
      </c>
      <c r="P453" s="60"/>
      <c r="V453">
        <v>24850</v>
      </c>
      <c r="W453">
        <v>95760</v>
      </c>
    </row>
    <row r="454" spans="1:23" hidden="1" x14ac:dyDescent="0.25">
      <c r="A454" s="13">
        <v>44377</v>
      </c>
      <c r="B454" t="s">
        <v>80</v>
      </c>
      <c r="C454" s="65" t="s">
        <v>42</v>
      </c>
      <c r="D454" t="s">
        <v>29</v>
      </c>
      <c r="E454" s="65">
        <v>34</v>
      </c>
      <c r="F454">
        <v>475</v>
      </c>
      <c r="G454">
        <v>0</v>
      </c>
      <c r="H454">
        <v>0</v>
      </c>
      <c r="I454">
        <v>10</v>
      </c>
      <c r="J454">
        <v>0</v>
      </c>
      <c r="K454" s="23">
        <f>IF(Tableau1[[#This Row],[Quantité (H)]]=0,0,Tableau1[[#This Row],[Gasoil (L)]]/Tableau1[[#This Row],[Quantité (H)]])</f>
        <v>13.970588235294118</v>
      </c>
      <c r="L454" s="23">
        <v>13.970588235294118</v>
      </c>
      <c r="M454" s="23">
        <v>21691.79</v>
      </c>
      <c r="N454" s="23">
        <v>71250</v>
      </c>
      <c r="O454" s="23">
        <f>Tableau1[[#This Row],[Productivité]]-Tableau1[[#This Row],[ les Charges]]</f>
        <v>49558.21</v>
      </c>
      <c r="P454" s="60"/>
      <c r="V454">
        <v>23890</v>
      </c>
      <c r="W454">
        <v>90720</v>
      </c>
    </row>
    <row r="455" spans="1:23" hidden="1" x14ac:dyDescent="0.25">
      <c r="A455" s="13">
        <v>44377</v>
      </c>
      <c r="B455" t="s">
        <v>84</v>
      </c>
      <c r="C455" s="65" t="s">
        <v>42</v>
      </c>
      <c r="D455" t="s">
        <v>94</v>
      </c>
      <c r="E455" s="65">
        <v>270</v>
      </c>
      <c r="F455">
        <v>2275</v>
      </c>
      <c r="G455">
        <v>35</v>
      </c>
      <c r="J455">
        <v>20</v>
      </c>
      <c r="K455" s="23">
        <f>IF(Tableau1[[#This Row],[Quantité (H)]]=0,0,Tableau1[[#This Row],[Gasoil (L)]]/Tableau1[[#This Row],[Quantité (H)]])</f>
        <v>8.4259259259259256</v>
      </c>
      <c r="L455" s="23">
        <v>12.04</v>
      </c>
      <c r="M455" s="23">
        <v>24850</v>
      </c>
      <c r="N455" s="23">
        <v>95760</v>
      </c>
      <c r="O455" s="23">
        <f>Tableau1[[#This Row],[Productivité]]-Tableau1[[#This Row],[ les Charges]]</f>
        <v>70910</v>
      </c>
      <c r="P455" s="60"/>
      <c r="V455">
        <v>18649.45</v>
      </c>
      <c r="W455">
        <v>175500</v>
      </c>
    </row>
    <row r="456" spans="1:23" hidden="1" x14ac:dyDescent="0.25">
      <c r="A456" s="13">
        <v>44377</v>
      </c>
      <c r="B456" t="s">
        <v>84</v>
      </c>
      <c r="C456" s="65" t="s">
        <v>42</v>
      </c>
      <c r="D456" t="s">
        <v>126</v>
      </c>
      <c r="E456" s="65">
        <v>252</v>
      </c>
      <c r="F456">
        <v>2354</v>
      </c>
      <c r="J456">
        <v>10</v>
      </c>
      <c r="K456" s="23">
        <f>IF(Tableau1[[#This Row],[Quantité (H)]]=0,0,Tableau1[[#This Row],[Gasoil (L)]]/Tableau1[[#This Row],[Quantité (H)]])</f>
        <v>9.3412698412698418</v>
      </c>
      <c r="L456" s="23">
        <v>9.6100000000000012</v>
      </c>
      <c r="M456" s="23">
        <v>23890</v>
      </c>
      <c r="N456" s="23">
        <v>90720</v>
      </c>
      <c r="O456" s="23">
        <f>Tableau1[[#This Row],[Productivité]]-Tableau1[[#This Row],[ les Charges]]</f>
        <v>66830</v>
      </c>
      <c r="P456" s="60"/>
      <c r="V456">
        <v>996.07</v>
      </c>
      <c r="W456">
        <v>157950</v>
      </c>
    </row>
    <row r="457" spans="1:23" hidden="1" x14ac:dyDescent="0.25">
      <c r="A457" s="13">
        <v>44377</v>
      </c>
      <c r="B457" t="s">
        <v>147</v>
      </c>
      <c r="C457" s="65" t="s">
        <v>173</v>
      </c>
      <c r="D457" t="s">
        <v>36</v>
      </c>
      <c r="E457" s="3">
        <v>130</v>
      </c>
      <c r="F457">
        <v>5484</v>
      </c>
      <c r="G457">
        <v>43</v>
      </c>
      <c r="I457">
        <v>30</v>
      </c>
      <c r="K457" s="23">
        <f>IF(Tableau1[[#This Row],[Quantité (H)]]=0,0,Tableau1[[#This Row],[Gasoil (L)]]/Tableau1[[#This Row],[Quantité (H)]])</f>
        <v>42.184615384615384</v>
      </c>
      <c r="L457" s="23">
        <v>0</v>
      </c>
      <c r="M457" s="23">
        <v>18649.45</v>
      </c>
      <c r="N457" s="23">
        <v>175500</v>
      </c>
      <c r="O457" s="23">
        <f>Tableau1[[#This Row],[Productivité]]-Tableau1[[#This Row],[ les Charges]]</f>
        <v>156850.54999999999</v>
      </c>
      <c r="P457" s="60"/>
      <c r="V457">
        <v>5272.7</v>
      </c>
      <c r="W457">
        <v>6650</v>
      </c>
    </row>
    <row r="458" spans="1:23" hidden="1" x14ac:dyDescent="0.25">
      <c r="A458" s="13">
        <v>44377</v>
      </c>
      <c r="C458" s="65" t="s">
        <v>173</v>
      </c>
      <c r="D458" t="s">
        <v>37</v>
      </c>
      <c r="E458" s="3"/>
      <c r="K458" s="23">
        <f>IF(Tableau1[[#This Row],[Quantité (H)]]=0,0,Tableau1[[#This Row],[Gasoil (L)]]/Tableau1[[#This Row],[Quantité (H)]])</f>
        <v>0</v>
      </c>
      <c r="L458" s="23">
        <v>0</v>
      </c>
      <c r="M458" s="23">
        <v>996.07</v>
      </c>
      <c r="N458" s="23">
        <v>157950</v>
      </c>
      <c r="O458" s="23">
        <f>Tableau1[[#This Row],[Productivité]]-Tableau1[[#This Row],[ les Charges]]</f>
        <v>156953.93</v>
      </c>
      <c r="P458" s="60"/>
      <c r="V458">
        <v>383.33</v>
      </c>
      <c r="W458">
        <v>60175</v>
      </c>
    </row>
    <row r="459" spans="1:23" hidden="1" x14ac:dyDescent="0.25">
      <c r="A459" s="13">
        <v>44377</v>
      </c>
      <c r="B459" t="s">
        <v>80</v>
      </c>
      <c r="C459" s="65" t="s">
        <v>85</v>
      </c>
      <c r="D459" t="s">
        <v>51</v>
      </c>
      <c r="E459" s="3">
        <v>13</v>
      </c>
      <c r="F459">
        <v>550</v>
      </c>
      <c r="G459">
        <v>0</v>
      </c>
      <c r="H459">
        <v>0</v>
      </c>
      <c r="I459">
        <v>0</v>
      </c>
      <c r="J459">
        <v>0</v>
      </c>
      <c r="K459" s="23">
        <f>IF(Tableau1[[#This Row],[Quantité (H)]]=0,0,Tableau1[[#This Row],[Gasoil (L)]]/Tableau1[[#This Row],[Quantité (H)]])</f>
        <v>42.307692307692307</v>
      </c>
      <c r="L459" s="23">
        <v>17.37</v>
      </c>
      <c r="M459" s="23">
        <v>5272.7</v>
      </c>
      <c r="N459" s="23">
        <v>6650</v>
      </c>
      <c r="O459" s="23">
        <f>Tableau1[[#This Row],[Productivité]]-Tableau1[[#This Row],[ les Charges]]</f>
        <v>1377.3000000000002</v>
      </c>
      <c r="P459" s="60"/>
      <c r="V459">
        <v>58862.2</v>
      </c>
      <c r="W459">
        <v>244375</v>
      </c>
    </row>
    <row r="460" spans="1:23" hidden="1" x14ac:dyDescent="0.25">
      <c r="A460" s="13">
        <v>44377</v>
      </c>
      <c r="B460" t="s">
        <v>147</v>
      </c>
      <c r="C460" s="65" t="s">
        <v>175</v>
      </c>
      <c r="D460" t="s">
        <v>30</v>
      </c>
      <c r="E460" s="3">
        <v>98</v>
      </c>
      <c r="F460">
        <v>636</v>
      </c>
      <c r="K460" s="23">
        <f>IF(Tableau1[[#This Row],[Quantité (H)]]=0,0,Tableau1[[#This Row],[Gasoil (L)]]/Tableau1[[#This Row],[Quantité (H)]])</f>
        <v>6.4897959183673466</v>
      </c>
      <c r="L460" s="23">
        <v>6.8000000000000007</v>
      </c>
      <c r="M460" s="23">
        <v>383.33</v>
      </c>
      <c r="N460" s="23">
        <v>60175</v>
      </c>
      <c r="O460" s="23">
        <f>Tableau1[[#This Row],[Productivité]]-Tableau1[[#This Row],[ les Charges]]</f>
        <v>59791.67</v>
      </c>
      <c r="P460" s="60"/>
      <c r="V460">
        <v>25558.46</v>
      </c>
      <c r="W460">
        <v>126000</v>
      </c>
    </row>
    <row r="461" spans="1:23" hidden="1" x14ac:dyDescent="0.25">
      <c r="A461" s="13">
        <v>44377</v>
      </c>
      <c r="B461" t="s">
        <v>84</v>
      </c>
      <c r="C461" s="65" t="s">
        <v>195</v>
      </c>
      <c r="D461" t="s">
        <v>38</v>
      </c>
      <c r="E461" s="3">
        <v>212.5</v>
      </c>
      <c r="F461">
        <v>4924</v>
      </c>
      <c r="G461">
        <v>90</v>
      </c>
      <c r="I461">
        <v>90</v>
      </c>
      <c r="J461">
        <v>35</v>
      </c>
      <c r="K461" s="23">
        <f>IF(Tableau1[[#This Row],[Quantité (H)]]=0,0,Tableau1[[#This Row],[Gasoil (L)]]/Tableau1[[#This Row],[Quantité (H)]])</f>
        <v>23.171764705882353</v>
      </c>
      <c r="L461" s="23">
        <v>17.22</v>
      </c>
      <c r="M461" s="23">
        <v>58862.2</v>
      </c>
      <c r="N461" s="23">
        <v>244375</v>
      </c>
      <c r="O461" s="23">
        <f>Tableau1[[#This Row],[Productivité]]-Tableau1[[#This Row],[ les Charges]]</f>
        <v>185512.8</v>
      </c>
      <c r="P461" s="60"/>
      <c r="V461">
        <v>341.07</v>
      </c>
    </row>
    <row r="462" spans="1:23" hidden="1" x14ac:dyDescent="0.25">
      <c r="A462" s="13">
        <v>44377</v>
      </c>
      <c r="B462" t="s">
        <v>116</v>
      </c>
      <c r="C462" s="65" t="s">
        <v>39</v>
      </c>
      <c r="D462" t="s">
        <v>11</v>
      </c>
      <c r="E462" s="65">
        <v>252</v>
      </c>
      <c r="F462">
        <v>2179</v>
      </c>
      <c r="G462">
        <v>57</v>
      </c>
      <c r="H462">
        <v>0</v>
      </c>
      <c r="I462">
        <v>10</v>
      </c>
      <c r="J462">
        <v>9</v>
      </c>
      <c r="K462" s="23">
        <f>IF(Tableau1[[#This Row],[Quantité (H)]]=0,0,Tableau1[[#This Row],[Gasoil (L)]]/Tableau1[[#This Row],[Quantité (H)]])</f>
        <v>8.6468253968253972</v>
      </c>
      <c r="L462" s="23">
        <v>0</v>
      </c>
      <c r="M462" s="23">
        <v>25558.46</v>
      </c>
      <c r="N462" s="23">
        <v>126000</v>
      </c>
      <c r="O462" s="23">
        <f>Tableau1[[#This Row],[Productivité]]-Tableau1[[#This Row],[ les Charges]]</f>
        <v>100441.54000000001</v>
      </c>
      <c r="P462" s="60"/>
      <c r="V462">
        <v>42266.28</v>
      </c>
      <c r="W462">
        <v>93200</v>
      </c>
    </row>
    <row r="463" spans="1:23" hidden="1" x14ac:dyDescent="0.25">
      <c r="A463" s="13">
        <v>44377</v>
      </c>
      <c r="C463" s="65" t="s">
        <v>39</v>
      </c>
      <c r="D463" t="s">
        <v>12</v>
      </c>
      <c r="E463" s="65"/>
      <c r="K463" s="23">
        <f>IF(Tableau1[[#This Row],[Quantité (H)]]=0,0,Tableau1[[#This Row],[Gasoil (L)]]/Tableau1[[#This Row],[Quantité (H)]])</f>
        <v>0</v>
      </c>
      <c r="L463" s="23">
        <v>0</v>
      </c>
      <c r="M463" s="23">
        <v>341.07</v>
      </c>
      <c r="O463" s="23">
        <f>Tableau1[[#This Row],[Productivité]]-Tableau1[[#This Row],[ les Charges]]</f>
        <v>-341.07</v>
      </c>
      <c r="P463" s="60"/>
      <c r="V463">
        <v>114561.86</v>
      </c>
      <c r="W463">
        <v>86500</v>
      </c>
    </row>
    <row r="464" spans="1:23" hidden="1" x14ac:dyDescent="0.25">
      <c r="A464" s="13">
        <v>44377</v>
      </c>
      <c r="B464" t="s">
        <v>83</v>
      </c>
      <c r="C464" s="65" t="s">
        <v>39</v>
      </c>
      <c r="D464" t="s">
        <v>13</v>
      </c>
      <c r="E464">
        <v>233</v>
      </c>
      <c r="F464">
        <v>2671</v>
      </c>
      <c r="G464">
        <v>30</v>
      </c>
      <c r="H464">
        <v>0</v>
      </c>
      <c r="I464">
        <v>0</v>
      </c>
      <c r="J464">
        <v>23</v>
      </c>
      <c r="K464" s="23">
        <f>IF(Tableau1[[#This Row],[Quantité (H)]]=0,0,Tableau1[[#This Row],[Gasoil (L)]]/Tableau1[[#This Row],[Quantité (H)]])</f>
        <v>11.463519313304721</v>
      </c>
      <c r="L464" s="23">
        <v>0</v>
      </c>
      <c r="M464" s="23">
        <v>42266.28</v>
      </c>
      <c r="N464" s="23">
        <v>93200</v>
      </c>
      <c r="O464" s="23">
        <f>Tableau1[[#This Row],[Productivité]]-Tableau1[[#This Row],[ les Charges]]</f>
        <v>50933.72</v>
      </c>
      <c r="P464" s="60"/>
      <c r="S464" s="23">
        <f>12*9</f>
        <v>108</v>
      </c>
      <c r="V464">
        <v>26051.48</v>
      </c>
      <c r="W464">
        <v>25500</v>
      </c>
    </row>
    <row r="465" spans="1:23" hidden="1" x14ac:dyDescent="0.25">
      <c r="A465" s="13">
        <v>44377</v>
      </c>
      <c r="B465" t="s">
        <v>80</v>
      </c>
      <c r="C465" s="65" t="s">
        <v>39</v>
      </c>
      <c r="D465" t="s">
        <v>14</v>
      </c>
      <c r="E465" s="65">
        <v>173</v>
      </c>
      <c r="F465">
        <v>3776.7799999999997</v>
      </c>
      <c r="G465">
        <v>65</v>
      </c>
      <c r="H465">
        <v>0</v>
      </c>
      <c r="I465">
        <v>17</v>
      </c>
      <c r="J465">
        <v>15</v>
      </c>
      <c r="K465" s="23">
        <f>IF(Tableau1[[#This Row],[Quantité (H)]]=0,0,Tableau1[[#This Row],[Gasoil (L)]]/Tableau1[[#This Row],[Quantité (H)]])</f>
        <v>21.831098265895953</v>
      </c>
      <c r="L465" s="23">
        <v>18.789950248756217</v>
      </c>
      <c r="M465" s="23">
        <v>114561.86</v>
      </c>
      <c r="N465" s="23">
        <v>86500</v>
      </c>
      <c r="O465" s="23">
        <f>Tableau1[[#This Row],[Productivité]]-Tableau1[[#This Row],[ les Charges]]</f>
        <v>-28061.86</v>
      </c>
      <c r="P465" s="60"/>
    </row>
    <row r="466" spans="1:23" hidden="1" x14ac:dyDescent="0.25">
      <c r="A466" s="13">
        <v>44377</v>
      </c>
      <c r="B466" t="s">
        <v>116</v>
      </c>
      <c r="C466" s="65" t="s">
        <v>39</v>
      </c>
      <c r="D466" t="s">
        <v>15</v>
      </c>
      <c r="E466" s="65">
        <v>51</v>
      </c>
      <c r="F466">
        <v>600</v>
      </c>
      <c r="G466">
        <v>26</v>
      </c>
      <c r="H466">
        <v>0</v>
      </c>
      <c r="I466">
        <v>10</v>
      </c>
      <c r="J466">
        <v>6</v>
      </c>
      <c r="K466" s="23">
        <f>IF(Tableau1[[#This Row],[Quantité (H)]]=0,0,Tableau1[[#This Row],[Gasoil (L)]]/Tableau1[[#This Row],[Quantité (H)]])</f>
        <v>11.764705882352942</v>
      </c>
      <c r="L466" s="23">
        <v>19.736842105263396</v>
      </c>
      <c r="M466" s="23">
        <v>26051.48</v>
      </c>
      <c r="N466" s="23">
        <v>25500</v>
      </c>
      <c r="O466" s="23">
        <f>Tableau1[[#This Row],[Productivité]]-Tableau1[[#This Row],[ les Charges]]</f>
        <v>-551.47999999999956</v>
      </c>
      <c r="P466" s="60"/>
      <c r="V466">
        <v>721.66</v>
      </c>
    </row>
    <row r="467" spans="1:23" hidden="1" x14ac:dyDescent="0.25">
      <c r="A467" s="13">
        <v>44377</v>
      </c>
      <c r="B467" t="s">
        <v>116</v>
      </c>
      <c r="C467" s="65" t="s">
        <v>92</v>
      </c>
      <c r="D467" t="s">
        <v>101</v>
      </c>
      <c r="E467" s="3">
        <v>26</v>
      </c>
      <c r="F467">
        <v>40</v>
      </c>
      <c r="G467">
        <v>0</v>
      </c>
      <c r="H467">
        <v>0</v>
      </c>
      <c r="I467">
        <v>0</v>
      </c>
      <c r="J467">
        <v>0</v>
      </c>
      <c r="K467" s="23">
        <f>IF(Tableau1[[#This Row],[Quantité (H)]]=0,0,Tableau1[[#This Row],[Gasoil (L)]]/Tableau1[[#This Row],[Quantité (H)]])</f>
        <v>1.5384615384615385</v>
      </c>
      <c r="L467" s="23">
        <v>0</v>
      </c>
      <c r="O467" s="23">
        <f>Tableau1[[#This Row],[Productivité]]-Tableau1[[#This Row],[ les Charges]]</f>
        <v>0</v>
      </c>
      <c r="P467" s="60"/>
    </row>
    <row r="468" spans="1:23" hidden="1" x14ac:dyDescent="0.25">
      <c r="A468" s="13">
        <v>44377</v>
      </c>
      <c r="C468" s="65" t="s">
        <v>92</v>
      </c>
      <c r="D468" t="s">
        <v>102</v>
      </c>
      <c r="E468" s="3"/>
      <c r="K468" s="23">
        <f>IF(Tableau1[[#This Row],[Quantité (H)]]=0,0,Tableau1[[#This Row],[Gasoil (L)]]/Tableau1[[#This Row],[Quantité (H)]])</f>
        <v>0</v>
      </c>
      <c r="L468" s="23">
        <v>0</v>
      </c>
      <c r="M468" s="23">
        <v>721.66</v>
      </c>
      <c r="O468" s="23">
        <f>Tableau1[[#This Row],[Productivité]]-Tableau1[[#This Row],[ les Charges]]</f>
        <v>-721.66</v>
      </c>
      <c r="P468" s="60"/>
    </row>
    <row r="469" spans="1:23" hidden="1" x14ac:dyDescent="0.25">
      <c r="A469" s="13">
        <v>44377</v>
      </c>
      <c r="B469" t="s">
        <v>84</v>
      </c>
      <c r="C469" s="65" t="s">
        <v>92</v>
      </c>
      <c r="D469" t="s">
        <v>125</v>
      </c>
      <c r="E469" s="3">
        <v>29</v>
      </c>
      <c r="F469">
        <v>35</v>
      </c>
      <c r="K469" s="23">
        <f>IF(Tableau1[[#This Row],[Quantité (H)]]=0,0,Tableau1[[#This Row],[Gasoil (L)]]/Tableau1[[#This Row],[Quantité (H)]])</f>
        <v>1.2068965517241379</v>
      </c>
      <c r="L469" s="23">
        <v>0</v>
      </c>
      <c r="O469" s="23">
        <f>Tableau1[[#This Row],[Productivité]]-Tableau1[[#This Row],[ les Charges]]</f>
        <v>0</v>
      </c>
      <c r="P469" s="60"/>
    </row>
    <row r="470" spans="1:23" hidden="1" x14ac:dyDescent="0.25">
      <c r="A470" s="13">
        <v>44377</v>
      </c>
      <c r="B470" t="s">
        <v>116</v>
      </c>
      <c r="C470" s="65" t="s">
        <v>92</v>
      </c>
      <c r="D470" t="s">
        <v>121</v>
      </c>
      <c r="E470" s="3">
        <v>16</v>
      </c>
      <c r="F470">
        <v>75</v>
      </c>
      <c r="G470">
        <v>0</v>
      </c>
      <c r="H470">
        <v>0</v>
      </c>
      <c r="I470">
        <v>0</v>
      </c>
      <c r="J470">
        <v>0</v>
      </c>
      <c r="K470" s="23">
        <f>IF(Tableau1[[#This Row],[Quantité (H)]]=0,0,Tableau1[[#This Row],[Gasoil (L)]]/Tableau1[[#This Row],[Quantité (H)]])</f>
        <v>4.6875</v>
      </c>
      <c r="L470" s="23">
        <v>0</v>
      </c>
      <c r="O470" s="23">
        <f>Tableau1[[#This Row],[Productivité]]-Tableau1[[#This Row],[ les Charges]]</f>
        <v>0</v>
      </c>
      <c r="P470" s="60"/>
      <c r="V470">
        <v>64766.41</v>
      </c>
      <c r="W470">
        <v>86940</v>
      </c>
    </row>
    <row r="471" spans="1:23" hidden="1" x14ac:dyDescent="0.25">
      <c r="A471" s="13">
        <v>44377</v>
      </c>
      <c r="B471" t="s">
        <v>83</v>
      </c>
      <c r="C471" s="65" t="s">
        <v>92</v>
      </c>
      <c r="D471" t="s">
        <v>120</v>
      </c>
      <c r="E471" s="3">
        <v>24</v>
      </c>
      <c r="F471">
        <v>0</v>
      </c>
      <c r="G471">
        <v>0</v>
      </c>
      <c r="H471">
        <v>0</v>
      </c>
      <c r="I471">
        <v>0</v>
      </c>
      <c r="K471" s="23">
        <f>IF(Tableau1[[#This Row],[Quantité (H)]]=0,0,Tableau1[[#This Row],[Gasoil (L)]]/Tableau1[[#This Row],[Quantité (H)]])</f>
        <v>0</v>
      </c>
      <c r="L471" s="23">
        <v>0</v>
      </c>
      <c r="O471" s="23">
        <f>Tableau1[[#This Row],[Productivité]]-Tableau1[[#This Row],[ les Charges]]</f>
        <v>0</v>
      </c>
      <c r="P471" s="60"/>
      <c r="V471">
        <v>56695.45</v>
      </c>
      <c r="W471">
        <v>65310</v>
      </c>
    </row>
    <row r="472" spans="1:23" hidden="1" x14ac:dyDescent="0.25">
      <c r="A472" s="13">
        <v>44377</v>
      </c>
      <c r="B472" t="s">
        <v>84</v>
      </c>
      <c r="C472" s="65" t="s">
        <v>41</v>
      </c>
      <c r="D472" t="s">
        <v>20</v>
      </c>
      <c r="E472" s="65">
        <v>211</v>
      </c>
      <c r="F472">
        <v>3947</v>
      </c>
      <c r="G472">
        <v>10</v>
      </c>
      <c r="I472">
        <v>50</v>
      </c>
      <c r="J472">
        <v>30</v>
      </c>
      <c r="K472" s="23">
        <f>IF(Tableau1[[#This Row],[Quantité (H)]]=0,0,Tableau1[[#This Row],[Gasoil (L)]]/Tableau1[[#This Row],[Quantité (H)]])</f>
        <v>18.706161137440759</v>
      </c>
      <c r="L472" s="23">
        <v>0.37</v>
      </c>
      <c r="M472" s="23">
        <v>64766.41</v>
      </c>
      <c r="N472" s="23">
        <v>86940</v>
      </c>
      <c r="O472" s="23">
        <f>Tableau1[[#This Row],[Productivité]]-Tableau1[[#This Row],[ les Charges]]</f>
        <v>22173.589999999997</v>
      </c>
      <c r="P472" s="60"/>
      <c r="V472">
        <v>41169.75</v>
      </c>
      <c r="W472">
        <v>103740</v>
      </c>
    </row>
    <row r="473" spans="1:23" hidden="1" x14ac:dyDescent="0.25">
      <c r="A473" s="13">
        <v>44377</v>
      </c>
      <c r="B473" t="s">
        <v>147</v>
      </c>
      <c r="C473" s="65" t="s">
        <v>41</v>
      </c>
      <c r="D473" t="s">
        <v>21</v>
      </c>
      <c r="E473" s="65">
        <v>174.5</v>
      </c>
      <c r="F473">
        <v>2994</v>
      </c>
      <c r="G473">
        <v>15</v>
      </c>
      <c r="I473">
        <v>85</v>
      </c>
      <c r="J473">
        <v>6</v>
      </c>
      <c r="K473" s="23">
        <f>IF(Tableau1[[#This Row],[Quantité (H)]]=0,0,Tableau1[[#This Row],[Gasoil (L)]]/Tableau1[[#This Row],[Quantité (H)]])</f>
        <v>17.157593123209168</v>
      </c>
      <c r="L473" s="23">
        <v>17.899999999999999</v>
      </c>
      <c r="M473" s="23">
        <v>56695.45</v>
      </c>
      <c r="N473" s="23">
        <v>65310</v>
      </c>
      <c r="O473" s="23">
        <f>Tableau1[[#This Row],[Productivité]]-Tableau1[[#This Row],[ les Charges]]</f>
        <v>8614.5500000000029</v>
      </c>
      <c r="P473" s="60"/>
      <c r="V473">
        <v>69699.78</v>
      </c>
      <c r="W473">
        <v>81690</v>
      </c>
    </row>
    <row r="474" spans="1:23" hidden="1" x14ac:dyDescent="0.25">
      <c r="A474" s="13">
        <v>44377</v>
      </c>
      <c r="B474" t="s">
        <v>116</v>
      </c>
      <c r="C474" s="65" t="s">
        <v>41</v>
      </c>
      <c r="D474" t="s">
        <v>124</v>
      </c>
      <c r="E474">
        <v>247</v>
      </c>
      <c r="F474">
        <v>3943</v>
      </c>
      <c r="G474">
        <v>5</v>
      </c>
      <c r="H474">
        <v>0</v>
      </c>
      <c r="I474">
        <v>15</v>
      </c>
      <c r="J474">
        <v>9</v>
      </c>
      <c r="K474" s="23">
        <f>IF(Tableau1[[#This Row],[Quantité (H)]]=0,0,Tableau1[[#This Row],[Gasoil (L)]]/Tableau1[[#This Row],[Quantité (H)]])</f>
        <v>15.963562753036438</v>
      </c>
      <c r="L474" s="23">
        <v>17.955373406193196</v>
      </c>
      <c r="M474" s="23">
        <v>41169.75</v>
      </c>
      <c r="N474" s="23">
        <v>103740</v>
      </c>
      <c r="O474" s="23">
        <f>Tableau1[[#This Row],[Productivité]]-Tableau1[[#This Row],[ les Charges]]</f>
        <v>62570.25</v>
      </c>
      <c r="P474" s="60"/>
      <c r="V474">
        <v>68960.009999999995</v>
      </c>
      <c r="W474">
        <v>79380</v>
      </c>
    </row>
    <row r="475" spans="1:23" hidden="1" x14ac:dyDescent="0.25">
      <c r="A475" s="13">
        <v>44377</v>
      </c>
      <c r="B475" t="s">
        <v>84</v>
      </c>
      <c r="C475" s="65" t="s">
        <v>41</v>
      </c>
      <c r="D475" t="s">
        <v>22</v>
      </c>
      <c r="E475" s="65">
        <v>50</v>
      </c>
      <c r="F475">
        <v>1511</v>
      </c>
      <c r="G475">
        <v>5</v>
      </c>
      <c r="I475">
        <v>35</v>
      </c>
      <c r="J475">
        <v>15</v>
      </c>
      <c r="K475" s="23">
        <f>IF(Tableau1[[#This Row],[Quantité (H)]]=0,0,Tableau1[[#This Row],[Gasoil (L)]]/Tableau1[[#This Row],[Quantité (H)]])</f>
        <v>30.22</v>
      </c>
      <c r="L475" s="23">
        <v>27.779999999999998</v>
      </c>
      <c r="M475" s="23">
        <v>69699.78</v>
      </c>
      <c r="N475" s="23">
        <v>81690</v>
      </c>
      <c r="O475" s="23">
        <f>Tableau1[[#This Row],[Productivité]]-Tableau1[[#This Row],[ les Charges]]</f>
        <v>11990.220000000001</v>
      </c>
      <c r="P475" s="60"/>
      <c r="V475">
        <v>81462.58</v>
      </c>
      <c r="W475">
        <v>89460</v>
      </c>
    </row>
    <row r="476" spans="1:23" hidden="1" x14ac:dyDescent="0.25">
      <c r="A476" s="13">
        <v>44377</v>
      </c>
      <c r="B476" t="s">
        <v>80</v>
      </c>
      <c r="C476" s="65" t="s">
        <v>41</v>
      </c>
      <c r="D476" t="s">
        <v>23</v>
      </c>
      <c r="E476" s="65">
        <v>189</v>
      </c>
      <c r="F476">
        <v>4430</v>
      </c>
      <c r="G476">
        <v>30</v>
      </c>
      <c r="H476">
        <v>0</v>
      </c>
      <c r="I476">
        <v>40</v>
      </c>
      <c r="J476">
        <v>27</v>
      </c>
      <c r="K476" s="23">
        <f>IF(Tableau1[[#This Row],[Quantité (H)]]=0,0,Tableau1[[#This Row],[Gasoil (L)]]/Tableau1[[#This Row],[Quantité (H)]])</f>
        <v>23.43915343915344</v>
      </c>
      <c r="L476" s="23">
        <v>21.057803468208093</v>
      </c>
      <c r="M476" s="23">
        <v>68960.009999999995</v>
      </c>
      <c r="N476" s="23">
        <v>79380</v>
      </c>
      <c r="O476" s="23">
        <f>Tableau1[[#This Row],[Productivité]]-Tableau1[[#This Row],[ les Charges]]</f>
        <v>10419.990000000005</v>
      </c>
      <c r="P476" s="60"/>
      <c r="V476">
        <v>83615.31</v>
      </c>
      <c r="W476">
        <v>95340</v>
      </c>
    </row>
    <row r="477" spans="1:23" hidden="1" x14ac:dyDescent="0.25">
      <c r="A477" s="13">
        <v>44377</v>
      </c>
      <c r="B477" t="s">
        <v>80</v>
      </c>
      <c r="C477" s="65" t="s">
        <v>41</v>
      </c>
      <c r="D477" t="s">
        <v>24</v>
      </c>
      <c r="E477" s="65">
        <v>213</v>
      </c>
      <c r="F477">
        <v>4891</v>
      </c>
      <c r="G477">
        <v>51</v>
      </c>
      <c r="H477">
        <v>0</v>
      </c>
      <c r="I477">
        <v>20</v>
      </c>
      <c r="J477">
        <v>25</v>
      </c>
      <c r="K477" s="23">
        <f>IF(Tableau1[[#This Row],[Quantité (H)]]=0,0,Tableau1[[#This Row],[Gasoil (L)]]/Tableau1[[#This Row],[Quantité (H)]])</f>
        <v>22.962441314553992</v>
      </c>
      <c r="L477" s="23">
        <v>0.51465635524510411</v>
      </c>
      <c r="M477" s="23">
        <v>81462.58</v>
      </c>
      <c r="N477" s="23">
        <v>89460</v>
      </c>
      <c r="O477" s="23">
        <f>Tableau1[[#This Row],[Productivité]]-Tableau1[[#This Row],[ les Charges]]</f>
        <v>7997.4199999999983</v>
      </c>
      <c r="P477" s="60"/>
      <c r="V477">
        <v>87523.75</v>
      </c>
      <c r="W477">
        <v>67200</v>
      </c>
    </row>
    <row r="478" spans="1:23" hidden="1" x14ac:dyDescent="0.25">
      <c r="A478" s="13">
        <v>44377</v>
      </c>
      <c r="B478" t="s">
        <v>84</v>
      </c>
      <c r="C478" s="65" t="s">
        <v>41</v>
      </c>
      <c r="D478" t="s">
        <v>25</v>
      </c>
      <c r="E478" s="65">
        <v>227</v>
      </c>
      <c r="F478">
        <v>6034</v>
      </c>
      <c r="I478">
        <v>25</v>
      </c>
      <c r="J478">
        <v>40</v>
      </c>
      <c r="K478" s="23">
        <f>IF(Tableau1[[#This Row],[Quantité (H)]]=0,0,Tableau1[[#This Row],[Gasoil (L)]]/Tableau1[[#This Row],[Quantité (H)]])</f>
        <v>26.581497797356828</v>
      </c>
      <c r="L478" s="23">
        <v>26.229999999999997</v>
      </c>
      <c r="M478" s="23">
        <v>83615.31</v>
      </c>
      <c r="N478" s="23">
        <v>95340</v>
      </c>
      <c r="O478" s="23">
        <f>Tableau1[[#This Row],[Productivité]]-Tableau1[[#This Row],[ les Charges]]</f>
        <v>11724.690000000002</v>
      </c>
      <c r="P478" s="60"/>
      <c r="V478">
        <v>14630.94</v>
      </c>
      <c r="W478">
        <v>42680</v>
      </c>
    </row>
    <row r="479" spans="1:23" hidden="1" x14ac:dyDescent="0.25">
      <c r="A479" s="13">
        <v>44377</v>
      </c>
      <c r="B479" t="s">
        <v>80</v>
      </c>
      <c r="C479" s="65" t="s">
        <v>41</v>
      </c>
      <c r="D479" t="s">
        <v>26</v>
      </c>
      <c r="E479" s="65">
        <v>160</v>
      </c>
      <c r="F479">
        <v>5800</v>
      </c>
      <c r="G479">
        <v>0</v>
      </c>
      <c r="H479">
        <v>0</v>
      </c>
      <c r="I479">
        <v>120</v>
      </c>
      <c r="J479">
        <v>28</v>
      </c>
      <c r="K479" s="23">
        <f>IF(Tableau1[[#This Row],[Quantité (H)]]=0,0,Tableau1[[#This Row],[Gasoil (L)]]/Tableau1[[#This Row],[Quantité (H)]])</f>
        <v>36.25</v>
      </c>
      <c r="L479" s="23">
        <v>5.8704453441295543</v>
      </c>
      <c r="M479" s="23">
        <v>87523.75</v>
      </c>
      <c r="N479" s="23">
        <v>67200</v>
      </c>
      <c r="O479" s="23">
        <f>Tableau1[[#This Row],[Productivité]]-Tableau1[[#This Row],[ les Charges]]</f>
        <v>-20323.75</v>
      </c>
      <c r="P479" s="60"/>
      <c r="V479">
        <v>16868.330000000002</v>
      </c>
      <c r="W479">
        <v>34860</v>
      </c>
    </row>
    <row r="480" spans="1:23" hidden="1" x14ac:dyDescent="0.25">
      <c r="A480" s="13">
        <v>44377</v>
      </c>
      <c r="B480" t="s">
        <v>83</v>
      </c>
      <c r="C480" s="65" t="s">
        <v>41</v>
      </c>
      <c r="D480" t="s">
        <v>27</v>
      </c>
      <c r="E480" s="65">
        <v>194</v>
      </c>
      <c r="F480">
        <v>1290</v>
      </c>
      <c r="G480">
        <v>20</v>
      </c>
      <c r="H480">
        <v>0</v>
      </c>
      <c r="I480">
        <v>0</v>
      </c>
      <c r="J480">
        <v>4</v>
      </c>
      <c r="K480" s="23">
        <f>IF(Tableau1[[#This Row],[Quantité (H)]]=0,0,Tableau1[[#This Row],[Gasoil (L)]]/Tableau1[[#This Row],[Quantité (H)]])</f>
        <v>6.6494845360824746</v>
      </c>
      <c r="L480" s="23">
        <v>5.616883116883117</v>
      </c>
      <c r="M480" s="23">
        <v>14630.94</v>
      </c>
      <c r="N480" s="23">
        <v>42680</v>
      </c>
      <c r="O480" s="23">
        <f>Tableau1[[#This Row],[Productivité]]-Tableau1[[#This Row],[ les Charges]]</f>
        <v>28049.059999999998</v>
      </c>
      <c r="P480" s="60"/>
      <c r="V480">
        <v>24741.9</v>
      </c>
      <c r="W480">
        <v>43340</v>
      </c>
    </row>
    <row r="481" spans="1:23" hidden="1" x14ac:dyDescent="0.25">
      <c r="A481" s="13">
        <v>44377</v>
      </c>
      <c r="B481" t="s">
        <v>116</v>
      </c>
      <c r="C481" s="65" t="s">
        <v>41</v>
      </c>
      <c r="D481" t="s">
        <v>130</v>
      </c>
      <c r="E481" s="65">
        <v>83</v>
      </c>
      <c r="F481">
        <v>1650</v>
      </c>
      <c r="G481">
        <v>5</v>
      </c>
      <c r="H481">
        <v>0</v>
      </c>
      <c r="I481">
        <v>0</v>
      </c>
      <c r="J481">
        <v>1</v>
      </c>
      <c r="K481" s="23">
        <f>IF(Tableau1[[#This Row],[Quantité (H)]]=0,0,Tableau1[[#This Row],[Gasoil (L)]]/Tableau1[[#This Row],[Quantité (H)]])</f>
        <v>19.879518072289155</v>
      </c>
      <c r="L481" s="23">
        <v>25.541795665634531</v>
      </c>
      <c r="M481" s="23">
        <v>16868.330000000002</v>
      </c>
      <c r="N481" s="23">
        <v>34860</v>
      </c>
      <c r="O481" s="23">
        <f>Tableau1[[#This Row],[Productivité]]-Tableau1[[#This Row],[ les Charges]]</f>
        <v>17991.669999999998</v>
      </c>
      <c r="P481" s="60"/>
      <c r="V481">
        <v>24383.87</v>
      </c>
      <c r="W481">
        <v>55220</v>
      </c>
    </row>
    <row r="482" spans="1:23" hidden="1" x14ac:dyDescent="0.25">
      <c r="A482" s="13">
        <v>44377</v>
      </c>
      <c r="B482" t="s">
        <v>84</v>
      </c>
      <c r="C482" s="65" t="s">
        <v>41</v>
      </c>
      <c r="D482" t="s">
        <v>137</v>
      </c>
      <c r="E482" s="65">
        <v>224</v>
      </c>
      <c r="F482">
        <v>1560</v>
      </c>
      <c r="G482">
        <v>15</v>
      </c>
      <c r="J482">
        <v>10</v>
      </c>
      <c r="K482" s="23">
        <f>IF(Tableau1[[#This Row],[Quantité (H)]]=0,0,Tableau1[[#This Row],[Gasoil (L)]]/Tableau1[[#This Row],[Quantité (H)]])</f>
        <v>6.9642857142857144</v>
      </c>
      <c r="L482" s="23">
        <v>4.51</v>
      </c>
      <c r="M482" s="23">
        <v>24741.9</v>
      </c>
      <c r="N482" s="23">
        <v>43340</v>
      </c>
      <c r="O482" s="23">
        <f>Tableau1[[#This Row],[Productivité]]-Tableau1[[#This Row],[ les Charges]]</f>
        <v>18598.099999999999</v>
      </c>
      <c r="P482" s="60"/>
      <c r="V482">
        <v>53831.54</v>
      </c>
      <c r="W482">
        <v>97860</v>
      </c>
    </row>
    <row r="483" spans="1:23" hidden="1" x14ac:dyDescent="0.25">
      <c r="A483" s="13">
        <v>44377</v>
      </c>
      <c r="B483" t="s">
        <v>116</v>
      </c>
      <c r="C483" s="65" t="s">
        <v>41</v>
      </c>
      <c r="D483" t="s">
        <v>123</v>
      </c>
      <c r="E483">
        <v>251</v>
      </c>
      <c r="F483">
        <v>2303</v>
      </c>
      <c r="G483">
        <v>20</v>
      </c>
      <c r="H483">
        <v>0</v>
      </c>
      <c r="I483">
        <v>5</v>
      </c>
      <c r="J483">
        <v>7</v>
      </c>
      <c r="K483" s="23">
        <f>IF(Tableau1[[#This Row],[Quantité (H)]]=0,0,Tableau1[[#This Row],[Gasoil (L)]]/Tableau1[[#This Row],[Quantité (H)]])</f>
        <v>9.1752988047808763</v>
      </c>
      <c r="L483" s="23">
        <v>8.8041924726059992</v>
      </c>
      <c r="M483" s="23">
        <v>24383.87</v>
      </c>
      <c r="N483" s="23">
        <v>55220</v>
      </c>
      <c r="O483" s="23">
        <f>Tableau1[[#This Row],[Productivité]]-Tableau1[[#This Row],[ les Charges]]</f>
        <v>30836.13</v>
      </c>
      <c r="P483" s="60"/>
      <c r="V483">
        <v>41988.33</v>
      </c>
      <c r="W483">
        <v>87360</v>
      </c>
    </row>
    <row r="484" spans="1:23" hidden="1" x14ac:dyDescent="0.25">
      <c r="A484" s="13">
        <v>44377</v>
      </c>
      <c r="B484" t="s">
        <v>84</v>
      </c>
      <c r="C484" s="65" t="s">
        <v>41</v>
      </c>
      <c r="D484" t="s">
        <v>128</v>
      </c>
      <c r="E484" s="65">
        <v>233</v>
      </c>
      <c r="F484">
        <v>4624</v>
      </c>
      <c r="G484">
        <v>25</v>
      </c>
      <c r="H484">
        <v>5</v>
      </c>
      <c r="I484">
        <v>10</v>
      </c>
      <c r="J484">
        <v>60</v>
      </c>
      <c r="K484" s="23">
        <f>IF(Tableau1[[#This Row],[Quantité (H)]]=0,0,Tableau1[[#This Row],[Gasoil (L)]]/Tableau1[[#This Row],[Quantité (H)]])</f>
        <v>19.845493562231759</v>
      </c>
      <c r="L484" s="23">
        <v>18.5</v>
      </c>
      <c r="M484" s="23">
        <v>53831.54</v>
      </c>
      <c r="N484" s="23">
        <v>97860</v>
      </c>
      <c r="O484" s="23">
        <f>Tableau1[[#This Row],[Productivité]]-Tableau1[[#This Row],[ les Charges]]</f>
        <v>44028.46</v>
      </c>
      <c r="P484" s="60"/>
      <c r="V484">
        <v>45014.38</v>
      </c>
      <c r="W484">
        <v>103740</v>
      </c>
    </row>
    <row r="485" spans="1:23" hidden="1" x14ac:dyDescent="0.25">
      <c r="A485" s="13">
        <v>44377</v>
      </c>
      <c r="B485" t="s">
        <v>84</v>
      </c>
      <c r="C485" s="65" t="s">
        <v>41</v>
      </c>
      <c r="D485" t="s">
        <v>127</v>
      </c>
      <c r="E485" s="65">
        <v>208</v>
      </c>
      <c r="F485">
        <v>4098</v>
      </c>
      <c r="H485">
        <v>5</v>
      </c>
      <c r="J485">
        <v>10</v>
      </c>
      <c r="K485" s="23">
        <f>IF(Tableau1[[#This Row],[Quantité (H)]]=0,0,Tableau1[[#This Row],[Gasoil (L)]]/Tableau1[[#This Row],[Quantité (H)]])</f>
        <v>19.701923076923077</v>
      </c>
      <c r="L485" s="23">
        <v>3.51</v>
      </c>
      <c r="M485" s="23">
        <v>41988.33</v>
      </c>
      <c r="N485" s="23">
        <v>87360</v>
      </c>
      <c r="O485" s="23">
        <f>Tableau1[[#This Row],[Productivité]]-Tableau1[[#This Row],[ les Charges]]</f>
        <v>45371.67</v>
      </c>
      <c r="P485" s="60"/>
      <c r="V485">
        <v>16284.87</v>
      </c>
      <c r="W485">
        <v>21120</v>
      </c>
    </row>
    <row r="486" spans="1:23" hidden="1" x14ac:dyDescent="0.25">
      <c r="A486" s="13">
        <v>44377</v>
      </c>
      <c r="B486" t="s">
        <v>84</v>
      </c>
      <c r="C486" s="65" t="s">
        <v>41</v>
      </c>
      <c r="D486" t="s">
        <v>129</v>
      </c>
      <c r="E486" s="65">
        <v>247</v>
      </c>
      <c r="F486">
        <v>4066</v>
      </c>
      <c r="G486">
        <v>25</v>
      </c>
      <c r="J486">
        <v>40</v>
      </c>
      <c r="K486" s="23">
        <f>IF(Tableau1[[#This Row],[Quantité (H)]]=0,0,Tableau1[[#This Row],[Gasoil (L)]]/Tableau1[[#This Row],[Quantité (H)]])</f>
        <v>16.46153846153846</v>
      </c>
      <c r="L486" s="23">
        <v>0</v>
      </c>
      <c r="M486" s="23">
        <v>45014.38</v>
      </c>
      <c r="N486" s="23">
        <v>103740</v>
      </c>
      <c r="O486" s="23">
        <f>Tableau1[[#This Row],[Productivité]]-Tableau1[[#This Row],[ les Charges]]</f>
        <v>58725.62</v>
      </c>
      <c r="P486" s="60"/>
      <c r="V486">
        <v>5149.1000000000004</v>
      </c>
      <c r="W486">
        <v>16380</v>
      </c>
    </row>
    <row r="487" spans="1:23" hidden="1" x14ac:dyDescent="0.25">
      <c r="A487" s="13">
        <v>44377</v>
      </c>
      <c r="B487" t="s">
        <v>116</v>
      </c>
      <c r="C487" s="65" t="s">
        <v>41</v>
      </c>
      <c r="D487" t="s">
        <v>122</v>
      </c>
      <c r="E487" s="65">
        <v>96</v>
      </c>
      <c r="F487">
        <v>899</v>
      </c>
      <c r="G487">
        <v>15</v>
      </c>
      <c r="H487">
        <v>0</v>
      </c>
      <c r="I487">
        <v>30</v>
      </c>
      <c r="J487">
        <v>5</v>
      </c>
      <c r="K487" s="23">
        <f>IF(Tableau1[[#This Row],[Quantité (H)]]=0,0,Tableau1[[#This Row],[Gasoil (L)]]/Tableau1[[#This Row],[Quantité (H)]])</f>
        <v>9.3645833333333339</v>
      </c>
      <c r="L487" s="23">
        <v>9.6149732620320858</v>
      </c>
      <c r="M487" s="23">
        <v>16284.87</v>
      </c>
      <c r="N487" s="23">
        <v>21120</v>
      </c>
      <c r="O487" s="23">
        <f>Tableau1[[#This Row],[Productivité]]-Tableau1[[#This Row],[ les Charges]]</f>
        <v>4835.1299999999992</v>
      </c>
      <c r="P487" s="60"/>
      <c r="V487">
        <v>11359.22</v>
      </c>
    </row>
    <row r="488" spans="1:23" hidden="1" x14ac:dyDescent="0.25">
      <c r="A488" s="13">
        <v>44377</v>
      </c>
      <c r="B488" t="s">
        <v>83</v>
      </c>
      <c r="C488" s="65" t="s">
        <v>86</v>
      </c>
      <c r="D488" t="s">
        <v>58</v>
      </c>
      <c r="E488">
        <v>252</v>
      </c>
      <c r="F488">
        <v>487</v>
      </c>
      <c r="G488">
        <v>5</v>
      </c>
      <c r="H488">
        <v>0</v>
      </c>
      <c r="I488">
        <v>0</v>
      </c>
      <c r="J488">
        <v>0</v>
      </c>
      <c r="K488" s="23">
        <f>IF(Tableau1[[#This Row],[Quantité (H)]]=0,0,Tableau1[[#This Row],[Gasoil (L)]]/Tableau1[[#This Row],[Quantité (H)]])</f>
        <v>1.9325396825396826</v>
      </c>
      <c r="L488" s="23">
        <v>46.73704414587332</v>
      </c>
      <c r="M488" s="23">
        <v>5149.1000000000004</v>
      </c>
      <c r="N488" s="23">
        <v>16380</v>
      </c>
      <c r="O488" s="23">
        <f>Tableau1[[#This Row],[Productivité]]-Tableau1[[#This Row],[ les Charges]]</f>
        <v>11230.9</v>
      </c>
      <c r="P488" s="60"/>
      <c r="V488">
        <v>7019.02</v>
      </c>
      <c r="W488">
        <v>15535</v>
      </c>
    </row>
    <row r="489" spans="1:23" hidden="1" x14ac:dyDescent="0.25">
      <c r="A489" s="13">
        <v>44377</v>
      </c>
      <c r="B489" t="s">
        <v>80</v>
      </c>
      <c r="C489" s="65" t="s">
        <v>86</v>
      </c>
      <c r="D489" t="s">
        <v>59</v>
      </c>
      <c r="E489" s="65">
        <v>186</v>
      </c>
      <c r="F489">
        <v>543</v>
      </c>
      <c r="G489">
        <v>5</v>
      </c>
      <c r="H489">
        <v>0</v>
      </c>
      <c r="I489">
        <v>0</v>
      </c>
      <c r="J489">
        <v>0</v>
      </c>
      <c r="K489" s="23">
        <f>IF(Tableau1[[#This Row],[Quantité (H)]]=0,0,Tableau1[[#This Row],[Gasoil (L)]]/Tableau1[[#This Row],[Quantité (H)]])</f>
        <v>2.9193548387096775</v>
      </c>
      <c r="L489" s="23">
        <v>14.52</v>
      </c>
      <c r="M489" s="23">
        <v>11359.22</v>
      </c>
      <c r="O489" s="23">
        <f>Tableau1[[#This Row],[Productivité]]-Tableau1[[#This Row],[ les Charges]]</f>
        <v>-11359.22</v>
      </c>
      <c r="P489" s="60"/>
      <c r="V489">
        <v>2920</v>
      </c>
    </row>
    <row r="490" spans="1:23" hidden="1" x14ac:dyDescent="0.25">
      <c r="A490" s="13">
        <v>44377</v>
      </c>
      <c r="B490" t="s">
        <v>80</v>
      </c>
      <c r="C490" s="65" t="s">
        <v>86</v>
      </c>
      <c r="D490" t="s">
        <v>60</v>
      </c>
      <c r="E490" s="65">
        <v>174</v>
      </c>
      <c r="F490">
        <v>185</v>
      </c>
      <c r="G490">
        <v>0</v>
      </c>
      <c r="H490">
        <v>0</v>
      </c>
      <c r="I490">
        <v>0</v>
      </c>
      <c r="J490">
        <v>0</v>
      </c>
      <c r="K490" s="23">
        <f>IF(Tableau1[[#This Row],[Quantité (H)]]=0,0,Tableau1[[#This Row],[Gasoil (L)]]/Tableau1[[#This Row],[Quantité (H)]])</f>
        <v>1.0632183908045978</v>
      </c>
      <c r="L490" s="23">
        <v>9.5200000000000014</v>
      </c>
      <c r="M490" s="23">
        <v>7019.02</v>
      </c>
      <c r="N490" s="23">
        <v>15535</v>
      </c>
      <c r="O490" s="23">
        <f>Tableau1[[#This Row],[Productivité]]-Tableau1[[#This Row],[ les Charges]]</f>
        <v>8515.98</v>
      </c>
      <c r="P490" s="60"/>
      <c r="V490">
        <v>8740</v>
      </c>
    </row>
    <row r="491" spans="1:23" hidden="1" x14ac:dyDescent="0.25">
      <c r="A491" s="13">
        <v>44377</v>
      </c>
      <c r="B491" t="s">
        <v>84</v>
      </c>
      <c r="C491" s="65" t="s">
        <v>86</v>
      </c>
      <c r="D491" t="s">
        <v>61</v>
      </c>
      <c r="E491" s="65">
        <v>201</v>
      </c>
      <c r="F491">
        <v>292</v>
      </c>
      <c r="K491" s="23">
        <f>IF(Tableau1[[#This Row],[Quantité (H)]]=0,0,Tableau1[[#This Row],[Gasoil (L)]]/Tableau1[[#This Row],[Quantité (H)]])</f>
        <v>1.4527363184079602</v>
      </c>
      <c r="L491" s="23">
        <v>10.47</v>
      </c>
      <c r="M491" s="23">
        <v>2920</v>
      </c>
      <c r="O491" s="23">
        <f>Tableau1[[#This Row],[Productivité]]-Tableau1[[#This Row],[ les Charges]]</f>
        <v>-2920</v>
      </c>
      <c r="P491" s="60"/>
      <c r="V491">
        <v>5554.18</v>
      </c>
      <c r="W491">
        <v>38160</v>
      </c>
    </row>
    <row r="492" spans="1:23" hidden="1" x14ac:dyDescent="0.25">
      <c r="A492" s="13">
        <v>44377</v>
      </c>
      <c r="B492" t="s">
        <v>80</v>
      </c>
      <c r="C492" s="65" t="s">
        <v>92</v>
      </c>
      <c r="D492" t="s">
        <v>133</v>
      </c>
      <c r="E492" s="3">
        <v>12</v>
      </c>
      <c r="F492">
        <v>494</v>
      </c>
      <c r="G492">
        <v>0</v>
      </c>
      <c r="H492">
        <v>25</v>
      </c>
      <c r="I492">
        <v>80</v>
      </c>
      <c r="J492">
        <v>0</v>
      </c>
      <c r="K492" s="23">
        <f>IF(Tableau1[[#This Row],[Quantité (H)]]=0,0,Tableau1[[#This Row],[Gasoil (L)]]/Tableau1[[#This Row],[Quantité (H)]])</f>
        <v>41.166666666666664</v>
      </c>
      <c r="L492" s="23">
        <v>61.750000000000007</v>
      </c>
      <c r="M492" s="23">
        <v>8740</v>
      </c>
      <c r="O492" s="23">
        <f>Tableau1[[#This Row],[Productivité]]-Tableau1[[#This Row],[ les Charges]]</f>
        <v>-8740</v>
      </c>
      <c r="P492" s="60"/>
      <c r="V492">
        <v>5069.59</v>
      </c>
      <c r="W492">
        <v>11700</v>
      </c>
    </row>
    <row r="493" spans="1:23" hidden="1" x14ac:dyDescent="0.25">
      <c r="A493" s="13">
        <v>44377</v>
      </c>
      <c r="B493" t="s">
        <v>83</v>
      </c>
      <c r="C493" s="65" t="s">
        <v>43</v>
      </c>
      <c r="D493" t="s">
        <v>33</v>
      </c>
      <c r="E493" s="65">
        <v>212</v>
      </c>
      <c r="F493">
        <v>306</v>
      </c>
      <c r="G493">
        <v>6</v>
      </c>
      <c r="H493">
        <v>0</v>
      </c>
      <c r="I493">
        <v>15</v>
      </c>
      <c r="J493">
        <v>0</v>
      </c>
      <c r="K493" s="23">
        <f>IF(Tableau1[[#This Row],[Quantité (H)]]=0,0,Tableau1[[#This Row],[Gasoil (L)]]/Tableau1[[#This Row],[Quantité (H)]])</f>
        <v>1.4433962264150944</v>
      </c>
      <c r="L493" s="23">
        <v>0</v>
      </c>
      <c r="M493" s="23">
        <v>5554.18</v>
      </c>
      <c r="N493" s="23">
        <v>38160</v>
      </c>
      <c r="O493" s="23">
        <f>Tableau1[[#This Row],[Productivité]]-Tableau1[[#This Row],[ les Charges]]</f>
        <v>32605.82</v>
      </c>
      <c r="P493" s="60"/>
      <c r="V493">
        <v>15239.76</v>
      </c>
      <c r="W493">
        <v>33480</v>
      </c>
    </row>
    <row r="494" spans="1:23" hidden="1" x14ac:dyDescent="0.25">
      <c r="A494" s="13">
        <v>44377</v>
      </c>
      <c r="B494" t="s">
        <v>80</v>
      </c>
      <c r="C494" s="65" t="s">
        <v>43</v>
      </c>
      <c r="D494" t="s">
        <v>34</v>
      </c>
      <c r="E494" s="65">
        <v>41</v>
      </c>
      <c r="F494">
        <v>415</v>
      </c>
      <c r="G494">
        <v>11</v>
      </c>
      <c r="H494">
        <v>0</v>
      </c>
      <c r="I494">
        <v>0</v>
      </c>
      <c r="J494">
        <v>0</v>
      </c>
      <c r="K494" s="23">
        <f>IF(Tableau1[[#This Row],[Quantité (H)]]=0,0,Tableau1[[#This Row],[Gasoil (L)]]/Tableau1[[#This Row],[Quantité (H)]])</f>
        <v>10.121951219512194</v>
      </c>
      <c r="L494" s="23">
        <v>0</v>
      </c>
      <c r="M494" s="23">
        <v>5069.59</v>
      </c>
      <c r="N494" s="23">
        <v>11700</v>
      </c>
      <c r="O494" s="23">
        <f>Tableau1[[#This Row],[Productivité]]-Tableau1[[#This Row],[ les Charges]]</f>
        <v>6630.41</v>
      </c>
      <c r="P494" s="60"/>
      <c r="V494">
        <v>2160</v>
      </c>
      <c r="W494">
        <v>10725</v>
      </c>
    </row>
    <row r="495" spans="1:23" hidden="1" x14ac:dyDescent="0.25">
      <c r="A495" s="13">
        <v>44377</v>
      </c>
      <c r="B495" t="s">
        <v>116</v>
      </c>
      <c r="C495" s="65" t="s">
        <v>43</v>
      </c>
      <c r="D495" t="s">
        <v>35</v>
      </c>
      <c r="E495" s="65">
        <v>182</v>
      </c>
      <c r="F495">
        <v>725</v>
      </c>
      <c r="G495">
        <v>20</v>
      </c>
      <c r="H495">
        <v>0</v>
      </c>
      <c r="I495">
        <v>0</v>
      </c>
      <c r="J495">
        <v>8</v>
      </c>
      <c r="K495" s="23">
        <f>IF(Tableau1[[#This Row],[Quantité (H)]]=0,0,Tableau1[[#This Row],[Gasoil (L)]]/Tableau1[[#This Row],[Quantité (H)]])</f>
        <v>3.9835164835164836</v>
      </c>
      <c r="L495" s="23">
        <v>0</v>
      </c>
      <c r="M495" s="23">
        <v>15239.76</v>
      </c>
      <c r="N495" s="23">
        <v>33480</v>
      </c>
      <c r="O495" s="23">
        <f>Tableau1[[#This Row],[Productivité]]-Tableau1[[#This Row],[ les Charges]]</f>
        <v>18240.239999999998</v>
      </c>
      <c r="P495" s="60"/>
      <c r="V495">
        <v>2210.67</v>
      </c>
      <c r="W495">
        <v>8905</v>
      </c>
    </row>
    <row r="496" spans="1:23" hidden="1" x14ac:dyDescent="0.25">
      <c r="A496" s="13">
        <v>44377</v>
      </c>
      <c r="B496" t="s">
        <v>84</v>
      </c>
      <c r="C496" s="65" t="s">
        <v>87</v>
      </c>
      <c r="D496" t="s">
        <v>63</v>
      </c>
      <c r="E496" s="65">
        <v>165</v>
      </c>
      <c r="F496">
        <v>216</v>
      </c>
      <c r="K496" s="23">
        <f>IF(Tableau1[[#This Row],[Quantité (H)]]=0,0,Tableau1[[#This Row],[Gasoil (L)]]/Tableau1[[#This Row],[Quantité (H)]])</f>
        <v>1.3090909090909091</v>
      </c>
      <c r="L496" s="23">
        <v>0</v>
      </c>
      <c r="M496" s="23">
        <v>2160</v>
      </c>
      <c r="N496" s="23">
        <v>10725</v>
      </c>
      <c r="O496" s="23">
        <f>Tableau1[[#This Row],[Productivité]]-Tableau1[[#This Row],[ les Charges]]</f>
        <v>8565</v>
      </c>
      <c r="P496" s="60"/>
      <c r="V496">
        <v>540</v>
      </c>
      <c r="W496">
        <v>11600</v>
      </c>
    </row>
    <row r="497" spans="1:23" hidden="1" x14ac:dyDescent="0.25">
      <c r="A497" s="13">
        <v>44377</v>
      </c>
      <c r="B497" t="s">
        <v>80</v>
      </c>
      <c r="C497" s="65" t="s">
        <v>87</v>
      </c>
      <c r="D497" t="s">
        <v>105</v>
      </c>
      <c r="E497" s="65">
        <v>137</v>
      </c>
      <c r="F497">
        <v>210</v>
      </c>
      <c r="G497">
        <v>0</v>
      </c>
      <c r="H497">
        <v>0</v>
      </c>
      <c r="I497">
        <v>0</v>
      </c>
      <c r="J497">
        <v>0</v>
      </c>
      <c r="K497" s="23">
        <f>IF(Tableau1[[#This Row],[Quantité (H)]]=0,0,Tableau1[[#This Row],[Gasoil (L)]]/Tableau1[[#This Row],[Quantité (H)]])</f>
        <v>1.5328467153284671</v>
      </c>
      <c r="L497" s="23">
        <v>0</v>
      </c>
      <c r="M497" s="23">
        <v>2210.67</v>
      </c>
      <c r="N497" s="23">
        <v>8905</v>
      </c>
      <c r="O497" s="23">
        <f>Tableau1[[#This Row],[Productivité]]-Tableau1[[#This Row],[ les Charges]]</f>
        <v>6694.33</v>
      </c>
      <c r="P497" s="60"/>
      <c r="V497">
        <v>13406.9</v>
      </c>
      <c r="W497">
        <v>10400</v>
      </c>
    </row>
    <row r="498" spans="1:23" hidden="1" x14ac:dyDescent="0.25">
      <c r="A498" s="13">
        <v>44377</v>
      </c>
      <c r="B498" t="s">
        <v>80</v>
      </c>
      <c r="C498" s="65" t="s">
        <v>88</v>
      </c>
      <c r="D498" t="s">
        <v>64</v>
      </c>
      <c r="E498" s="65">
        <v>8</v>
      </c>
      <c r="F498">
        <v>54</v>
      </c>
      <c r="G498">
        <v>0</v>
      </c>
      <c r="H498">
        <v>0</v>
      </c>
      <c r="I498">
        <v>0</v>
      </c>
      <c r="J498">
        <v>0</v>
      </c>
      <c r="K498" s="23">
        <f>IF(Tableau1[[#This Row],[Quantité (H)]]=0,0,Tableau1[[#This Row],[Gasoil (L)]]/Tableau1[[#This Row],[Quantité (H)]])</f>
        <v>6.75</v>
      </c>
      <c r="L498" s="23">
        <v>0</v>
      </c>
      <c r="M498" s="23">
        <v>540</v>
      </c>
      <c r="N498" s="23">
        <v>11600</v>
      </c>
      <c r="O498" s="23">
        <f>Tableau1[[#This Row],[Productivité]]-Tableau1[[#This Row],[ les Charges]]</f>
        <v>11060</v>
      </c>
      <c r="P498" s="60"/>
      <c r="V498">
        <v>14659.85</v>
      </c>
      <c r="W498">
        <v>11600</v>
      </c>
    </row>
    <row r="499" spans="1:23" hidden="1" x14ac:dyDescent="0.25">
      <c r="A499" s="13">
        <v>44377</v>
      </c>
      <c r="B499" t="s">
        <v>116</v>
      </c>
      <c r="C499" s="65" t="s">
        <v>88</v>
      </c>
      <c r="D499" t="s">
        <v>65</v>
      </c>
      <c r="E499" s="65">
        <v>19</v>
      </c>
      <c r="F499">
        <v>507</v>
      </c>
      <c r="G499">
        <v>0</v>
      </c>
      <c r="H499">
        <v>0</v>
      </c>
      <c r="I499">
        <v>0</v>
      </c>
      <c r="J499">
        <v>0</v>
      </c>
      <c r="K499" s="23">
        <f>IF(Tableau1[[#This Row],[Quantité (H)]]=0,0,Tableau1[[#This Row],[Gasoil (L)]]/Tableau1[[#This Row],[Quantité (H)]])</f>
        <v>26.684210526315791</v>
      </c>
      <c r="L499" s="23">
        <v>9.034212401995724</v>
      </c>
      <c r="M499" s="23">
        <v>13406.9</v>
      </c>
      <c r="N499" s="23">
        <v>10400</v>
      </c>
      <c r="O499" s="23">
        <f>Tableau1[[#This Row],[Productivité]]-Tableau1[[#This Row],[ les Charges]]</f>
        <v>-3006.8999999999996</v>
      </c>
      <c r="P499" s="60"/>
      <c r="V499">
        <v>3881.82</v>
      </c>
      <c r="W499">
        <v>7800</v>
      </c>
    </row>
    <row r="500" spans="1:23" hidden="1" x14ac:dyDescent="0.25">
      <c r="A500" s="13">
        <v>44377</v>
      </c>
      <c r="B500" t="s">
        <v>83</v>
      </c>
      <c r="C500" s="65" t="s">
        <v>88</v>
      </c>
      <c r="D500" t="s">
        <v>66</v>
      </c>
      <c r="E500" s="65">
        <v>5</v>
      </c>
      <c r="F500">
        <v>239</v>
      </c>
      <c r="G500">
        <v>0</v>
      </c>
      <c r="H500">
        <v>0</v>
      </c>
      <c r="I500">
        <v>0</v>
      </c>
      <c r="J500">
        <v>0</v>
      </c>
      <c r="K500" s="23">
        <f>IF(Tableau1[[#This Row],[Quantité (H)]]=0,0,Tableau1[[#This Row],[Gasoil (L)]]/Tableau1[[#This Row],[Quantité (H)]])</f>
        <v>47.8</v>
      </c>
      <c r="L500" s="23">
        <v>9.549461312438785</v>
      </c>
      <c r="M500" s="23">
        <v>14659.85</v>
      </c>
      <c r="N500" s="23">
        <v>11600</v>
      </c>
      <c r="O500" s="23">
        <f>Tableau1[[#This Row],[Productivité]]-Tableau1[[#This Row],[ les Charges]]</f>
        <v>-3059.8500000000004</v>
      </c>
      <c r="P500" s="60"/>
      <c r="W500">
        <v>8700</v>
      </c>
    </row>
    <row r="501" spans="1:23" hidden="1" x14ac:dyDescent="0.25">
      <c r="A501" s="13">
        <v>44377</v>
      </c>
      <c r="B501" t="s">
        <v>83</v>
      </c>
      <c r="C501" s="65" t="s">
        <v>88</v>
      </c>
      <c r="D501" t="s">
        <v>67</v>
      </c>
      <c r="E501" s="65">
        <v>234</v>
      </c>
      <c r="F501">
        <v>98</v>
      </c>
      <c r="G501">
        <v>0</v>
      </c>
      <c r="H501">
        <v>0</v>
      </c>
      <c r="I501">
        <v>0</v>
      </c>
      <c r="J501">
        <v>0</v>
      </c>
      <c r="K501" s="23">
        <f>IF(Tableau1[[#This Row],[Quantité (H)]]=0,0,Tableau1[[#This Row],[Gasoil (L)]]/Tableau1[[#This Row],[Quantité (H)]])</f>
        <v>0.41880341880341881</v>
      </c>
      <c r="L501" s="23">
        <v>7.8337330135891285</v>
      </c>
      <c r="M501" s="23">
        <v>3881.82</v>
      </c>
      <c r="N501" s="23">
        <v>7800</v>
      </c>
      <c r="O501" s="23">
        <f>Tableau1[[#This Row],[Productivité]]-Tableau1[[#This Row],[ les Charges]]</f>
        <v>3918.18</v>
      </c>
      <c r="P501" s="60"/>
      <c r="V501">
        <v>3222.7</v>
      </c>
      <c r="W501">
        <v>7128</v>
      </c>
    </row>
    <row r="502" spans="1:23" hidden="1" x14ac:dyDescent="0.25">
      <c r="A502" s="13">
        <v>44377</v>
      </c>
      <c r="C502" s="65" t="s">
        <v>88</v>
      </c>
      <c r="D502" t="s">
        <v>68</v>
      </c>
      <c r="E502" s="65"/>
      <c r="K502" s="23">
        <f>IF(Tableau1[[#This Row],[Quantité (H)]]=0,0,Tableau1[[#This Row],[Gasoil (L)]]/Tableau1[[#This Row],[Quantité (H)]])</f>
        <v>0</v>
      </c>
      <c r="L502" s="23">
        <v>0</v>
      </c>
      <c r="N502" s="23">
        <v>8700</v>
      </c>
      <c r="O502" s="23">
        <f>Tableau1[[#This Row],[Productivité]]-Tableau1[[#This Row],[ les Charges]]</f>
        <v>8700</v>
      </c>
      <c r="P502" s="60"/>
      <c r="V502">
        <v>4229.49</v>
      </c>
      <c r="W502">
        <v>8700</v>
      </c>
    </row>
    <row r="503" spans="1:23" hidden="1" x14ac:dyDescent="0.25">
      <c r="A503" s="13">
        <v>44377</v>
      </c>
      <c r="B503" t="s">
        <v>80</v>
      </c>
      <c r="C503" s="65" t="s">
        <v>88</v>
      </c>
      <c r="D503" t="s">
        <v>69</v>
      </c>
      <c r="E503" s="65">
        <v>216</v>
      </c>
      <c r="F503">
        <v>278</v>
      </c>
      <c r="G503">
        <v>0</v>
      </c>
      <c r="H503">
        <v>0</v>
      </c>
      <c r="I503">
        <v>0</v>
      </c>
      <c r="J503">
        <v>0</v>
      </c>
      <c r="K503" s="23">
        <f>IF(Tableau1[[#This Row],[Quantité (H)]]=0,0,Tableau1[[#This Row],[Gasoil (L)]]/Tableau1[[#This Row],[Quantité (H)]])</f>
        <v>1.287037037037037</v>
      </c>
      <c r="L503" s="23">
        <v>6.6810862773371777</v>
      </c>
      <c r="M503" s="23">
        <v>3222.7</v>
      </c>
      <c r="N503" s="23">
        <v>7128</v>
      </c>
      <c r="O503" s="23">
        <f>Tableau1[[#This Row],[Productivité]]-Tableau1[[#This Row],[ les Charges]]</f>
        <v>3905.3</v>
      </c>
      <c r="P503" s="60"/>
      <c r="V503">
        <v>3930</v>
      </c>
      <c r="W503">
        <v>8700</v>
      </c>
    </row>
    <row r="504" spans="1:23" hidden="1" x14ac:dyDescent="0.25">
      <c r="A504" s="13">
        <v>44377</v>
      </c>
      <c r="B504" t="s">
        <v>84</v>
      </c>
      <c r="C504" s="65" t="s">
        <v>88</v>
      </c>
      <c r="D504" t="s">
        <v>70</v>
      </c>
      <c r="E504" s="3"/>
      <c r="F504">
        <v>347</v>
      </c>
      <c r="K504" s="23">
        <f>IF(Tableau1[[#This Row],[Quantité (H)]]=0,0,Tableau1[[#This Row],[Gasoil (L)]]/Tableau1[[#This Row],[Quantité (H)]])</f>
        <v>0</v>
      </c>
      <c r="L504" s="23">
        <v>7.3955589010161829</v>
      </c>
      <c r="M504" s="23">
        <v>4229.49</v>
      </c>
      <c r="N504" s="23">
        <v>8700</v>
      </c>
      <c r="O504" s="23">
        <f>Tableau1[[#This Row],[Productivité]]-Tableau1[[#This Row],[ les Charges]]</f>
        <v>4470.51</v>
      </c>
      <c r="P504" s="60"/>
      <c r="V504">
        <v>3552.99</v>
      </c>
      <c r="W504">
        <v>7200</v>
      </c>
    </row>
    <row r="505" spans="1:23" hidden="1" x14ac:dyDescent="0.25">
      <c r="A505" s="13">
        <v>44377</v>
      </c>
      <c r="B505" t="s">
        <v>116</v>
      </c>
      <c r="C505" s="65" t="s">
        <v>88</v>
      </c>
      <c r="D505" t="s">
        <v>71</v>
      </c>
      <c r="E505" s="3">
        <v>216</v>
      </c>
      <c r="F505">
        <v>393</v>
      </c>
      <c r="G505">
        <v>0</v>
      </c>
      <c r="H505">
        <v>0</v>
      </c>
      <c r="I505">
        <v>0</v>
      </c>
      <c r="J505">
        <v>0</v>
      </c>
      <c r="K505" s="23">
        <f>IF(Tableau1[[#This Row],[Quantité (H)]]=0,0,Tableau1[[#This Row],[Gasoil (L)]]/Tableau1[[#This Row],[Quantité (H)]])</f>
        <v>1.8194444444444444</v>
      </c>
      <c r="L505" s="23">
        <v>7.3955589010161829</v>
      </c>
      <c r="M505" s="23">
        <v>3930</v>
      </c>
      <c r="N505" s="23">
        <v>8700</v>
      </c>
      <c r="O505" s="23">
        <f>Tableau1[[#This Row],[Productivité]]-Tableau1[[#This Row],[ les Charges]]</f>
        <v>4770</v>
      </c>
      <c r="P505" s="60"/>
      <c r="V505">
        <v>3834.86</v>
      </c>
      <c r="W505">
        <v>5898.6</v>
      </c>
    </row>
    <row r="506" spans="1:23" hidden="1" x14ac:dyDescent="0.25">
      <c r="A506" s="13">
        <v>44377</v>
      </c>
      <c r="B506" t="s">
        <v>84</v>
      </c>
      <c r="C506" s="65" t="s">
        <v>88</v>
      </c>
      <c r="D506" t="s">
        <v>72</v>
      </c>
      <c r="E506" s="3">
        <v>27</v>
      </c>
      <c r="F506">
        <v>282</v>
      </c>
      <c r="K506" s="23">
        <f>IF(Tableau1[[#This Row],[Quantité (H)]]=0,0,Tableau1[[#This Row],[Gasoil (L)]]/Tableau1[[#This Row],[Quantité (H)]])</f>
        <v>10.444444444444445</v>
      </c>
      <c r="L506" s="23">
        <v>7.3189722294316111</v>
      </c>
      <c r="M506" s="23">
        <v>3552.99</v>
      </c>
      <c r="N506" s="23">
        <v>7200</v>
      </c>
      <c r="O506" s="23">
        <f>Tableau1[[#This Row],[Productivité]]-Tableau1[[#This Row],[ les Charges]]</f>
        <v>3647.01</v>
      </c>
      <c r="P506" s="60"/>
      <c r="V506">
        <v>1910</v>
      </c>
      <c r="W506">
        <v>7800</v>
      </c>
    </row>
    <row r="507" spans="1:23" hidden="1" x14ac:dyDescent="0.25">
      <c r="A507" s="13">
        <v>44377</v>
      </c>
      <c r="B507" t="s">
        <v>84</v>
      </c>
      <c r="C507" s="65" t="s">
        <v>88</v>
      </c>
      <c r="D507" t="s">
        <v>73</v>
      </c>
      <c r="E507" s="65">
        <v>49</v>
      </c>
      <c r="F507">
        <v>128</v>
      </c>
      <c r="K507" s="23">
        <f>IF(Tableau1[[#This Row],[Quantité (H)]]=0,0,Tableau1[[#This Row],[Gasoil (L)]]/Tableau1[[#This Row],[Quantité (H)]])</f>
        <v>2.6122448979591835</v>
      </c>
      <c r="L507" s="23">
        <v>0</v>
      </c>
      <c r="M507" s="23">
        <v>3834.86</v>
      </c>
      <c r="N507" s="23">
        <v>5898.6</v>
      </c>
      <c r="O507" s="23">
        <f>Tableau1[[#This Row],[Productivité]]-Tableau1[[#This Row],[ les Charges]]</f>
        <v>2063.7400000000002</v>
      </c>
      <c r="P507" s="60"/>
      <c r="V507">
        <v>2716.48</v>
      </c>
      <c r="W507">
        <v>7397.1</v>
      </c>
    </row>
    <row r="508" spans="1:23" hidden="1" x14ac:dyDescent="0.25">
      <c r="A508" s="13">
        <v>44377</v>
      </c>
      <c r="B508" t="s">
        <v>83</v>
      </c>
      <c r="C508" s="65" t="s">
        <v>88</v>
      </c>
      <c r="D508" t="s">
        <v>74</v>
      </c>
      <c r="E508">
        <v>243</v>
      </c>
      <c r="F508">
        <v>191</v>
      </c>
      <c r="G508">
        <v>0</v>
      </c>
      <c r="H508">
        <v>0</v>
      </c>
      <c r="I508">
        <v>0</v>
      </c>
      <c r="J508">
        <v>0</v>
      </c>
      <c r="K508" s="23">
        <f>IF(Tableau1[[#This Row],[Quantité (H)]]=0,0,Tableau1[[#This Row],[Gasoil (L)]]/Tableau1[[#This Row],[Quantité (H)]])</f>
        <v>0.78600823045267487</v>
      </c>
      <c r="L508" s="23">
        <v>10.176390773405698</v>
      </c>
      <c r="M508" s="23">
        <v>1910</v>
      </c>
      <c r="N508" s="23">
        <v>7800</v>
      </c>
      <c r="O508" s="23">
        <f>Tableau1[[#This Row],[Productivité]]-Tableau1[[#This Row],[ les Charges]]</f>
        <v>5890</v>
      </c>
      <c r="P508" s="60"/>
      <c r="V508">
        <v>2627.16</v>
      </c>
      <c r="W508">
        <v>8700</v>
      </c>
    </row>
    <row r="509" spans="1:23" hidden="1" x14ac:dyDescent="0.25">
      <c r="A509" s="13">
        <v>44377</v>
      </c>
      <c r="B509" t="s">
        <v>84</v>
      </c>
      <c r="C509" s="65" t="s">
        <v>88</v>
      </c>
      <c r="D509" t="s">
        <v>75</v>
      </c>
      <c r="E509" s="65">
        <v>205</v>
      </c>
      <c r="F509">
        <v>220</v>
      </c>
      <c r="K509" s="23">
        <f>IF(Tableau1[[#This Row],[Quantité (H)]]=0,0,Tableau1[[#This Row],[Gasoil (L)]]/Tableau1[[#This Row],[Quantité (H)]])</f>
        <v>1.0731707317073171</v>
      </c>
      <c r="L509" s="23">
        <v>8.02</v>
      </c>
      <c r="M509" s="23">
        <v>2716.48</v>
      </c>
      <c r="N509" s="23">
        <v>7397.1</v>
      </c>
      <c r="O509" s="23">
        <f>Tableau1[[#This Row],[Productivité]]-Tableau1[[#This Row],[ les Charges]]</f>
        <v>4680.6200000000008</v>
      </c>
      <c r="P509" s="60"/>
      <c r="V509">
        <v>3927.82</v>
      </c>
      <c r="W509">
        <v>3249.3</v>
      </c>
    </row>
    <row r="510" spans="1:23" hidden="1" x14ac:dyDescent="0.25">
      <c r="A510" s="13">
        <v>44377</v>
      </c>
      <c r="B510" t="s">
        <v>80</v>
      </c>
      <c r="C510" s="65" t="s">
        <v>88</v>
      </c>
      <c r="D510" t="s">
        <v>76</v>
      </c>
      <c r="E510" s="65">
        <v>200</v>
      </c>
      <c r="F510">
        <v>154</v>
      </c>
      <c r="G510">
        <v>0</v>
      </c>
      <c r="H510">
        <v>0</v>
      </c>
      <c r="I510">
        <v>0</v>
      </c>
      <c r="J510">
        <v>0</v>
      </c>
      <c r="K510" s="23">
        <f>IF(Tableau1[[#This Row],[Quantité (H)]]=0,0,Tableau1[[#This Row],[Gasoil (L)]]/Tableau1[[#This Row],[Quantité (H)]])</f>
        <v>0.77</v>
      </c>
      <c r="L510" s="23">
        <v>5.5959302325581399</v>
      </c>
      <c r="M510" s="23">
        <v>2627.16</v>
      </c>
      <c r="N510" s="23">
        <v>8700</v>
      </c>
      <c r="O510" s="23">
        <f>Tableau1[[#This Row],[Productivité]]-Tableau1[[#This Row],[ les Charges]]</f>
        <v>6072.84</v>
      </c>
      <c r="P510" s="60"/>
      <c r="V510">
        <v>6221.82</v>
      </c>
      <c r="W510">
        <v>9600</v>
      </c>
    </row>
    <row r="511" spans="1:23" hidden="1" x14ac:dyDescent="0.25">
      <c r="A511" s="13">
        <v>44377</v>
      </c>
      <c r="B511" t="s">
        <v>84</v>
      </c>
      <c r="C511" s="65" t="s">
        <v>88</v>
      </c>
      <c r="D511" t="s">
        <v>77</v>
      </c>
      <c r="E511" s="65">
        <v>106</v>
      </c>
      <c r="F511">
        <v>108</v>
      </c>
      <c r="K511" s="23">
        <f>IF(Tableau1[[#This Row],[Quantité (H)]]=0,0,Tableau1[[#This Row],[Gasoil (L)]]/Tableau1[[#This Row],[Quantité (H)]])</f>
        <v>1.0188679245283019</v>
      </c>
      <c r="L511" s="23">
        <v>5.4408060453400502</v>
      </c>
      <c r="M511" s="23">
        <v>3927.82</v>
      </c>
      <c r="N511" s="23">
        <v>3249.3</v>
      </c>
      <c r="O511" s="23">
        <f>Tableau1[[#This Row],[Productivité]]-Tableau1[[#This Row],[ les Charges]]</f>
        <v>-678.52</v>
      </c>
      <c r="P511" s="60"/>
      <c r="V511">
        <v>47900</v>
      </c>
      <c r="W511">
        <v>8700</v>
      </c>
    </row>
    <row r="512" spans="1:23" hidden="1" x14ac:dyDescent="0.25">
      <c r="A512" s="13">
        <v>44377</v>
      </c>
      <c r="B512" t="s">
        <v>116</v>
      </c>
      <c r="C512" s="65" t="s">
        <v>88</v>
      </c>
      <c r="D512" t="s">
        <v>78</v>
      </c>
      <c r="E512">
        <v>252</v>
      </c>
      <c r="F512">
        <v>287</v>
      </c>
      <c r="G512">
        <v>0</v>
      </c>
      <c r="H512">
        <v>0</v>
      </c>
      <c r="I512">
        <v>0</v>
      </c>
      <c r="J512">
        <v>0</v>
      </c>
      <c r="K512" s="23">
        <f>IF(Tableau1[[#This Row],[Quantité (H)]]=0,0,Tableau1[[#This Row],[Gasoil (L)]]/Tableau1[[#This Row],[Quantité (H)]])</f>
        <v>1.1388888888888888</v>
      </c>
      <c r="L512" s="23">
        <v>6.9948817938094097</v>
      </c>
      <c r="M512" s="23">
        <v>6221.82</v>
      </c>
      <c r="N512" s="23">
        <v>9600</v>
      </c>
      <c r="O512" s="23">
        <f>Tableau1[[#This Row],[Productivité]]-Tableau1[[#This Row],[ les Charges]]</f>
        <v>3378.1800000000003</v>
      </c>
    </row>
    <row r="513" spans="1:15" hidden="1" x14ac:dyDescent="0.25">
      <c r="A513" s="13">
        <v>44377</v>
      </c>
      <c r="B513" t="s">
        <v>84</v>
      </c>
      <c r="C513" s="65" t="s">
        <v>88</v>
      </c>
      <c r="D513" t="s">
        <v>132</v>
      </c>
      <c r="E513" s="65"/>
      <c r="F513">
        <v>22</v>
      </c>
      <c r="K513" s="23">
        <f>IF(Tableau1[[#This Row],[Quantité (H)]]=0,0,Tableau1[[#This Row],[Gasoil (L)]]/Tableau1[[#This Row],[Quantité (H)]])</f>
        <v>0</v>
      </c>
      <c r="M513" s="23">
        <v>47900</v>
      </c>
      <c r="N513" s="23">
        <v>8700</v>
      </c>
      <c r="O513" s="23">
        <f>Tableau1[[#This Row],[Productivité]]-Tableau1[[#This Row],[ les Charges]]</f>
        <v>-39200</v>
      </c>
    </row>
    <row r="514" spans="1:15" hidden="1" x14ac:dyDescent="0.25">
      <c r="A514" s="13">
        <v>44408</v>
      </c>
      <c r="B514" t="s">
        <v>80</v>
      </c>
      <c r="C514" s="65" t="s">
        <v>92</v>
      </c>
      <c r="D514" t="s">
        <v>31</v>
      </c>
      <c r="E514" s="65">
        <v>0</v>
      </c>
      <c r="F514">
        <v>20</v>
      </c>
      <c r="G514">
        <v>0</v>
      </c>
      <c r="H514">
        <v>0</v>
      </c>
      <c r="I514">
        <v>0</v>
      </c>
      <c r="J514">
        <v>0</v>
      </c>
      <c r="K514" s="23">
        <f>IF(Tableau1[[#This Row],[Quantité (H)]]=0,0,Tableau1[[#This Row],[Gasoil (L)]]/Tableau1[[#This Row],[Quantité (H)]])</f>
        <v>0</v>
      </c>
      <c r="L514" s="23">
        <v>0</v>
      </c>
      <c r="M514" s="23">
        <v>200</v>
      </c>
      <c r="O514" s="23">
        <f>Tableau1[[#This Row],[Productivité]]-Tableau1[[#This Row],[ les Charges]]</f>
        <v>-200</v>
      </c>
    </row>
    <row r="515" spans="1:15" hidden="1" x14ac:dyDescent="0.25">
      <c r="A515" s="13">
        <v>44408</v>
      </c>
      <c r="B515" t="s">
        <v>80</v>
      </c>
      <c r="C515" s="65" t="s">
        <v>92</v>
      </c>
      <c r="D515" t="s">
        <v>32</v>
      </c>
      <c r="E515">
        <v>0</v>
      </c>
      <c r="F515">
        <v>40</v>
      </c>
      <c r="G515">
        <v>0</v>
      </c>
      <c r="H515">
        <v>0</v>
      </c>
      <c r="I515">
        <v>0</v>
      </c>
      <c r="J515">
        <v>0</v>
      </c>
      <c r="K515" s="23">
        <f>IF(Tableau1[[#This Row],[Quantité (H)]]=0,0,Tableau1[[#This Row],[Gasoil (L)]]/Tableau1[[#This Row],[Quantité (H)]])</f>
        <v>0</v>
      </c>
      <c r="L515" s="23">
        <v>0</v>
      </c>
      <c r="O515" s="23">
        <f>Tableau1[[#This Row],[Productivité]]-Tableau1[[#This Row],[ les Charges]]</f>
        <v>0</v>
      </c>
    </row>
    <row r="516" spans="1:15" hidden="1" x14ac:dyDescent="0.25">
      <c r="A516" s="13">
        <v>44408</v>
      </c>
      <c r="B516" t="s">
        <v>80</v>
      </c>
      <c r="C516" s="65" t="s">
        <v>92</v>
      </c>
      <c r="D516" t="s">
        <v>154</v>
      </c>
      <c r="E516" s="65">
        <v>0</v>
      </c>
      <c r="F516">
        <v>20</v>
      </c>
      <c r="G516">
        <v>0</v>
      </c>
      <c r="H516">
        <v>0</v>
      </c>
      <c r="I516">
        <v>0</v>
      </c>
      <c r="J516">
        <v>0</v>
      </c>
      <c r="K516" s="23">
        <f>IF(Tableau1[[#This Row],[Quantité (H)]]=0,0,Tableau1[[#This Row],[Gasoil (L)]]/Tableau1[[#This Row],[Quantité (H)]])</f>
        <v>0</v>
      </c>
      <c r="L516" s="23">
        <v>0</v>
      </c>
      <c r="O516" s="23">
        <f>Tableau1[[#This Row],[Productivité]]-Tableau1[[#This Row],[ les Charges]]</f>
        <v>0</v>
      </c>
    </row>
    <row r="517" spans="1:15" hidden="1" x14ac:dyDescent="0.25">
      <c r="A517" s="13">
        <v>44408</v>
      </c>
      <c r="B517" t="s">
        <v>80</v>
      </c>
      <c r="C517" s="65" t="s">
        <v>40</v>
      </c>
      <c r="D517" t="s">
        <v>16</v>
      </c>
      <c r="E517" s="65">
        <v>19</v>
      </c>
      <c r="F517">
        <v>295</v>
      </c>
      <c r="G517">
        <v>10</v>
      </c>
      <c r="H517">
        <v>0</v>
      </c>
      <c r="I517">
        <v>0</v>
      </c>
      <c r="J517">
        <v>0</v>
      </c>
      <c r="K517" s="23">
        <f>IF(Tableau1[[#This Row],[Quantité (H)]]=0,0,Tableau1[[#This Row],[Gasoil (L)]]/Tableau1[[#This Row],[Quantité (H)]])</f>
        <v>15.526315789473685</v>
      </c>
      <c r="L517" s="23">
        <v>11.346153846153847</v>
      </c>
      <c r="M517" s="23">
        <v>5766.66</v>
      </c>
      <c r="N517" s="23">
        <v>3800</v>
      </c>
      <c r="O517" s="23">
        <f>Tableau1[[#This Row],[Productivité]]-Tableau1[[#This Row],[ les Charges]]</f>
        <v>-1966.6599999999999</v>
      </c>
    </row>
    <row r="518" spans="1:15" hidden="1" x14ac:dyDescent="0.25">
      <c r="A518" s="13">
        <v>44408</v>
      </c>
      <c r="B518" t="s">
        <v>83</v>
      </c>
      <c r="C518" s="65" t="s">
        <v>40</v>
      </c>
      <c r="D518" t="s">
        <v>17</v>
      </c>
      <c r="E518" s="65">
        <v>81</v>
      </c>
      <c r="F518">
        <v>535</v>
      </c>
      <c r="G518">
        <v>16</v>
      </c>
      <c r="H518">
        <v>0</v>
      </c>
      <c r="I518">
        <v>0</v>
      </c>
      <c r="J518">
        <v>0</v>
      </c>
      <c r="K518" s="23">
        <f>IF(Tableau1[[#This Row],[Quantité (H)]]=0,0,Tableau1[[#This Row],[Gasoil (L)]]/Tableau1[[#This Row],[Quantité (H)]])</f>
        <v>6.6049382716049383</v>
      </c>
      <c r="L518" s="23">
        <v>0</v>
      </c>
      <c r="M518" s="23">
        <v>5990</v>
      </c>
      <c r="N518" s="23">
        <v>16200</v>
      </c>
      <c r="O518" s="23">
        <f>Tableau1[[#This Row],[Productivité]]-Tableau1[[#This Row],[ les Charges]]</f>
        <v>10210</v>
      </c>
    </row>
    <row r="519" spans="1:15" hidden="1" x14ac:dyDescent="0.25">
      <c r="A519" s="13">
        <v>44408</v>
      </c>
      <c r="B519" t="s">
        <v>80</v>
      </c>
      <c r="C519" t="s">
        <v>40</v>
      </c>
      <c r="D519" t="s">
        <v>18</v>
      </c>
      <c r="E519" s="65">
        <v>13</v>
      </c>
      <c r="F519">
        <v>55</v>
      </c>
      <c r="G519">
        <v>5</v>
      </c>
      <c r="H519">
        <v>0</v>
      </c>
      <c r="I519">
        <v>0</v>
      </c>
      <c r="J519">
        <v>0</v>
      </c>
      <c r="K519" s="23">
        <f>IF(Tableau1[[#This Row],[Quantité (H)]]=0,0,Tableau1[[#This Row],[Gasoil (L)]]/Tableau1[[#This Row],[Quantité (H)]])</f>
        <v>4.2307692307692308</v>
      </c>
      <c r="L519" s="23">
        <v>0</v>
      </c>
      <c r="M519" s="23">
        <v>750</v>
      </c>
      <c r="N519" s="23">
        <v>3900</v>
      </c>
      <c r="O519" s="23">
        <f>Tableau1[[#This Row],[Productivité]]-Tableau1[[#This Row],[ les Charges]]</f>
        <v>3150</v>
      </c>
    </row>
    <row r="520" spans="1:15" hidden="1" x14ac:dyDescent="0.25">
      <c r="A520" s="13">
        <v>44408</v>
      </c>
      <c r="B520" t="s">
        <v>116</v>
      </c>
      <c r="C520" s="65" t="s">
        <v>40</v>
      </c>
      <c r="D520" t="s">
        <v>19</v>
      </c>
      <c r="E520" s="65">
        <v>88</v>
      </c>
      <c r="F520">
        <v>942</v>
      </c>
      <c r="G520">
        <v>20</v>
      </c>
      <c r="H520" t="s">
        <v>155</v>
      </c>
      <c r="I520" t="s">
        <v>155</v>
      </c>
      <c r="J520">
        <v>3</v>
      </c>
      <c r="K520" s="23">
        <f>IF(Tableau1[[#This Row],[Quantité (H)]]=0,0,Tableau1[[#This Row],[Gasoil (L)]]/Tableau1[[#This Row],[Quantité (H)]])</f>
        <v>10.704545454545455</v>
      </c>
      <c r="L520" s="23">
        <v>14.905063291139239</v>
      </c>
      <c r="M520" s="23">
        <v>9420</v>
      </c>
      <c r="N520" s="23">
        <v>17600</v>
      </c>
      <c r="O520" s="23">
        <f>Tableau1[[#This Row],[Productivité]]-Tableau1[[#This Row],[ les Charges]]</f>
        <v>8180</v>
      </c>
    </row>
    <row r="521" spans="1:15" hidden="1" x14ac:dyDescent="0.25">
      <c r="A521" s="13">
        <v>44408</v>
      </c>
      <c r="B521" t="s">
        <v>83</v>
      </c>
      <c r="C521" s="65" t="s">
        <v>40</v>
      </c>
      <c r="D521" t="s">
        <v>156</v>
      </c>
      <c r="E521" s="3">
        <v>45</v>
      </c>
      <c r="F521">
        <v>270</v>
      </c>
      <c r="G521">
        <v>0</v>
      </c>
      <c r="H521">
        <v>0</v>
      </c>
      <c r="I521">
        <v>0</v>
      </c>
      <c r="J521">
        <v>0</v>
      </c>
      <c r="K521" s="23">
        <f>IF(Tableau1[[#This Row],[Quantité (H)]]=0,0,Tableau1[[#This Row],[Gasoil (L)]]/Tableau1[[#This Row],[Quantité (H)]])</f>
        <v>6</v>
      </c>
      <c r="L521" s="23">
        <v>0</v>
      </c>
      <c r="M521" s="23">
        <v>2700</v>
      </c>
      <c r="N521" s="23">
        <v>9000</v>
      </c>
      <c r="O521" s="23">
        <f>Tableau1[[#This Row],[Productivité]]-Tableau1[[#This Row],[ les Charges]]</f>
        <v>6300</v>
      </c>
    </row>
    <row r="522" spans="1:15" hidden="1" x14ac:dyDescent="0.25">
      <c r="A522" s="13">
        <v>44408</v>
      </c>
      <c r="B522" t="s">
        <v>116</v>
      </c>
      <c r="C522" s="65" t="s">
        <v>85</v>
      </c>
      <c r="D522" t="s">
        <v>44</v>
      </c>
      <c r="E522" s="3">
        <v>136.5</v>
      </c>
      <c r="F522">
        <v>1087</v>
      </c>
      <c r="G522" t="s">
        <v>157</v>
      </c>
      <c r="H522" t="s">
        <v>155</v>
      </c>
      <c r="I522" t="s">
        <v>155</v>
      </c>
      <c r="J522" t="s">
        <v>157</v>
      </c>
      <c r="K522" s="23">
        <f>IF(Tableau1[[#This Row],[Quantité (H)]]=0,0,Tableau1[[#This Row],[Gasoil (L)]]/Tableau1[[#This Row],[Quantité (H)]])</f>
        <v>7.9633699633699635</v>
      </c>
      <c r="L522" s="23">
        <v>18.361486486486498</v>
      </c>
      <c r="M522" s="23">
        <v>13620</v>
      </c>
      <c r="N522" s="23">
        <v>26880</v>
      </c>
      <c r="O522" s="23">
        <f>Tableau1[[#This Row],[Productivité]]-Tableau1[[#This Row],[ les Charges]]</f>
        <v>13260</v>
      </c>
    </row>
    <row r="523" spans="1:15" hidden="1" x14ac:dyDescent="0.25">
      <c r="A523" s="13">
        <v>44408</v>
      </c>
      <c r="B523" t="s">
        <v>84</v>
      </c>
      <c r="C523" s="65" t="s">
        <v>85</v>
      </c>
      <c r="D523" t="s">
        <v>45</v>
      </c>
      <c r="E523" s="3">
        <v>139</v>
      </c>
      <c r="F523">
        <v>782</v>
      </c>
      <c r="G523" t="s">
        <v>157</v>
      </c>
      <c r="H523" t="s">
        <v>155</v>
      </c>
      <c r="I523" t="s">
        <v>155</v>
      </c>
      <c r="J523" t="s">
        <v>157</v>
      </c>
      <c r="K523" s="23">
        <f>IF(Tableau1[[#This Row],[Quantité (H)]]=0,0,Tableau1[[#This Row],[Gasoil (L)]]/Tableau1[[#This Row],[Quantité (H)]])</f>
        <v>5.6258992805755392</v>
      </c>
      <c r="L523" s="23">
        <v>10.155844155844155</v>
      </c>
      <c r="M523" s="23">
        <v>37592.76</v>
      </c>
      <c r="N523" s="23">
        <v>38920</v>
      </c>
      <c r="O523" s="23">
        <f>Tableau1[[#This Row],[Productivité]]-Tableau1[[#This Row],[ les Charges]]</f>
        <v>1327.239999999998</v>
      </c>
    </row>
    <row r="524" spans="1:15" hidden="1" x14ac:dyDescent="0.25">
      <c r="A524" s="13">
        <v>44408</v>
      </c>
      <c r="B524" t="s">
        <v>83</v>
      </c>
      <c r="C524" s="65" t="s">
        <v>85</v>
      </c>
      <c r="D524" t="s">
        <v>46</v>
      </c>
      <c r="E524" s="65">
        <v>162.5</v>
      </c>
      <c r="F524">
        <v>1340</v>
      </c>
      <c r="G524">
        <v>0</v>
      </c>
      <c r="H524">
        <v>0</v>
      </c>
      <c r="I524">
        <v>0</v>
      </c>
      <c r="J524">
        <v>5</v>
      </c>
      <c r="K524" s="23">
        <f>IF(Tableau1[[#This Row],[Quantité (H)]]=0,0,Tableau1[[#This Row],[Gasoil (L)]]/Tableau1[[#This Row],[Quantité (H)]])</f>
        <v>8.2461538461538453</v>
      </c>
      <c r="L524" s="23">
        <v>51.164566628484202</v>
      </c>
      <c r="M524" s="23">
        <v>13575</v>
      </c>
      <c r="N524" s="23">
        <v>45500</v>
      </c>
      <c r="O524" s="23">
        <f>Tableau1[[#This Row],[Productivité]]-Tableau1[[#This Row],[ les Charges]]</f>
        <v>31925</v>
      </c>
    </row>
    <row r="525" spans="1:15" hidden="1" x14ac:dyDescent="0.25">
      <c r="A525" s="13">
        <v>44408</v>
      </c>
      <c r="B525" t="s">
        <v>158</v>
      </c>
      <c r="C525" s="65" t="s">
        <v>85</v>
      </c>
      <c r="D525" t="s">
        <v>47</v>
      </c>
      <c r="E525">
        <v>127.5</v>
      </c>
      <c r="F525">
        <v>1392</v>
      </c>
      <c r="G525">
        <v>0</v>
      </c>
      <c r="H525">
        <v>0</v>
      </c>
      <c r="I525">
        <v>0</v>
      </c>
      <c r="J525">
        <v>0</v>
      </c>
      <c r="K525" s="23">
        <f>IF(Tableau1[[#This Row],[Quantité (H)]]=0,0,Tableau1[[#This Row],[Gasoil (L)]]/Tableau1[[#This Row],[Quantité (H)]])</f>
        <v>10.91764705882353</v>
      </c>
      <c r="L525" s="23">
        <v>15.1205735389963</v>
      </c>
      <c r="M525" s="23">
        <v>13920</v>
      </c>
      <c r="N525" s="23">
        <v>24360</v>
      </c>
      <c r="O525" s="23">
        <f>Tableau1[[#This Row],[Productivité]]-Tableau1[[#This Row],[ les Charges]]</f>
        <v>10440</v>
      </c>
    </row>
    <row r="526" spans="1:15" hidden="1" x14ac:dyDescent="0.25">
      <c r="A526" s="13">
        <v>44408</v>
      </c>
      <c r="B526" t="s">
        <v>116</v>
      </c>
      <c r="C526" s="65" t="s">
        <v>85</v>
      </c>
      <c r="D526" t="s">
        <v>48</v>
      </c>
      <c r="E526" s="65">
        <v>172</v>
      </c>
      <c r="F526">
        <v>637</v>
      </c>
      <c r="G526" t="s">
        <v>157</v>
      </c>
      <c r="H526" t="s">
        <v>155</v>
      </c>
      <c r="I526" t="s">
        <v>155</v>
      </c>
      <c r="J526" t="s">
        <v>157</v>
      </c>
      <c r="K526" s="23">
        <f>IF(Tableau1[[#This Row],[Quantité (H)]]=0,0,Tableau1[[#This Row],[Gasoil (L)]]/Tableau1[[#This Row],[Quantité (H)]])</f>
        <v>3.7034883720930232</v>
      </c>
      <c r="L526" s="23">
        <v>31.707317073170699</v>
      </c>
      <c r="M526" s="23">
        <v>7758.3</v>
      </c>
      <c r="N526" s="23">
        <v>25800</v>
      </c>
      <c r="O526" s="23">
        <f>Tableau1[[#This Row],[Productivité]]-Tableau1[[#This Row],[ les Charges]]</f>
        <v>18041.7</v>
      </c>
    </row>
    <row r="527" spans="1:15" hidden="1" x14ac:dyDescent="0.25">
      <c r="A527" s="13">
        <v>44408</v>
      </c>
      <c r="B527" t="s">
        <v>83</v>
      </c>
      <c r="C527" s="65" t="s">
        <v>85</v>
      </c>
      <c r="D527" t="s">
        <v>49</v>
      </c>
      <c r="E527" s="65">
        <v>53</v>
      </c>
      <c r="F527">
        <v>588</v>
      </c>
      <c r="G527">
        <v>0</v>
      </c>
      <c r="H527">
        <v>0</v>
      </c>
      <c r="I527">
        <v>0</v>
      </c>
      <c r="J527">
        <v>0</v>
      </c>
      <c r="K527" s="23">
        <f>IF(Tableau1[[#This Row],[Quantité (H)]]=0,0,Tableau1[[#This Row],[Gasoil (L)]]/Tableau1[[#This Row],[Quantité (H)]])</f>
        <v>11.09433962264151</v>
      </c>
      <c r="L527" s="23">
        <v>84.482758620689594</v>
      </c>
      <c r="M527" s="23">
        <v>24648.92</v>
      </c>
      <c r="N527" s="23">
        <v>11400</v>
      </c>
      <c r="O527" s="23">
        <f>Tableau1[[#This Row],[Productivité]]-Tableau1[[#This Row],[ les Charges]]</f>
        <v>-13248.919999999998</v>
      </c>
    </row>
    <row r="528" spans="1:15" hidden="1" x14ac:dyDescent="0.25">
      <c r="A528" s="13">
        <v>44408</v>
      </c>
      <c r="B528" t="s">
        <v>83</v>
      </c>
      <c r="C528" s="65" t="s">
        <v>85</v>
      </c>
      <c r="D528" t="s">
        <v>50</v>
      </c>
      <c r="E528" s="65">
        <v>141</v>
      </c>
      <c r="F528">
        <v>451</v>
      </c>
      <c r="G528">
        <v>0</v>
      </c>
      <c r="H528">
        <v>0</v>
      </c>
      <c r="I528">
        <v>0</v>
      </c>
      <c r="J528">
        <v>0</v>
      </c>
      <c r="K528" s="23">
        <f>IF(Tableau1[[#This Row],[Quantité (H)]]=0,0,Tableau1[[#This Row],[Gasoil (L)]]/Tableau1[[#This Row],[Quantité (H)]])</f>
        <v>3.1985815602836878</v>
      </c>
      <c r="L528" s="23">
        <v>25.88</v>
      </c>
      <c r="M528" s="23">
        <v>4510</v>
      </c>
      <c r="N528" s="23">
        <v>21150</v>
      </c>
      <c r="O528" s="23">
        <f>Tableau1[[#This Row],[Productivité]]-Tableau1[[#This Row],[ les Charges]]</f>
        <v>16640</v>
      </c>
    </row>
    <row r="529" spans="1:15" hidden="1" x14ac:dyDescent="0.25">
      <c r="A529" s="13">
        <v>44408</v>
      </c>
      <c r="B529" t="s">
        <v>83</v>
      </c>
      <c r="C529" s="65" t="s">
        <v>85</v>
      </c>
      <c r="D529" t="s">
        <v>54</v>
      </c>
      <c r="E529" s="65">
        <v>85</v>
      </c>
      <c r="F529">
        <v>467</v>
      </c>
      <c r="G529">
        <v>0</v>
      </c>
      <c r="H529">
        <v>0</v>
      </c>
      <c r="I529">
        <v>0</v>
      </c>
      <c r="J529">
        <v>0</v>
      </c>
      <c r="K529" s="23">
        <f>IF(Tableau1[[#This Row],[Quantité (H)]]=0,0,Tableau1[[#This Row],[Gasoil (L)]]/Tableau1[[#This Row],[Quantité (H)]])</f>
        <v>5.4941176470588236</v>
      </c>
      <c r="L529" s="23">
        <v>0</v>
      </c>
      <c r="M529" s="23">
        <v>4670</v>
      </c>
      <c r="N529" s="23">
        <v>26320</v>
      </c>
      <c r="O529" s="23">
        <f>Tableau1[[#This Row],[Productivité]]-Tableau1[[#This Row],[ les Charges]]</f>
        <v>21650</v>
      </c>
    </row>
    <row r="530" spans="1:15" hidden="1" x14ac:dyDescent="0.25">
      <c r="A530" s="13">
        <v>44408</v>
      </c>
      <c r="B530" t="s">
        <v>159</v>
      </c>
      <c r="C530" s="65" t="s">
        <v>85</v>
      </c>
      <c r="D530" t="s">
        <v>56</v>
      </c>
      <c r="E530" s="65">
        <v>45</v>
      </c>
      <c r="F530">
        <v>835</v>
      </c>
      <c r="G530">
        <v>0</v>
      </c>
      <c r="H530">
        <v>0</v>
      </c>
      <c r="I530">
        <v>0</v>
      </c>
      <c r="J530">
        <v>0</v>
      </c>
      <c r="K530" s="23">
        <f>IF(Tableau1[[#This Row],[Quantité (H)]]=0,0,Tableau1[[#This Row],[Gasoil (L)]]/Tableau1[[#This Row],[Quantité (H)]])</f>
        <v>18.555555555555557</v>
      </c>
      <c r="L530" s="23">
        <v>0</v>
      </c>
      <c r="M530" s="23">
        <v>10836.8</v>
      </c>
      <c r="N530" s="23">
        <v>16200</v>
      </c>
      <c r="O530" s="23">
        <f>Tableau1[[#This Row],[Productivité]]-Tableau1[[#This Row],[ les Charges]]</f>
        <v>5363.2000000000007</v>
      </c>
    </row>
    <row r="531" spans="1:15" hidden="1" x14ac:dyDescent="0.25">
      <c r="A531" s="13">
        <v>44408</v>
      </c>
      <c r="B531" t="s">
        <v>83</v>
      </c>
      <c r="C531" s="65" t="s">
        <v>85</v>
      </c>
      <c r="D531" t="s">
        <v>57</v>
      </c>
      <c r="E531" s="65">
        <v>89</v>
      </c>
      <c r="F531">
        <v>3728</v>
      </c>
      <c r="G531">
        <v>0</v>
      </c>
      <c r="H531">
        <v>0</v>
      </c>
      <c r="I531">
        <v>0</v>
      </c>
      <c r="J531">
        <v>0</v>
      </c>
      <c r="K531" s="23">
        <f>IF(Tableau1[[#This Row],[Quantité (H)]]=0,0,Tableau1[[#This Row],[Gasoil (L)]]/Tableau1[[#This Row],[Quantité (H)]])</f>
        <v>41.887640449438202</v>
      </c>
      <c r="L531" s="23">
        <v>47.813261510837499</v>
      </c>
      <c r="M531" s="23">
        <v>97062.62</v>
      </c>
      <c r="N531" s="23">
        <v>79660</v>
      </c>
      <c r="O531" s="23">
        <f>Tableau1[[#This Row],[Productivité]]-Tableau1[[#This Row],[ les Charges]]</f>
        <v>-17402.619999999995</v>
      </c>
    </row>
    <row r="532" spans="1:15" hidden="1" x14ac:dyDescent="0.25">
      <c r="A532" s="13">
        <v>44408</v>
      </c>
      <c r="B532" t="s">
        <v>84</v>
      </c>
      <c r="C532" s="65" t="s">
        <v>85</v>
      </c>
      <c r="D532" s="65" t="s">
        <v>55</v>
      </c>
      <c r="E532" s="65">
        <v>173</v>
      </c>
      <c r="F532">
        <v>985</v>
      </c>
      <c r="G532" t="s">
        <v>157</v>
      </c>
      <c r="H532" t="s">
        <v>155</v>
      </c>
      <c r="I532" t="s">
        <v>155</v>
      </c>
      <c r="J532" t="s">
        <v>157</v>
      </c>
      <c r="K532" s="23">
        <f>IF(Tableau1[[#This Row],[Quantité (H)]]=0,0,Tableau1[[#This Row],[Gasoil (L)]]/Tableau1[[#This Row],[Quantité (H)]])</f>
        <v>5.6936416184971099</v>
      </c>
      <c r="L532" s="23">
        <v>23.677884615384599</v>
      </c>
      <c r="M532" s="23">
        <v>11375</v>
      </c>
      <c r="N532" s="23">
        <v>48440</v>
      </c>
      <c r="O532" s="23">
        <f>Tableau1[[#This Row],[Productivité]]-Tableau1[[#This Row],[ les Charges]]</f>
        <v>37065</v>
      </c>
    </row>
    <row r="533" spans="1:15" hidden="1" x14ac:dyDescent="0.25">
      <c r="A533" s="13">
        <v>44408</v>
      </c>
      <c r="B533" t="s">
        <v>83</v>
      </c>
      <c r="C533" s="65" t="s">
        <v>85</v>
      </c>
      <c r="D533" t="s">
        <v>134</v>
      </c>
      <c r="E533" s="65">
        <v>79</v>
      </c>
      <c r="F533">
        <v>491</v>
      </c>
      <c r="G533">
        <v>10</v>
      </c>
      <c r="H533">
        <v>0</v>
      </c>
      <c r="I533">
        <v>0</v>
      </c>
      <c r="J533">
        <v>0</v>
      </c>
      <c r="K533" s="23">
        <f>IF(Tableau1[[#This Row],[Quantité (H)]]=0,0,Tableau1[[#This Row],[Gasoil (L)]]/Tableau1[[#This Row],[Quantité (H)]])</f>
        <v>6.2151898734177218</v>
      </c>
      <c r="L533" s="23">
        <v>87.522281639928707</v>
      </c>
      <c r="M533" s="23">
        <v>6110</v>
      </c>
      <c r="N533" s="23">
        <v>8400</v>
      </c>
      <c r="O533" s="23">
        <f>Tableau1[[#This Row],[Productivité]]-Tableau1[[#This Row],[ les Charges]]</f>
        <v>2290</v>
      </c>
    </row>
    <row r="534" spans="1:15" hidden="1" x14ac:dyDescent="0.25">
      <c r="A534" s="13">
        <v>44408</v>
      </c>
      <c r="B534" t="s">
        <v>84</v>
      </c>
      <c r="C534" s="65" t="s">
        <v>85</v>
      </c>
      <c r="D534" t="s">
        <v>149</v>
      </c>
      <c r="E534" s="65">
        <v>126</v>
      </c>
      <c r="F534">
        <v>131</v>
      </c>
      <c r="G534" t="s">
        <v>157</v>
      </c>
      <c r="H534" t="s">
        <v>155</v>
      </c>
      <c r="I534" t="s">
        <v>155</v>
      </c>
      <c r="J534" t="s">
        <v>157</v>
      </c>
      <c r="K534" s="23">
        <f>IF(Tableau1[[#This Row],[Quantité (H)]]=0,0,Tableau1[[#This Row],[Gasoil (L)]]/Tableau1[[#This Row],[Quantité (H)]])</f>
        <v>1.0396825396825398</v>
      </c>
      <c r="L534" s="23">
        <v>44.557823129251702</v>
      </c>
      <c r="M534" s="23">
        <v>1310</v>
      </c>
      <c r="N534" s="23">
        <v>18900</v>
      </c>
      <c r="O534" s="23">
        <f>Tableau1[[#This Row],[Productivité]]-Tableau1[[#This Row],[ les Charges]]</f>
        <v>17590</v>
      </c>
    </row>
    <row r="535" spans="1:15" hidden="1" x14ac:dyDescent="0.25">
      <c r="A535" s="13">
        <v>44408</v>
      </c>
      <c r="B535" t="s">
        <v>83</v>
      </c>
      <c r="C535" s="65" t="s">
        <v>85</v>
      </c>
      <c r="D535" t="s">
        <v>148</v>
      </c>
      <c r="E535" s="65">
        <v>18</v>
      </c>
      <c r="F535">
        <v>75</v>
      </c>
      <c r="G535">
        <v>0</v>
      </c>
      <c r="H535">
        <v>0</v>
      </c>
      <c r="I535">
        <v>0</v>
      </c>
      <c r="J535">
        <v>0</v>
      </c>
      <c r="K535" s="23">
        <f>IF(Tableau1[[#This Row],[Quantité (H)]]=0,0,Tableau1[[#This Row],[Gasoil (L)]]/Tableau1[[#This Row],[Quantité (H)]])</f>
        <v>4.166666666666667</v>
      </c>
      <c r="L535" s="23">
        <v>8.52</v>
      </c>
      <c r="M535" s="23">
        <v>750</v>
      </c>
      <c r="O535" s="23">
        <f>Tableau1[[#This Row],[Productivité]]-Tableau1[[#This Row],[ les Charges]]</f>
        <v>-750</v>
      </c>
    </row>
    <row r="536" spans="1:15" hidden="1" x14ac:dyDescent="0.25">
      <c r="A536" s="13">
        <v>44408</v>
      </c>
      <c r="B536" t="s">
        <v>159</v>
      </c>
      <c r="C536" s="65" t="s">
        <v>85</v>
      </c>
      <c r="D536" t="s">
        <v>151</v>
      </c>
      <c r="E536" s="3">
        <v>35</v>
      </c>
      <c r="F536">
        <v>1211</v>
      </c>
      <c r="G536">
        <v>0</v>
      </c>
      <c r="H536">
        <v>0</v>
      </c>
      <c r="I536">
        <v>0</v>
      </c>
      <c r="J536">
        <v>0</v>
      </c>
      <c r="K536" s="23">
        <f>IF(Tableau1[[#This Row],[Quantité (H)]]=0,0,Tableau1[[#This Row],[Gasoil (L)]]/Tableau1[[#This Row],[Quantité (H)]])</f>
        <v>34.6</v>
      </c>
      <c r="L536" s="23">
        <v>10.176470588235301</v>
      </c>
      <c r="M536" s="23">
        <v>21224.2</v>
      </c>
      <c r="N536" s="23">
        <v>15750</v>
      </c>
      <c r="O536" s="23">
        <f>Tableau1[[#This Row],[Productivité]]-Tableau1[[#This Row],[ les Charges]]</f>
        <v>-5474.2000000000007</v>
      </c>
    </row>
    <row r="537" spans="1:15" hidden="1" x14ac:dyDescent="0.25">
      <c r="A537" s="13">
        <v>44408</v>
      </c>
      <c r="B537" t="s">
        <v>83</v>
      </c>
      <c r="C537" s="65" t="s">
        <v>85</v>
      </c>
      <c r="D537" t="s">
        <v>52</v>
      </c>
      <c r="E537" s="65">
        <v>44.5</v>
      </c>
      <c r="F537">
        <v>336</v>
      </c>
      <c r="G537">
        <v>0</v>
      </c>
      <c r="H537">
        <v>0</v>
      </c>
      <c r="I537">
        <v>0</v>
      </c>
      <c r="J537">
        <v>9</v>
      </c>
      <c r="K537" s="23">
        <f>IF(Tableau1[[#This Row],[Quantité (H)]]=0,0,Tableau1[[#This Row],[Gasoil (L)]]/Tableau1[[#This Row],[Quantité (H)]])</f>
        <v>7.5505617977528088</v>
      </c>
      <c r="L537" s="23">
        <v>3.6841297339970614E-3</v>
      </c>
      <c r="M537" s="23">
        <v>3675</v>
      </c>
      <c r="N537" s="23">
        <v>8875</v>
      </c>
      <c r="O537" s="23">
        <f>Tableau1[[#This Row],[Productivité]]-Tableau1[[#This Row],[ les Charges]]</f>
        <v>5200</v>
      </c>
    </row>
    <row r="538" spans="1:15" hidden="1" x14ac:dyDescent="0.25">
      <c r="A538" s="13">
        <v>44408</v>
      </c>
      <c r="B538" t="s">
        <v>160</v>
      </c>
      <c r="C538" s="65" t="s">
        <v>42</v>
      </c>
      <c r="D538" t="s">
        <v>28</v>
      </c>
      <c r="E538" s="65">
        <v>75</v>
      </c>
      <c r="F538">
        <v>1190</v>
      </c>
      <c r="G538">
        <v>0</v>
      </c>
      <c r="H538">
        <v>0</v>
      </c>
      <c r="I538">
        <v>0</v>
      </c>
      <c r="J538">
        <v>2</v>
      </c>
      <c r="K538" s="23">
        <f>IF(Tableau1[[#This Row],[Quantité (H)]]=0,0,Tableau1[[#This Row],[Gasoil (L)]]/Tableau1[[#This Row],[Quantité (H)]])</f>
        <v>15.866666666666667</v>
      </c>
      <c r="L538" s="23">
        <v>20</v>
      </c>
      <c r="M538" s="23">
        <v>17170</v>
      </c>
      <c r="N538" s="23">
        <v>25020</v>
      </c>
      <c r="O538" s="23">
        <f>Tableau1[[#This Row],[Productivité]]-Tableau1[[#This Row],[ les Charges]]</f>
        <v>7850</v>
      </c>
    </row>
    <row r="539" spans="1:15" hidden="1" x14ac:dyDescent="0.25">
      <c r="A539" s="13">
        <v>44408</v>
      </c>
      <c r="B539" t="s">
        <v>84</v>
      </c>
      <c r="C539" s="65" t="s">
        <v>42</v>
      </c>
      <c r="D539" t="s">
        <v>29</v>
      </c>
      <c r="E539">
        <v>21</v>
      </c>
      <c r="F539">
        <v>372</v>
      </c>
      <c r="G539" t="s">
        <v>157</v>
      </c>
      <c r="H539" t="s">
        <v>155</v>
      </c>
      <c r="I539">
        <v>15</v>
      </c>
      <c r="J539">
        <v>10</v>
      </c>
      <c r="K539" s="23">
        <f>IF(Tableau1[[#This Row],[Quantité (H)]]=0,0,Tableau1[[#This Row],[Gasoil (L)]]/Tableau1[[#This Row],[Quantité (H)]])</f>
        <v>17.714285714285715</v>
      </c>
      <c r="L539" s="23">
        <v>41.333333333333336</v>
      </c>
      <c r="M539" s="23">
        <v>4845</v>
      </c>
      <c r="N539" s="23">
        <v>32300</v>
      </c>
      <c r="O539" s="23">
        <f>Tableau1[[#This Row],[Productivité]]-Tableau1[[#This Row],[ les Charges]]</f>
        <v>27455</v>
      </c>
    </row>
    <row r="540" spans="1:15" hidden="1" x14ac:dyDescent="0.25">
      <c r="A540" s="13">
        <v>44408</v>
      </c>
      <c r="B540" t="s">
        <v>159</v>
      </c>
      <c r="C540" s="65" t="s">
        <v>42</v>
      </c>
      <c r="D540" t="s">
        <v>94</v>
      </c>
      <c r="E540">
        <v>187</v>
      </c>
      <c r="F540">
        <v>1916</v>
      </c>
      <c r="G540">
        <v>35</v>
      </c>
      <c r="H540">
        <v>0</v>
      </c>
      <c r="I540">
        <v>0</v>
      </c>
      <c r="J540">
        <v>0</v>
      </c>
      <c r="K540" s="23">
        <f>IF(Tableau1[[#This Row],[Quantité (H)]]=0,0,Tableau1[[#This Row],[Gasoil (L)]]/Tableau1[[#This Row],[Quantité (H)]])</f>
        <v>10.245989304812834</v>
      </c>
      <c r="L540" s="23">
        <v>13.305555555555557</v>
      </c>
      <c r="M540" s="23">
        <v>19770</v>
      </c>
      <c r="N540" s="23">
        <v>71060</v>
      </c>
      <c r="O540" s="23">
        <f>Tableau1[[#This Row],[Productivité]]-Tableau1[[#This Row],[ les Charges]]</f>
        <v>51290</v>
      </c>
    </row>
    <row r="541" spans="1:15" hidden="1" x14ac:dyDescent="0.25">
      <c r="A541" s="13">
        <v>44408</v>
      </c>
      <c r="B541" t="s">
        <v>84</v>
      </c>
      <c r="C541" s="65" t="s">
        <v>42</v>
      </c>
      <c r="D541" s="65" t="s">
        <v>126</v>
      </c>
      <c r="E541" s="65">
        <v>187</v>
      </c>
      <c r="F541">
        <v>1570</v>
      </c>
      <c r="G541">
        <v>5</v>
      </c>
      <c r="H541" t="s">
        <v>155</v>
      </c>
      <c r="I541" t="s">
        <v>155</v>
      </c>
      <c r="J541">
        <v>10</v>
      </c>
      <c r="K541" s="23">
        <f>IF(Tableau1[[#This Row],[Quantité (H)]]=0,0,Tableau1[[#This Row],[Gasoil (L)]]/Tableau1[[#This Row],[Quantité (H)]])</f>
        <v>8.3957219251336905</v>
      </c>
      <c r="L541" s="23">
        <v>9.5151515151515156</v>
      </c>
      <c r="M541" s="23">
        <v>16250</v>
      </c>
      <c r="N541" s="23">
        <v>67320</v>
      </c>
      <c r="O541" s="23">
        <f>Tableau1[[#This Row],[Productivité]]-Tableau1[[#This Row],[ les Charges]]</f>
        <v>51070</v>
      </c>
    </row>
    <row r="542" spans="1:15" hidden="1" x14ac:dyDescent="0.25">
      <c r="A542" s="13">
        <v>44408</v>
      </c>
      <c r="B542" t="s">
        <v>147</v>
      </c>
      <c r="C542" s="65" t="s">
        <v>173</v>
      </c>
      <c r="D542" t="s">
        <v>36</v>
      </c>
      <c r="E542" s="65">
        <v>78</v>
      </c>
      <c r="F542">
        <v>3365</v>
      </c>
      <c r="G542">
        <v>0</v>
      </c>
      <c r="H542">
        <v>0</v>
      </c>
      <c r="I542">
        <v>0</v>
      </c>
      <c r="J542">
        <v>0</v>
      </c>
      <c r="K542" s="23">
        <f>IF(Tableau1[[#This Row],[Quantité (H)]]=0,0,Tableau1[[#This Row],[Gasoil (L)]]/Tableau1[[#This Row],[Quantité (H)]])</f>
        <v>43.141025641025642</v>
      </c>
      <c r="L542" s="23">
        <v>43.701298701298704</v>
      </c>
      <c r="N542" s="23">
        <v>105300</v>
      </c>
      <c r="O542" s="23">
        <f>Tableau1[[#This Row],[Productivité]]-Tableau1[[#This Row],[ les Charges]]</f>
        <v>105300</v>
      </c>
    </row>
    <row r="543" spans="1:15" hidden="1" x14ac:dyDescent="0.25">
      <c r="A543" s="13">
        <v>44408</v>
      </c>
      <c r="B543" t="s">
        <v>159</v>
      </c>
      <c r="C543" s="65" t="s">
        <v>173</v>
      </c>
      <c r="D543" t="s">
        <v>37</v>
      </c>
      <c r="E543" s="65"/>
      <c r="K543" s="23">
        <f>IF(Tableau1[[#This Row],[Quantité (H)]]=0,0,Tableau1[[#This Row],[Gasoil (L)]]/Tableau1[[#This Row],[Quantité (H)]])</f>
        <v>0</v>
      </c>
      <c r="M543" s="23">
        <v>52040.5</v>
      </c>
      <c r="O543" s="23">
        <f>Tableau1[[#This Row],[Productivité]]-Tableau1[[#This Row],[ les Charges]]</f>
        <v>-52040.5</v>
      </c>
    </row>
    <row r="544" spans="1:15" hidden="1" x14ac:dyDescent="0.25">
      <c r="A544" s="13">
        <v>44408</v>
      </c>
      <c r="B544" t="s">
        <v>80</v>
      </c>
      <c r="C544" s="65" t="s">
        <v>85</v>
      </c>
      <c r="D544" t="s">
        <v>51</v>
      </c>
      <c r="E544" s="65">
        <v>19</v>
      </c>
      <c r="F544">
        <v>280</v>
      </c>
      <c r="G544">
        <v>0</v>
      </c>
      <c r="H544">
        <v>0</v>
      </c>
      <c r="I544">
        <v>0</v>
      </c>
      <c r="J544">
        <v>0</v>
      </c>
      <c r="K544" s="23">
        <f>IF(Tableau1[[#This Row],[Quantité (H)]]=0,0,Tableau1[[#This Row],[Gasoil (L)]]/Tableau1[[#This Row],[Quantité (H)]])</f>
        <v>14.736842105263158</v>
      </c>
      <c r="L544" s="23">
        <v>0</v>
      </c>
      <c r="O544" s="23">
        <f>Tableau1[[#This Row],[Productivité]]-Tableau1[[#This Row],[ les Charges]]</f>
        <v>0</v>
      </c>
    </row>
    <row r="545" spans="1:15" hidden="1" x14ac:dyDescent="0.25">
      <c r="A545" s="13">
        <v>44408</v>
      </c>
      <c r="B545" t="s">
        <v>83</v>
      </c>
      <c r="C545" s="65" t="s">
        <v>85</v>
      </c>
      <c r="D545" t="s">
        <v>51</v>
      </c>
      <c r="E545" s="65">
        <v>23</v>
      </c>
      <c r="F545">
        <v>176</v>
      </c>
      <c r="G545">
        <v>0</v>
      </c>
      <c r="H545">
        <v>0</v>
      </c>
      <c r="I545">
        <v>0</v>
      </c>
      <c r="J545">
        <v>0</v>
      </c>
      <c r="K545" s="23">
        <f>IF(Tableau1[[#This Row],[Quantité (H)]]=0,0,Tableau1[[#This Row],[Gasoil (L)]]/Tableau1[[#This Row],[Quantité (H)]])</f>
        <v>7.6521739130434785</v>
      </c>
      <c r="L545" s="23">
        <v>0</v>
      </c>
      <c r="M545" s="23">
        <v>4560</v>
      </c>
      <c r="N545" s="23">
        <v>14700</v>
      </c>
      <c r="O545" s="23">
        <f>Tableau1[[#This Row],[Productivité]]-Tableau1[[#This Row],[ les Charges]]</f>
        <v>10140</v>
      </c>
    </row>
    <row r="546" spans="1:15" hidden="1" x14ac:dyDescent="0.25">
      <c r="A546" s="13">
        <v>44408</v>
      </c>
      <c r="B546" t="s">
        <v>158</v>
      </c>
      <c r="C546" s="65" t="s">
        <v>175</v>
      </c>
      <c r="D546" t="s">
        <v>30</v>
      </c>
      <c r="E546" s="3">
        <v>0</v>
      </c>
      <c r="F546">
        <v>0</v>
      </c>
      <c r="G546">
        <v>20</v>
      </c>
      <c r="H546">
        <v>0</v>
      </c>
      <c r="I546">
        <v>0</v>
      </c>
      <c r="J546">
        <v>4</v>
      </c>
      <c r="K546" s="23">
        <f>IF(Tableau1[[#This Row],[Quantité (H)]]=0,0,Tableau1[[#This Row],[Gasoil (L)]]/Tableau1[[#This Row],[Quantité (H)]])</f>
        <v>0</v>
      </c>
      <c r="L546" s="23">
        <v>0</v>
      </c>
      <c r="M546" s="23">
        <v>940</v>
      </c>
      <c r="O546" s="23">
        <f>Tableau1[[#This Row],[Productivité]]-Tableau1[[#This Row],[ les Charges]]</f>
        <v>-940</v>
      </c>
    </row>
    <row r="547" spans="1:15" hidden="1" x14ac:dyDescent="0.25">
      <c r="A547" s="13">
        <v>44408</v>
      </c>
      <c r="B547" t="s">
        <v>84</v>
      </c>
      <c r="C547" s="65" t="s">
        <v>195</v>
      </c>
      <c r="D547" t="s">
        <v>38</v>
      </c>
      <c r="E547">
        <v>135</v>
      </c>
      <c r="F547">
        <v>2612</v>
      </c>
      <c r="G547">
        <v>40</v>
      </c>
      <c r="H547" t="s">
        <v>155</v>
      </c>
      <c r="I547">
        <v>30</v>
      </c>
      <c r="J547">
        <v>20</v>
      </c>
      <c r="K547" s="23">
        <f>IF(Tableau1[[#This Row],[Quantité (H)]]=0,0,Tableau1[[#This Row],[Gasoil (L)]]/Tableau1[[#This Row],[Quantité (H)]])</f>
        <v>19.348148148148148</v>
      </c>
      <c r="L547" s="23">
        <v>24.876190476190477</v>
      </c>
      <c r="M547" s="23">
        <v>29777.57</v>
      </c>
      <c r="N547" s="23">
        <v>155250</v>
      </c>
      <c r="O547" s="23">
        <f>Tableau1[[#This Row],[Productivité]]-Tableau1[[#This Row],[ les Charges]]</f>
        <v>125472.43</v>
      </c>
    </row>
    <row r="548" spans="1:15" hidden="1" x14ac:dyDescent="0.25">
      <c r="A548" s="13">
        <v>44408</v>
      </c>
      <c r="B548" t="s">
        <v>159</v>
      </c>
      <c r="C548" s="65" t="s">
        <v>92</v>
      </c>
      <c r="D548" t="s">
        <v>136</v>
      </c>
      <c r="E548" s="65">
        <v>11</v>
      </c>
      <c r="F548">
        <v>396</v>
      </c>
      <c r="G548">
        <v>0</v>
      </c>
      <c r="H548">
        <v>0</v>
      </c>
      <c r="I548">
        <v>0</v>
      </c>
      <c r="J548">
        <v>0</v>
      </c>
      <c r="K548" s="23">
        <f>IF(Tableau1[[#This Row],[Quantité (H)]]=0,0,Tableau1[[#This Row],[Gasoil (L)]]/Tableau1[[#This Row],[Quantité (H)]])</f>
        <v>36</v>
      </c>
      <c r="L548" s="23">
        <v>0</v>
      </c>
      <c r="O548" s="23">
        <f>Tableau1[[#This Row],[Productivité]]-Tableau1[[#This Row],[ les Charges]]</f>
        <v>0</v>
      </c>
    </row>
    <row r="549" spans="1:15" hidden="1" x14ac:dyDescent="0.25">
      <c r="A549" s="13">
        <v>44408</v>
      </c>
      <c r="B549" t="s">
        <v>116</v>
      </c>
      <c r="C549" s="65" t="s">
        <v>39</v>
      </c>
      <c r="D549" t="s">
        <v>11</v>
      </c>
      <c r="E549" s="65">
        <v>129</v>
      </c>
      <c r="F549">
        <v>1137</v>
      </c>
      <c r="G549">
        <v>5</v>
      </c>
      <c r="H549" t="s">
        <v>155</v>
      </c>
      <c r="I549">
        <v>5</v>
      </c>
      <c r="J549">
        <v>3</v>
      </c>
      <c r="K549" s="23">
        <f>IF(Tableau1[[#This Row],[Quantité (H)]]=0,0,Tableau1[[#This Row],[Gasoil (L)]]/Tableau1[[#This Row],[Quantité (H)]])</f>
        <v>8.8139534883720927</v>
      </c>
      <c r="L549" s="23">
        <v>0</v>
      </c>
      <c r="M549" s="23">
        <v>11370</v>
      </c>
      <c r="N549" s="23">
        <v>64500</v>
      </c>
      <c r="O549" s="23">
        <f>Tableau1[[#This Row],[Productivité]]-Tableau1[[#This Row],[ les Charges]]</f>
        <v>53130</v>
      </c>
    </row>
    <row r="550" spans="1:15" hidden="1" x14ac:dyDescent="0.25">
      <c r="A550" s="13">
        <v>44408</v>
      </c>
      <c r="B550" t="s">
        <v>80</v>
      </c>
      <c r="C550" s="65" t="s">
        <v>39</v>
      </c>
      <c r="D550" s="65" t="s">
        <v>12</v>
      </c>
      <c r="E550" s="65">
        <v>0</v>
      </c>
      <c r="F550">
        <v>0</v>
      </c>
      <c r="G550">
        <v>20</v>
      </c>
      <c r="H550">
        <v>0</v>
      </c>
      <c r="I550">
        <v>78</v>
      </c>
      <c r="J550">
        <v>0</v>
      </c>
      <c r="K550" s="23">
        <f>IF(Tableau1[[#This Row],[Quantité (H)]]=0,0,Tableau1[[#This Row],[Gasoil (L)]]/Tableau1[[#This Row],[Quantité (H)]])</f>
        <v>0</v>
      </c>
      <c r="L550" s="23">
        <v>0</v>
      </c>
      <c r="M550" s="23">
        <v>16008.76</v>
      </c>
      <c r="O550" s="23">
        <f>Tableau1[[#This Row],[Productivité]]-Tableau1[[#This Row],[ les Charges]]</f>
        <v>-16008.76</v>
      </c>
    </row>
    <row r="551" spans="1:15" hidden="1" x14ac:dyDescent="0.25">
      <c r="A551" s="13">
        <v>44408</v>
      </c>
      <c r="B551" t="s">
        <v>83</v>
      </c>
      <c r="C551" s="65" t="s">
        <v>39</v>
      </c>
      <c r="D551" t="s">
        <v>13</v>
      </c>
      <c r="E551" s="65">
        <v>182</v>
      </c>
      <c r="F551">
        <v>2768</v>
      </c>
      <c r="G551">
        <v>40</v>
      </c>
      <c r="H551">
        <v>0</v>
      </c>
      <c r="I551">
        <v>5</v>
      </c>
      <c r="J551">
        <v>0</v>
      </c>
      <c r="K551" s="23">
        <f>IF(Tableau1[[#This Row],[Quantité (H)]]=0,0,Tableau1[[#This Row],[Gasoil (L)]]/Tableau1[[#This Row],[Quantité (H)]])</f>
        <v>15.208791208791208</v>
      </c>
      <c r="L551" s="23">
        <v>0</v>
      </c>
      <c r="M551" s="23">
        <v>29455</v>
      </c>
      <c r="N551" s="23">
        <v>72800</v>
      </c>
      <c r="O551" s="23">
        <f>Tableau1[[#This Row],[Productivité]]-Tableau1[[#This Row],[ les Charges]]</f>
        <v>43345</v>
      </c>
    </row>
    <row r="552" spans="1:15" hidden="1" x14ac:dyDescent="0.25">
      <c r="A552" s="13">
        <v>44408</v>
      </c>
      <c r="B552" t="s">
        <v>83</v>
      </c>
      <c r="C552" s="65" t="s">
        <v>39</v>
      </c>
      <c r="D552" t="s">
        <v>14</v>
      </c>
      <c r="E552" s="65">
        <v>121</v>
      </c>
      <c r="F552">
        <v>2323</v>
      </c>
      <c r="G552">
        <v>15</v>
      </c>
      <c r="H552">
        <v>0</v>
      </c>
      <c r="I552">
        <v>60</v>
      </c>
      <c r="J552">
        <v>10</v>
      </c>
      <c r="K552" s="23">
        <f>IF(Tableau1[[#This Row],[Quantité (H)]]=0,0,Tableau1[[#This Row],[Gasoil (L)]]/Tableau1[[#This Row],[Quantité (H)]])</f>
        <v>19.198347107438018</v>
      </c>
      <c r="L552" s="23">
        <v>13.350574712643679</v>
      </c>
      <c r="M552" s="23">
        <v>26280</v>
      </c>
      <c r="N552" s="23">
        <v>60500</v>
      </c>
      <c r="O552" s="23">
        <f>Tableau1[[#This Row],[Productivité]]-Tableau1[[#This Row],[ les Charges]]</f>
        <v>34220</v>
      </c>
    </row>
    <row r="553" spans="1:15" hidden="1" x14ac:dyDescent="0.25">
      <c r="A553" s="13">
        <v>44408</v>
      </c>
      <c r="B553" t="s">
        <v>116</v>
      </c>
      <c r="C553" s="65" t="s">
        <v>39</v>
      </c>
      <c r="D553" t="s">
        <v>15</v>
      </c>
      <c r="E553" s="65">
        <v>142.5</v>
      </c>
      <c r="F553">
        <v>1305</v>
      </c>
      <c r="G553" t="s">
        <v>157</v>
      </c>
      <c r="H553" t="s">
        <v>155</v>
      </c>
      <c r="I553" t="s">
        <v>155</v>
      </c>
      <c r="J553">
        <v>4</v>
      </c>
      <c r="K553" s="23">
        <f>IF(Tableau1[[#This Row],[Quantité (H)]]=0,0,Tableau1[[#This Row],[Gasoil (L)]]/Tableau1[[#This Row],[Quantité (H)]])</f>
        <v>9.1578947368421044</v>
      </c>
      <c r="L553" s="23">
        <v>12.596525096525097</v>
      </c>
      <c r="M553" s="23">
        <v>13050</v>
      </c>
      <c r="N553" s="23">
        <v>71250</v>
      </c>
      <c r="O553" s="23">
        <f>Tableau1[[#This Row],[Productivité]]-Tableau1[[#This Row],[ les Charges]]</f>
        <v>58200</v>
      </c>
    </row>
    <row r="554" spans="1:15" hidden="1" x14ac:dyDescent="0.25">
      <c r="A554" s="13">
        <v>44408</v>
      </c>
      <c r="B554" t="s">
        <v>80</v>
      </c>
      <c r="C554" s="65" t="s">
        <v>92</v>
      </c>
      <c r="D554" t="s">
        <v>95</v>
      </c>
      <c r="E554" s="3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 s="23">
        <f>IF(Tableau1[[#This Row],[Quantité (H)]]=0,0,Tableau1[[#This Row],[Gasoil (L)]]/Tableau1[[#This Row],[Quantité (H)]])</f>
        <v>0</v>
      </c>
      <c r="L554" s="23">
        <v>0</v>
      </c>
      <c r="O554" s="23">
        <f>Tableau1[[#This Row],[Productivité]]-Tableau1[[#This Row],[ les Charges]]</f>
        <v>0</v>
      </c>
    </row>
    <row r="555" spans="1:15" hidden="1" x14ac:dyDescent="0.25">
      <c r="A555" s="13">
        <v>44408</v>
      </c>
      <c r="B555" t="s">
        <v>80</v>
      </c>
      <c r="C555" s="65" t="s">
        <v>92</v>
      </c>
      <c r="D555" t="s">
        <v>99</v>
      </c>
      <c r="E555" s="3">
        <v>0</v>
      </c>
      <c r="F555">
        <v>500</v>
      </c>
      <c r="G555">
        <v>0</v>
      </c>
      <c r="H555">
        <v>0</v>
      </c>
      <c r="I555">
        <v>0</v>
      </c>
      <c r="J555">
        <v>0</v>
      </c>
      <c r="K555" s="23">
        <f>IF(Tableau1[[#This Row],[Quantité (H)]]=0,0,Tableau1[[#This Row],[Gasoil (L)]]/Tableau1[[#This Row],[Quantité (H)]])</f>
        <v>0</v>
      </c>
      <c r="L555" s="23">
        <v>0</v>
      </c>
      <c r="O555" s="23">
        <f>Tableau1[[#This Row],[Productivité]]-Tableau1[[#This Row],[ les Charges]]</f>
        <v>0</v>
      </c>
    </row>
    <row r="556" spans="1:15" hidden="1" x14ac:dyDescent="0.25">
      <c r="A556" s="13">
        <v>44408</v>
      </c>
      <c r="B556" t="s">
        <v>116</v>
      </c>
      <c r="C556" s="65" t="s">
        <v>92</v>
      </c>
      <c r="D556" t="s">
        <v>101</v>
      </c>
      <c r="E556" s="3">
        <v>19</v>
      </c>
      <c r="F556">
        <v>15</v>
      </c>
      <c r="G556" t="s">
        <v>157</v>
      </c>
      <c r="H556" t="s">
        <v>155</v>
      </c>
      <c r="I556" t="s">
        <v>155</v>
      </c>
      <c r="J556" t="s">
        <v>157</v>
      </c>
      <c r="K556" s="23">
        <f>IF(Tableau1[[#This Row],[Quantité (H)]]=0,0,Tableau1[[#This Row],[Gasoil (L)]]/Tableau1[[#This Row],[Quantité (H)]])</f>
        <v>0.78947368421052633</v>
      </c>
      <c r="L556" s="23">
        <v>0</v>
      </c>
      <c r="O556" s="23">
        <f>Tableau1[[#This Row],[Productivité]]-Tableau1[[#This Row],[ les Charges]]</f>
        <v>0</v>
      </c>
    </row>
    <row r="557" spans="1:15" hidden="1" x14ac:dyDescent="0.25">
      <c r="A557" s="13">
        <v>44408</v>
      </c>
      <c r="B557" t="s">
        <v>84</v>
      </c>
      <c r="C557" s="65" t="s">
        <v>92</v>
      </c>
      <c r="D557" t="s">
        <v>102</v>
      </c>
      <c r="E557" s="3">
        <v>79</v>
      </c>
      <c r="F557">
        <v>101</v>
      </c>
      <c r="G557" t="s">
        <v>157</v>
      </c>
      <c r="H557" t="s">
        <v>155</v>
      </c>
      <c r="I557" t="s">
        <v>155</v>
      </c>
      <c r="J557" t="s">
        <v>157</v>
      </c>
      <c r="K557" s="23">
        <f>IF(Tableau1[[#This Row],[Quantité (H)]]=0,0,Tableau1[[#This Row],[Gasoil (L)]]/Tableau1[[#This Row],[Quantité (H)]])</f>
        <v>1.2784810126582278</v>
      </c>
      <c r="L557" s="23">
        <v>0</v>
      </c>
      <c r="O557" s="23">
        <f>Tableau1[[#This Row],[Productivité]]-Tableau1[[#This Row],[ les Charges]]</f>
        <v>0</v>
      </c>
    </row>
    <row r="558" spans="1:15" hidden="1" x14ac:dyDescent="0.25">
      <c r="A558" s="13">
        <v>44408</v>
      </c>
      <c r="B558" t="s">
        <v>84</v>
      </c>
      <c r="C558" s="65" t="s">
        <v>92</v>
      </c>
      <c r="D558" t="s">
        <v>125</v>
      </c>
      <c r="E558" s="3">
        <v>45</v>
      </c>
      <c r="F558">
        <v>60</v>
      </c>
      <c r="G558" t="s">
        <v>157</v>
      </c>
      <c r="H558" t="s">
        <v>155</v>
      </c>
      <c r="I558" t="s">
        <v>155</v>
      </c>
      <c r="J558" t="s">
        <v>157</v>
      </c>
      <c r="K558" s="23">
        <f>IF(Tableau1[[#This Row],[Quantité (H)]]=0,0,Tableau1[[#This Row],[Gasoil (L)]]/Tableau1[[#This Row],[Quantité (H)]])</f>
        <v>1.3333333333333333</v>
      </c>
      <c r="L558" s="23">
        <v>0</v>
      </c>
      <c r="O558" s="23">
        <f>Tableau1[[#This Row],[Productivité]]-Tableau1[[#This Row],[ les Charges]]</f>
        <v>0</v>
      </c>
    </row>
    <row r="559" spans="1:15" hidden="1" x14ac:dyDescent="0.25">
      <c r="A559" s="13">
        <v>44408</v>
      </c>
      <c r="B559" t="s">
        <v>116</v>
      </c>
      <c r="C559" s="65" t="s">
        <v>92</v>
      </c>
      <c r="D559" t="s">
        <v>121</v>
      </c>
      <c r="E559" s="3">
        <v>14</v>
      </c>
      <c r="F559">
        <v>35</v>
      </c>
      <c r="G559" t="s">
        <v>157</v>
      </c>
      <c r="H559" t="s">
        <v>155</v>
      </c>
      <c r="I559" t="s">
        <v>155</v>
      </c>
      <c r="J559" t="s">
        <v>157</v>
      </c>
      <c r="K559" s="23">
        <f>IF(Tableau1[[#This Row],[Quantité (H)]]=0,0,Tableau1[[#This Row],[Gasoil (L)]]/Tableau1[[#This Row],[Quantité (H)]])</f>
        <v>2.5</v>
      </c>
      <c r="L559" s="23">
        <v>17.5</v>
      </c>
      <c r="O559" s="23">
        <f>Tableau1[[#This Row],[Productivité]]-Tableau1[[#This Row],[ les Charges]]</f>
        <v>0</v>
      </c>
    </row>
    <row r="560" spans="1:15" hidden="1" x14ac:dyDescent="0.25">
      <c r="A560" s="13">
        <v>44408</v>
      </c>
      <c r="B560" t="s">
        <v>83</v>
      </c>
      <c r="C560" s="65" t="s">
        <v>92</v>
      </c>
      <c r="D560" t="s">
        <v>120</v>
      </c>
      <c r="E560" s="3">
        <v>6</v>
      </c>
      <c r="F560">
        <v>0</v>
      </c>
      <c r="G560">
        <v>0</v>
      </c>
      <c r="H560">
        <v>0</v>
      </c>
      <c r="I560">
        <v>0</v>
      </c>
      <c r="J560">
        <v>0</v>
      </c>
      <c r="K560" s="23">
        <f>IF(Tableau1[[#This Row],[Quantité (H)]]=0,0,Tableau1[[#This Row],[Gasoil (L)]]/Tableau1[[#This Row],[Quantité (H)]])</f>
        <v>0</v>
      </c>
      <c r="L560" s="23">
        <v>0</v>
      </c>
      <c r="O560" s="23">
        <f>Tableau1[[#This Row],[Productivité]]-Tableau1[[#This Row],[ les Charges]]</f>
        <v>0</v>
      </c>
    </row>
    <row r="561" spans="1:15" hidden="1" x14ac:dyDescent="0.25">
      <c r="A561" s="13">
        <v>44408</v>
      </c>
      <c r="B561" t="s">
        <v>84</v>
      </c>
      <c r="C561" s="65" t="s">
        <v>41</v>
      </c>
      <c r="D561" t="s">
        <v>20</v>
      </c>
      <c r="E561" s="3">
        <v>170</v>
      </c>
      <c r="F561">
        <v>3201</v>
      </c>
      <c r="G561">
        <v>35</v>
      </c>
      <c r="H561" t="s">
        <v>155</v>
      </c>
      <c r="I561" t="s">
        <v>155</v>
      </c>
      <c r="J561">
        <v>30</v>
      </c>
      <c r="K561" s="23">
        <f>IF(Tableau1[[#This Row],[Quantité (H)]]=0,0,Tableau1[[#This Row],[Gasoil (L)]]/Tableau1[[#This Row],[Quantité (H)]])</f>
        <v>18.829411764705881</v>
      </c>
      <c r="L561" s="23">
        <v>20.651612903225807</v>
      </c>
      <c r="M561" s="23">
        <v>34460</v>
      </c>
      <c r="N561" s="23">
        <v>71400</v>
      </c>
      <c r="O561" s="23">
        <f>Tableau1[[#This Row],[Productivité]]-Tableau1[[#This Row],[ les Charges]]</f>
        <v>36940</v>
      </c>
    </row>
    <row r="562" spans="1:15" hidden="1" x14ac:dyDescent="0.25">
      <c r="A562" s="13">
        <v>44408</v>
      </c>
      <c r="B562" t="s">
        <v>158</v>
      </c>
      <c r="C562" s="65" t="s">
        <v>41</v>
      </c>
      <c r="D562" t="s">
        <v>21</v>
      </c>
      <c r="E562" s="3">
        <v>40.5</v>
      </c>
      <c r="F562">
        <v>470</v>
      </c>
      <c r="G562">
        <v>33</v>
      </c>
      <c r="H562">
        <v>0</v>
      </c>
      <c r="I562">
        <v>25</v>
      </c>
      <c r="J562">
        <v>4</v>
      </c>
      <c r="K562" s="23">
        <f>IF(Tableau1[[#This Row],[Quantité (H)]]=0,0,Tableau1[[#This Row],[Gasoil (L)]]/Tableau1[[#This Row],[Quantité (H)]])</f>
        <v>11.604938271604938</v>
      </c>
      <c r="L562" s="23">
        <v>21.363636363636363</v>
      </c>
      <c r="M562" s="23">
        <v>7268.33</v>
      </c>
      <c r="O562" s="23">
        <f>Tableau1[[#This Row],[Productivité]]-Tableau1[[#This Row],[ les Charges]]</f>
        <v>-7268.33</v>
      </c>
    </row>
    <row r="563" spans="1:15" hidden="1" x14ac:dyDescent="0.25">
      <c r="A563" s="13">
        <v>44408</v>
      </c>
      <c r="B563" t="s">
        <v>116</v>
      </c>
      <c r="C563" s="65" t="s">
        <v>41</v>
      </c>
      <c r="D563" s="65" t="s">
        <v>124</v>
      </c>
      <c r="E563" s="3">
        <v>115</v>
      </c>
      <c r="F563">
        <v>2047</v>
      </c>
      <c r="G563">
        <v>25</v>
      </c>
      <c r="H563" t="s">
        <v>155</v>
      </c>
      <c r="I563" t="s">
        <v>155</v>
      </c>
      <c r="J563">
        <v>5</v>
      </c>
      <c r="K563" s="23">
        <f>IF(Tableau1[[#This Row],[Quantité (H)]]=0,0,Tableau1[[#This Row],[Gasoil (L)]]/Tableau1[[#This Row],[Quantité (H)]])</f>
        <v>17.8</v>
      </c>
      <c r="L563" s="23">
        <v>18.211743772241991</v>
      </c>
      <c r="M563" s="23">
        <v>20470</v>
      </c>
      <c r="N563" s="23">
        <v>48300</v>
      </c>
      <c r="O563" s="23">
        <f>Tableau1[[#This Row],[Productivité]]-Tableau1[[#This Row],[ les Charges]]</f>
        <v>27830</v>
      </c>
    </row>
    <row r="564" spans="1:15" hidden="1" x14ac:dyDescent="0.25">
      <c r="A564" s="13">
        <v>44408</v>
      </c>
      <c r="B564" t="s">
        <v>159</v>
      </c>
      <c r="C564" s="65" t="s">
        <v>41</v>
      </c>
      <c r="D564" t="s">
        <v>22</v>
      </c>
      <c r="E564" s="3">
        <v>46</v>
      </c>
      <c r="F564">
        <v>1263</v>
      </c>
      <c r="G564">
        <v>30</v>
      </c>
      <c r="H564">
        <v>0</v>
      </c>
      <c r="I564">
        <v>0</v>
      </c>
      <c r="J564">
        <v>5</v>
      </c>
      <c r="K564" s="23">
        <f>IF(Tableau1[[#This Row],[Quantité (H)]]=0,0,Tableau1[[#This Row],[Gasoil (L)]]/Tableau1[[#This Row],[Quantité (H)]])</f>
        <v>27.456521739130434</v>
      </c>
      <c r="L564" s="23">
        <v>40.741935483870968</v>
      </c>
      <c r="M564" s="23">
        <v>12025.26</v>
      </c>
      <c r="N564" s="23">
        <v>19320</v>
      </c>
      <c r="O564" s="23">
        <f>Tableau1[[#This Row],[Productivité]]-Tableau1[[#This Row],[ les Charges]]</f>
        <v>7294.74</v>
      </c>
    </row>
    <row r="565" spans="1:15" hidden="1" x14ac:dyDescent="0.25">
      <c r="A565" s="13">
        <v>44408</v>
      </c>
      <c r="B565" t="s">
        <v>84</v>
      </c>
      <c r="C565" t="s">
        <v>41</v>
      </c>
      <c r="D565" t="s">
        <v>23</v>
      </c>
      <c r="E565" s="3">
        <v>162</v>
      </c>
      <c r="F565">
        <v>4244</v>
      </c>
      <c r="G565">
        <v>40</v>
      </c>
      <c r="H565" t="s">
        <v>155</v>
      </c>
      <c r="I565">
        <v>30</v>
      </c>
      <c r="J565">
        <v>35</v>
      </c>
      <c r="K565" s="23">
        <f>IF(Tableau1[[#This Row],[Quantité (H)]]=0,0,Tableau1[[#This Row],[Gasoil (L)]]/Tableau1[[#This Row],[Quantité (H)]])</f>
        <v>26.197530864197532</v>
      </c>
      <c r="L565" s="23">
        <v>19.203619909502262</v>
      </c>
      <c r="M565" s="23">
        <v>48214.98</v>
      </c>
      <c r="N565" s="23">
        <v>68040</v>
      </c>
      <c r="O565" s="23">
        <f>Tableau1[[#This Row],[Productivité]]-Tableau1[[#This Row],[ les Charges]]</f>
        <v>19825.019999999997</v>
      </c>
    </row>
    <row r="566" spans="1:15" hidden="1" x14ac:dyDescent="0.25">
      <c r="A566" s="13">
        <v>44408</v>
      </c>
      <c r="B566" t="s">
        <v>84</v>
      </c>
      <c r="C566" t="s">
        <v>41</v>
      </c>
      <c r="D566" t="s">
        <v>24</v>
      </c>
      <c r="E566" s="3">
        <v>177</v>
      </c>
      <c r="F566">
        <v>3729</v>
      </c>
      <c r="G566">
        <v>65</v>
      </c>
      <c r="H566" t="s">
        <v>155</v>
      </c>
      <c r="I566">
        <v>15</v>
      </c>
      <c r="J566">
        <v>30</v>
      </c>
      <c r="K566" s="23">
        <f>IF(Tableau1[[#This Row],[Quantité (H)]]=0,0,Tableau1[[#This Row],[Gasoil (L)]]/Tableau1[[#This Row],[Quantité (H)]])</f>
        <v>21.067796610169491</v>
      </c>
      <c r="L566" s="23">
        <v>25.026845637583893</v>
      </c>
      <c r="M566" s="23">
        <v>41465</v>
      </c>
      <c r="N566" s="23">
        <v>74340</v>
      </c>
      <c r="O566" s="23">
        <f>Tableau1[[#This Row],[Productivité]]-Tableau1[[#This Row],[ les Charges]]</f>
        <v>32875</v>
      </c>
    </row>
    <row r="567" spans="1:15" hidden="1" x14ac:dyDescent="0.25">
      <c r="A567" s="13">
        <v>44408</v>
      </c>
      <c r="B567" t="s">
        <v>84</v>
      </c>
      <c r="C567" t="s">
        <v>41</v>
      </c>
      <c r="D567" t="s">
        <v>25</v>
      </c>
      <c r="E567" s="3">
        <v>143</v>
      </c>
      <c r="F567">
        <v>3024</v>
      </c>
      <c r="G567">
        <v>10</v>
      </c>
      <c r="H567" t="s">
        <v>155</v>
      </c>
      <c r="I567">
        <v>120</v>
      </c>
      <c r="J567">
        <v>35</v>
      </c>
      <c r="K567" s="23">
        <f>IF(Tableau1[[#This Row],[Quantité (H)]]=0,0,Tableau1[[#This Row],[Gasoil (L)]]/Tableau1[[#This Row],[Quantité (H)]])</f>
        <v>21.146853146853147</v>
      </c>
      <c r="L567" s="23">
        <v>21.6</v>
      </c>
      <c r="M567" s="23">
        <v>36065</v>
      </c>
      <c r="N567" s="23">
        <v>60060</v>
      </c>
      <c r="O567" s="23">
        <f>Tableau1[[#This Row],[Productivité]]-Tableau1[[#This Row],[ les Charges]]</f>
        <v>23995</v>
      </c>
    </row>
    <row r="568" spans="1:15" hidden="1" x14ac:dyDescent="0.25">
      <c r="A568" s="13">
        <v>44408</v>
      </c>
      <c r="B568" t="s">
        <v>84</v>
      </c>
      <c r="C568" t="s">
        <v>41</v>
      </c>
      <c r="D568" t="s">
        <v>26</v>
      </c>
      <c r="E568" s="3">
        <v>92</v>
      </c>
      <c r="F568">
        <v>3368</v>
      </c>
      <c r="G568" t="s">
        <v>157</v>
      </c>
      <c r="H568" t="s">
        <v>155</v>
      </c>
      <c r="I568">
        <v>45</v>
      </c>
      <c r="J568">
        <v>25</v>
      </c>
      <c r="K568" s="23">
        <f>IF(Tableau1[[#This Row],[Quantité (H)]]=0,0,Tableau1[[#This Row],[Gasoil (L)]]/Tableau1[[#This Row],[Quantité (H)]])</f>
        <v>36.608695652173914</v>
      </c>
      <c r="L568" s="23">
        <v>35.829787234042556</v>
      </c>
      <c r="M568" s="23">
        <v>37023.74</v>
      </c>
      <c r="N568" s="23">
        <v>38640</v>
      </c>
      <c r="O568" s="23">
        <f>Tableau1[[#This Row],[Productivité]]-Tableau1[[#This Row],[ les Charges]]</f>
        <v>1616.260000000002</v>
      </c>
    </row>
    <row r="569" spans="1:15" hidden="1" x14ac:dyDescent="0.25">
      <c r="A569" s="13">
        <v>44408</v>
      </c>
      <c r="B569" t="s">
        <v>83</v>
      </c>
      <c r="C569" t="s">
        <v>41</v>
      </c>
      <c r="D569" t="s">
        <v>27</v>
      </c>
      <c r="E569" s="3">
        <v>88</v>
      </c>
      <c r="F569">
        <v>735</v>
      </c>
      <c r="G569">
        <v>0</v>
      </c>
      <c r="H569">
        <v>0</v>
      </c>
      <c r="I569">
        <v>35</v>
      </c>
      <c r="J569">
        <v>11</v>
      </c>
      <c r="K569" s="23">
        <f>IF(Tableau1[[#This Row],[Quantité (H)]]=0,0,Tableau1[[#This Row],[Gasoil (L)]]/Tableau1[[#This Row],[Quantité (H)]])</f>
        <v>8.3522727272727266</v>
      </c>
      <c r="L569" s="23">
        <v>10.777126099706745</v>
      </c>
      <c r="M569" s="23">
        <v>7960</v>
      </c>
      <c r="N569" s="23">
        <v>19360</v>
      </c>
      <c r="O569" s="23">
        <f>Tableau1[[#This Row],[Productivité]]-Tableau1[[#This Row],[ les Charges]]</f>
        <v>11400</v>
      </c>
    </row>
    <row r="570" spans="1:15" hidden="1" x14ac:dyDescent="0.25">
      <c r="A570" s="13">
        <v>44408</v>
      </c>
      <c r="B570" t="s">
        <v>116</v>
      </c>
      <c r="C570" s="65" t="s">
        <v>41</v>
      </c>
      <c r="D570" t="s">
        <v>130</v>
      </c>
      <c r="E570" s="3">
        <v>132.5</v>
      </c>
      <c r="F570">
        <v>2180</v>
      </c>
      <c r="G570">
        <v>5</v>
      </c>
      <c r="H570" t="s">
        <v>155</v>
      </c>
      <c r="I570" t="s">
        <v>155</v>
      </c>
      <c r="J570">
        <v>4</v>
      </c>
      <c r="K570" s="23">
        <f>IF(Tableau1[[#This Row],[Quantité (H)]]=0,0,Tableau1[[#This Row],[Gasoil (L)]]/Tableau1[[#This Row],[Quantité (H)]])</f>
        <v>16.452830188679247</v>
      </c>
      <c r="L570" s="23">
        <v>21.562809099901088</v>
      </c>
      <c r="M570" s="23">
        <v>21800</v>
      </c>
      <c r="N570" s="23">
        <v>55650</v>
      </c>
      <c r="O570" s="23">
        <f>Tableau1[[#This Row],[Productivité]]-Tableau1[[#This Row],[ les Charges]]</f>
        <v>33850</v>
      </c>
    </row>
    <row r="571" spans="1:15" hidden="1" x14ac:dyDescent="0.25">
      <c r="A571" s="13">
        <v>44408</v>
      </c>
      <c r="B571" t="s">
        <v>159</v>
      </c>
      <c r="C571" s="65" t="s">
        <v>41</v>
      </c>
      <c r="D571" t="s">
        <v>137</v>
      </c>
      <c r="E571" s="3">
        <v>120</v>
      </c>
      <c r="F571">
        <v>1031</v>
      </c>
      <c r="G571">
        <v>25</v>
      </c>
      <c r="H571">
        <v>0</v>
      </c>
      <c r="I571">
        <v>0</v>
      </c>
      <c r="J571">
        <v>10</v>
      </c>
      <c r="K571" s="23">
        <f>IF(Tableau1[[#This Row],[Quantité (H)]]=0,0,Tableau1[[#This Row],[Gasoil (L)]]/Tableau1[[#This Row],[Quantité (H)]])</f>
        <v>8.5916666666666668</v>
      </c>
      <c r="L571" s="23">
        <v>11.455555555555556</v>
      </c>
      <c r="M571" s="23">
        <v>11462.49</v>
      </c>
      <c r="N571" s="23">
        <v>26400</v>
      </c>
      <c r="O571" s="23">
        <f>Tableau1[[#This Row],[Productivité]]-Tableau1[[#This Row],[ les Charges]]</f>
        <v>14937.51</v>
      </c>
    </row>
    <row r="572" spans="1:15" hidden="1" x14ac:dyDescent="0.25">
      <c r="A572" s="13">
        <v>44408</v>
      </c>
      <c r="B572" t="s">
        <v>116</v>
      </c>
      <c r="C572" s="65" t="s">
        <v>41</v>
      </c>
      <c r="D572" t="s">
        <v>123</v>
      </c>
      <c r="E572" s="3">
        <v>128</v>
      </c>
      <c r="F572">
        <v>1132</v>
      </c>
      <c r="G572" t="s">
        <v>157</v>
      </c>
      <c r="H572" t="s">
        <v>155</v>
      </c>
      <c r="I572">
        <v>10</v>
      </c>
      <c r="J572">
        <v>4</v>
      </c>
      <c r="K572" s="23">
        <f>IF(Tableau1[[#This Row],[Quantité (H)]]=0,0,Tableau1[[#This Row],[Gasoil (L)]]/Tableau1[[#This Row],[Quantité (H)]])</f>
        <v>8.84375</v>
      </c>
      <c r="L572" s="23">
        <v>10.089126559714796</v>
      </c>
      <c r="M572" s="23">
        <v>11320</v>
      </c>
      <c r="N572" s="23">
        <v>28160</v>
      </c>
      <c r="O572" s="23">
        <f>Tableau1[[#This Row],[Productivité]]-Tableau1[[#This Row],[ les Charges]]</f>
        <v>16840</v>
      </c>
    </row>
    <row r="573" spans="1:15" hidden="1" x14ac:dyDescent="0.25">
      <c r="A573" s="13">
        <v>44408</v>
      </c>
      <c r="B573" t="s">
        <v>84</v>
      </c>
      <c r="C573" s="65" t="s">
        <v>41</v>
      </c>
      <c r="D573" t="s">
        <v>128</v>
      </c>
      <c r="E573" s="3">
        <v>173</v>
      </c>
      <c r="F573">
        <v>3233</v>
      </c>
      <c r="G573">
        <v>40</v>
      </c>
      <c r="H573" t="s">
        <v>155</v>
      </c>
      <c r="I573">
        <v>65</v>
      </c>
      <c r="J573">
        <v>45</v>
      </c>
      <c r="K573" s="23">
        <f>IF(Tableau1[[#This Row],[Quantité (H)]]=0,0,Tableau1[[#This Row],[Gasoil (L)]]/Tableau1[[#This Row],[Quantité (H)]])</f>
        <v>18.687861271676301</v>
      </c>
      <c r="L573" s="23">
        <v>18.580459770114942</v>
      </c>
      <c r="M573" s="23">
        <v>38685.83</v>
      </c>
      <c r="N573" s="23">
        <v>72660</v>
      </c>
      <c r="O573" s="23">
        <f>Tableau1[[#This Row],[Productivité]]-Tableau1[[#This Row],[ les Charges]]</f>
        <v>33974.17</v>
      </c>
    </row>
    <row r="574" spans="1:15" hidden="1" x14ac:dyDescent="0.25">
      <c r="A574" s="13">
        <v>44408</v>
      </c>
      <c r="B574" t="s">
        <v>84</v>
      </c>
      <c r="C574" s="65" t="s">
        <v>41</v>
      </c>
      <c r="D574" t="s">
        <v>127</v>
      </c>
      <c r="E574" s="3">
        <v>144</v>
      </c>
      <c r="F574">
        <v>2958</v>
      </c>
      <c r="G574">
        <v>30</v>
      </c>
      <c r="H574" t="s">
        <v>155</v>
      </c>
      <c r="I574">
        <v>5</v>
      </c>
      <c r="J574">
        <v>5</v>
      </c>
      <c r="K574" s="23">
        <f>IF(Tableau1[[#This Row],[Quantité (H)]]=0,0,Tableau1[[#This Row],[Gasoil (L)]]/Tableau1[[#This Row],[Quantité (H)]])</f>
        <v>20.541666666666668</v>
      </c>
      <c r="L574" s="23">
        <v>0.41626794258373212</v>
      </c>
      <c r="M574" s="23">
        <v>31963.33</v>
      </c>
      <c r="N574" s="23">
        <v>60480</v>
      </c>
      <c r="O574" s="23">
        <f>Tableau1[[#This Row],[Productivité]]-Tableau1[[#This Row],[ les Charges]]</f>
        <v>28516.67</v>
      </c>
    </row>
    <row r="575" spans="1:15" hidden="1" x14ac:dyDescent="0.25">
      <c r="A575" s="13">
        <v>44408</v>
      </c>
      <c r="B575" t="s">
        <v>84</v>
      </c>
      <c r="C575" s="65" t="s">
        <v>41</v>
      </c>
      <c r="D575" t="s">
        <v>129</v>
      </c>
      <c r="E575" s="65">
        <v>185</v>
      </c>
      <c r="F575">
        <v>2960</v>
      </c>
      <c r="G575">
        <v>25</v>
      </c>
      <c r="H575" t="s">
        <v>155</v>
      </c>
      <c r="I575" t="s">
        <v>155</v>
      </c>
      <c r="J575">
        <v>25</v>
      </c>
      <c r="K575" s="23">
        <f>IF(Tableau1[[#This Row],[Quantité (H)]]=0,0,Tableau1[[#This Row],[Gasoil (L)]]/Tableau1[[#This Row],[Quantité (H)]])</f>
        <v>16</v>
      </c>
      <c r="L575" s="23">
        <v>0</v>
      </c>
      <c r="M575" s="23">
        <v>34964.15</v>
      </c>
      <c r="N575" s="23">
        <v>77700</v>
      </c>
      <c r="O575" s="23">
        <f>Tableau1[[#This Row],[Productivité]]-Tableau1[[#This Row],[ les Charges]]</f>
        <v>42735.85</v>
      </c>
    </row>
    <row r="576" spans="1:15" hidden="1" x14ac:dyDescent="0.25">
      <c r="A576" s="13">
        <v>44408</v>
      </c>
      <c r="B576" t="s">
        <v>160</v>
      </c>
      <c r="C576" s="65" t="s">
        <v>41</v>
      </c>
      <c r="D576" t="s">
        <v>122</v>
      </c>
      <c r="E576" s="65">
        <v>100.5</v>
      </c>
      <c r="F576">
        <v>901</v>
      </c>
      <c r="G576">
        <v>0</v>
      </c>
      <c r="H576">
        <v>0</v>
      </c>
      <c r="I576">
        <v>20</v>
      </c>
      <c r="J576">
        <v>2</v>
      </c>
      <c r="K576" s="23">
        <f>IF(Tableau1[[#This Row],[Quantité (H)]]=0,0,Tableau1[[#This Row],[Gasoil (L)]]/Tableau1[[#This Row],[Quantité (H)]])</f>
        <v>8.9651741293532332</v>
      </c>
      <c r="L576" s="23">
        <v>32.178571428571431</v>
      </c>
      <c r="M576" s="23">
        <v>9780</v>
      </c>
      <c r="N576" s="23">
        <v>22110</v>
      </c>
      <c r="O576" s="23">
        <f>Tableau1[[#This Row],[Productivité]]-Tableau1[[#This Row],[ les Charges]]</f>
        <v>12330</v>
      </c>
    </row>
    <row r="577" spans="1:15" hidden="1" x14ac:dyDescent="0.25">
      <c r="A577" s="13">
        <v>44408</v>
      </c>
      <c r="B577" t="s">
        <v>83</v>
      </c>
      <c r="C577" s="65" t="s">
        <v>86</v>
      </c>
      <c r="D577" t="s">
        <v>58</v>
      </c>
      <c r="E577" s="65">
        <v>198</v>
      </c>
      <c r="F577">
        <v>415</v>
      </c>
      <c r="G577">
        <v>3</v>
      </c>
      <c r="H577">
        <v>0</v>
      </c>
      <c r="I577">
        <v>0</v>
      </c>
      <c r="J577">
        <v>0</v>
      </c>
      <c r="K577" s="23">
        <f>IF(Tableau1[[#This Row],[Quantité (H)]]=0,0,Tableau1[[#This Row],[Gasoil (L)]]/Tableau1[[#This Row],[Quantité (H)]])</f>
        <v>2.095959595959596</v>
      </c>
      <c r="L577" s="23">
        <v>2.2719061018470869E-3</v>
      </c>
      <c r="M577" s="23">
        <v>4270</v>
      </c>
      <c r="N577" s="23">
        <v>12870</v>
      </c>
      <c r="O577" s="23">
        <f>Tableau1[[#This Row],[Productivité]]-Tableau1[[#This Row],[ les Charges]]</f>
        <v>8600</v>
      </c>
    </row>
    <row r="578" spans="1:15" hidden="1" x14ac:dyDescent="0.25">
      <c r="A578" s="13">
        <v>44408</v>
      </c>
      <c r="B578" t="s">
        <v>80</v>
      </c>
      <c r="C578" s="65" t="s">
        <v>86</v>
      </c>
      <c r="D578" t="s">
        <v>59</v>
      </c>
      <c r="E578" s="65">
        <v>53</v>
      </c>
      <c r="F578">
        <v>193.34</v>
      </c>
      <c r="G578">
        <v>0</v>
      </c>
      <c r="H578">
        <v>0</v>
      </c>
      <c r="I578">
        <v>0</v>
      </c>
      <c r="J578">
        <v>0</v>
      </c>
      <c r="K578" s="23">
        <f>IF(Tableau1[[#This Row],[Quantité (H)]]=0,0,Tableau1[[#This Row],[Gasoil (L)]]/Tableau1[[#This Row],[Quantité (H)]])</f>
        <v>3.6479245283018868</v>
      </c>
      <c r="L578" s="23">
        <v>0</v>
      </c>
      <c r="M578" s="23">
        <v>3804.1</v>
      </c>
      <c r="N578" s="23">
        <v>9165</v>
      </c>
      <c r="O578" s="23">
        <f>Tableau1[[#This Row],[Productivité]]-Tableau1[[#This Row],[ les Charges]]</f>
        <v>5360.9</v>
      </c>
    </row>
    <row r="579" spans="1:15" hidden="1" x14ac:dyDescent="0.25">
      <c r="A579" s="13">
        <v>44408</v>
      </c>
      <c r="B579" t="s">
        <v>116</v>
      </c>
      <c r="C579" s="65" t="s">
        <v>86</v>
      </c>
      <c r="D579" t="s">
        <v>60</v>
      </c>
      <c r="E579" s="3">
        <v>184</v>
      </c>
      <c r="F579">
        <v>401</v>
      </c>
      <c r="G579" t="s">
        <v>157</v>
      </c>
      <c r="H579" t="s">
        <v>155</v>
      </c>
      <c r="I579" t="s">
        <v>155</v>
      </c>
      <c r="J579" t="s">
        <v>157</v>
      </c>
      <c r="K579" s="23">
        <f>IF(Tableau1[[#This Row],[Quantité (H)]]=0,0,Tableau1[[#This Row],[Gasoil (L)]]/Tableau1[[#This Row],[Quantité (H)]])</f>
        <v>2.1793478260869565</v>
      </c>
      <c r="L579" s="23">
        <v>0</v>
      </c>
      <c r="M579" s="23">
        <v>4010</v>
      </c>
      <c r="O579" s="23">
        <f>Tableau1[[#This Row],[Productivité]]-Tableau1[[#This Row],[ les Charges]]</f>
        <v>-4010</v>
      </c>
    </row>
    <row r="580" spans="1:15" hidden="1" x14ac:dyDescent="0.25">
      <c r="A580" s="13">
        <v>44408</v>
      </c>
      <c r="B580" t="s">
        <v>84</v>
      </c>
      <c r="C580" s="65" t="s">
        <v>86</v>
      </c>
      <c r="D580" t="s">
        <v>61</v>
      </c>
      <c r="E580" s="3">
        <v>93</v>
      </c>
      <c r="F580">
        <v>138</v>
      </c>
      <c r="G580" t="s">
        <v>157</v>
      </c>
      <c r="H580" t="s">
        <v>155</v>
      </c>
      <c r="I580" t="s">
        <v>155</v>
      </c>
      <c r="J580" t="s">
        <v>157</v>
      </c>
      <c r="K580" s="23">
        <f>IF(Tableau1[[#This Row],[Quantité (H)]]=0,0,Tableau1[[#This Row],[Gasoil (L)]]/Tableau1[[#This Row],[Quantité (H)]])</f>
        <v>1.4838709677419355</v>
      </c>
      <c r="L580" s="23">
        <v>12.969924812030101</v>
      </c>
      <c r="M580" s="23">
        <v>5713.32</v>
      </c>
      <c r="N580" s="23">
        <v>910</v>
      </c>
      <c r="O580" s="23">
        <f>Tableau1[[#This Row],[Productivité]]-Tableau1[[#This Row],[ les Charges]]</f>
        <v>-4803.32</v>
      </c>
    </row>
    <row r="581" spans="1:15" hidden="1" x14ac:dyDescent="0.25">
      <c r="A581" s="13">
        <v>44408</v>
      </c>
      <c r="B581" t="s">
        <v>80</v>
      </c>
      <c r="C581" s="65" t="s">
        <v>92</v>
      </c>
      <c r="D581" t="s">
        <v>133</v>
      </c>
      <c r="E581" s="65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 s="23">
        <f>IF(Tableau1[[#This Row],[Quantité (H)]]=0,0,Tableau1[[#This Row],[Gasoil (L)]]/Tableau1[[#This Row],[Quantité (H)]])</f>
        <v>0</v>
      </c>
      <c r="L581" s="23">
        <v>0</v>
      </c>
      <c r="M581" s="23">
        <v>14083.2</v>
      </c>
      <c r="O581" s="23">
        <f>Tableau1[[#This Row],[Productivité]]-Tableau1[[#This Row],[ les Charges]]</f>
        <v>-14083.2</v>
      </c>
    </row>
    <row r="582" spans="1:15" hidden="1" x14ac:dyDescent="0.25">
      <c r="A582" s="13">
        <v>44408</v>
      </c>
      <c r="B582" t="s">
        <v>83</v>
      </c>
      <c r="C582" s="65" t="s">
        <v>43</v>
      </c>
      <c r="D582" t="s">
        <v>33</v>
      </c>
      <c r="E582">
        <v>69</v>
      </c>
      <c r="F582">
        <v>311</v>
      </c>
      <c r="G582">
        <v>3</v>
      </c>
      <c r="H582">
        <v>0</v>
      </c>
      <c r="I582">
        <v>0</v>
      </c>
      <c r="J582">
        <v>7</v>
      </c>
      <c r="K582" s="23">
        <f>IF(Tableau1[[#This Row],[Quantité (H)]]=0,0,Tableau1[[#This Row],[Gasoil (L)]]/Tableau1[[#This Row],[Quantité (H)]])</f>
        <v>4.5072463768115938</v>
      </c>
      <c r="L582" s="23">
        <v>0</v>
      </c>
      <c r="M582" s="23">
        <v>3475</v>
      </c>
      <c r="N582" s="23">
        <v>12420</v>
      </c>
      <c r="O582" s="23">
        <f>Tableau1[[#This Row],[Productivité]]-Tableau1[[#This Row],[ les Charges]]</f>
        <v>8945</v>
      </c>
    </row>
    <row r="583" spans="1:15" hidden="1" x14ac:dyDescent="0.25">
      <c r="A583" s="13">
        <v>44408</v>
      </c>
      <c r="B583" t="s">
        <v>80</v>
      </c>
      <c r="C583" s="65" t="s">
        <v>43</v>
      </c>
      <c r="D583" t="s">
        <v>34</v>
      </c>
      <c r="E583">
        <v>44</v>
      </c>
      <c r="F583">
        <v>366</v>
      </c>
      <c r="G583">
        <v>10</v>
      </c>
      <c r="H583">
        <v>0</v>
      </c>
      <c r="I583">
        <v>45</v>
      </c>
      <c r="J583">
        <v>0</v>
      </c>
      <c r="K583" s="23">
        <f>IF(Tableau1[[#This Row],[Quantité (H)]]=0,0,Tableau1[[#This Row],[Gasoil (L)]]/Tableau1[[#This Row],[Quantité (H)]])</f>
        <v>8.3181818181818183</v>
      </c>
      <c r="L583" s="23">
        <v>0</v>
      </c>
      <c r="M583" s="23">
        <v>7187.55</v>
      </c>
      <c r="N583" s="23">
        <v>9540</v>
      </c>
      <c r="O583" s="23">
        <f>Tableau1[[#This Row],[Productivité]]-Tableau1[[#This Row],[ les Charges]]</f>
        <v>2352.4499999999998</v>
      </c>
    </row>
    <row r="584" spans="1:15" hidden="1" x14ac:dyDescent="0.25">
      <c r="A584" s="13">
        <v>44408</v>
      </c>
      <c r="B584" t="s">
        <v>116</v>
      </c>
      <c r="C584" s="65" t="s">
        <v>43</v>
      </c>
      <c r="D584" t="s">
        <v>35</v>
      </c>
      <c r="E584" s="65">
        <v>147</v>
      </c>
      <c r="F584">
        <v>520</v>
      </c>
      <c r="G584">
        <v>5</v>
      </c>
      <c r="H584" t="s">
        <v>155</v>
      </c>
      <c r="I584">
        <v>15</v>
      </c>
      <c r="J584">
        <v>3</v>
      </c>
      <c r="K584" s="23">
        <f>IF(Tableau1[[#This Row],[Quantité (H)]]=0,0,Tableau1[[#This Row],[Gasoil (L)]]/Tableau1[[#This Row],[Quantité (H)]])</f>
        <v>3.5374149659863945</v>
      </c>
      <c r="L584" s="23">
        <v>0</v>
      </c>
      <c r="M584" s="23">
        <v>5200</v>
      </c>
      <c r="N584" s="23">
        <v>26460</v>
      </c>
      <c r="O584" s="23">
        <f>Tableau1[[#This Row],[Productivité]]-Tableau1[[#This Row],[ les Charges]]</f>
        <v>21260</v>
      </c>
    </row>
    <row r="585" spans="1:15" hidden="1" x14ac:dyDescent="0.25">
      <c r="A585" s="13">
        <v>44408</v>
      </c>
      <c r="B585" t="s">
        <v>84</v>
      </c>
      <c r="C585" s="65" t="s">
        <v>87</v>
      </c>
      <c r="D585" t="s">
        <v>63</v>
      </c>
      <c r="E585">
        <v>123</v>
      </c>
      <c r="F585">
        <v>196</v>
      </c>
      <c r="G585" t="s">
        <v>157</v>
      </c>
      <c r="H585" t="s">
        <v>155</v>
      </c>
      <c r="I585" t="s">
        <v>155</v>
      </c>
      <c r="J585" t="s">
        <v>157</v>
      </c>
      <c r="K585" s="23">
        <f>IF(Tableau1[[#This Row],[Quantité (H)]]=0,0,Tableau1[[#This Row],[Gasoil (L)]]/Tableau1[[#This Row],[Quantité (H)]])</f>
        <v>1.5934959349593496</v>
      </c>
      <c r="L585" s="23">
        <v>0</v>
      </c>
      <c r="M585" s="23">
        <v>1960</v>
      </c>
      <c r="N585" s="23">
        <v>7995</v>
      </c>
      <c r="O585" s="23">
        <f>Tableau1[[#This Row],[Productivité]]-Tableau1[[#This Row],[ les Charges]]</f>
        <v>6035</v>
      </c>
    </row>
    <row r="586" spans="1:15" hidden="1" x14ac:dyDescent="0.25">
      <c r="A586" s="13">
        <v>44408</v>
      </c>
      <c r="B586" t="s">
        <v>84</v>
      </c>
      <c r="C586" s="65" t="s">
        <v>87</v>
      </c>
      <c r="D586" t="s">
        <v>105</v>
      </c>
      <c r="E586" s="65">
        <v>119</v>
      </c>
      <c r="F586">
        <v>297</v>
      </c>
      <c r="G586">
        <v>5</v>
      </c>
      <c r="H586" t="s">
        <v>155</v>
      </c>
      <c r="I586" t="s">
        <v>155</v>
      </c>
      <c r="J586" t="s">
        <v>157</v>
      </c>
      <c r="K586" s="23">
        <f>IF(Tableau1[[#This Row],[Quantité (H)]]=0,0,Tableau1[[#This Row],[Gasoil (L)]]/Tableau1[[#This Row],[Quantité (H)]])</f>
        <v>2.4957983193277311</v>
      </c>
      <c r="L586" s="23">
        <v>0</v>
      </c>
      <c r="M586" s="23">
        <v>5127.6499999999996</v>
      </c>
      <c r="N586" s="23">
        <v>7735</v>
      </c>
      <c r="O586" s="23">
        <f>Tableau1[[#This Row],[Productivité]]-Tableau1[[#This Row],[ les Charges]]</f>
        <v>2607.3500000000004</v>
      </c>
    </row>
    <row r="587" spans="1:15" hidden="1" x14ac:dyDescent="0.25">
      <c r="A587" s="13">
        <v>44408</v>
      </c>
      <c r="B587" t="s">
        <v>84</v>
      </c>
      <c r="C587" s="65" t="s">
        <v>88</v>
      </c>
      <c r="D587" t="s">
        <v>64</v>
      </c>
      <c r="E587" s="3">
        <v>10</v>
      </c>
      <c r="F587">
        <v>115</v>
      </c>
      <c r="G587" t="s">
        <v>157</v>
      </c>
      <c r="H587" t="s">
        <v>155</v>
      </c>
      <c r="I587" t="s">
        <v>155</v>
      </c>
      <c r="J587" t="s">
        <v>157</v>
      </c>
      <c r="K587" s="23">
        <f>IF(Tableau1[[#This Row],[Quantité (H)]]=0,0,Tableau1[[#This Row],[Gasoil (L)]]/Tableau1[[#This Row],[Quantité (H)]])</f>
        <v>11.5</v>
      </c>
      <c r="L587" s="23">
        <v>0</v>
      </c>
      <c r="M587" s="23">
        <v>1150</v>
      </c>
      <c r="N587" s="23">
        <v>8000</v>
      </c>
      <c r="O587" s="23">
        <f>Tableau1[[#This Row],[Productivité]]-Tableau1[[#This Row],[ les Charges]]</f>
        <v>6850</v>
      </c>
    </row>
    <row r="588" spans="1:15" hidden="1" x14ac:dyDescent="0.25">
      <c r="A588" s="13">
        <v>44408</v>
      </c>
      <c r="B588" t="s">
        <v>83</v>
      </c>
      <c r="C588" s="65" t="s">
        <v>88</v>
      </c>
      <c r="D588" t="s">
        <v>65</v>
      </c>
      <c r="E588" s="65">
        <v>6</v>
      </c>
      <c r="F588">
        <v>255</v>
      </c>
      <c r="G588">
        <v>0</v>
      </c>
      <c r="H588">
        <v>0</v>
      </c>
      <c r="I588">
        <v>0</v>
      </c>
      <c r="J588">
        <v>0</v>
      </c>
      <c r="K588" s="23">
        <f>IF(Tableau1[[#This Row],[Quantité (H)]]=0,0,Tableau1[[#This Row],[Gasoil (L)]]/Tableau1[[#This Row],[Quantité (H)]])</f>
        <v>42.5</v>
      </c>
      <c r="L588" s="23">
        <v>0</v>
      </c>
      <c r="M588" s="23">
        <v>2550</v>
      </c>
      <c r="N588" s="23">
        <v>10400</v>
      </c>
      <c r="O588" s="23">
        <f>Tableau1[[#This Row],[Productivité]]-Tableau1[[#This Row],[ les Charges]]</f>
        <v>7850</v>
      </c>
    </row>
    <row r="589" spans="1:15" hidden="1" x14ac:dyDescent="0.25">
      <c r="A589" s="13">
        <v>44408</v>
      </c>
      <c r="B589" t="s">
        <v>83</v>
      </c>
      <c r="C589" s="65" t="s">
        <v>88</v>
      </c>
      <c r="D589" t="s">
        <v>66</v>
      </c>
      <c r="E589" s="3">
        <v>2</v>
      </c>
      <c r="F589">
        <v>83.06</v>
      </c>
      <c r="G589">
        <v>0</v>
      </c>
      <c r="H589">
        <v>0</v>
      </c>
      <c r="I589">
        <v>0</v>
      </c>
      <c r="J589">
        <v>0</v>
      </c>
      <c r="K589" s="23">
        <f>IF(Tableau1[[#This Row],[Quantité (H)]]=0,0,Tableau1[[#This Row],[Gasoil (L)]]/Tableau1[[#This Row],[Quantité (H)]])</f>
        <v>41.53</v>
      </c>
      <c r="L589" s="23">
        <v>0</v>
      </c>
      <c r="M589" s="23">
        <v>1061</v>
      </c>
      <c r="N589" s="23">
        <v>8000</v>
      </c>
      <c r="O589" s="23">
        <f>Tableau1[[#This Row],[Productivité]]-Tableau1[[#This Row],[ les Charges]]</f>
        <v>6939</v>
      </c>
    </row>
    <row r="590" spans="1:15" hidden="1" x14ac:dyDescent="0.25">
      <c r="A590" s="13">
        <v>44408</v>
      </c>
      <c r="B590" t="s">
        <v>83</v>
      </c>
      <c r="C590" s="65" t="s">
        <v>88</v>
      </c>
      <c r="D590" t="s">
        <v>67</v>
      </c>
      <c r="E590" s="65">
        <v>171</v>
      </c>
      <c r="F590">
        <v>92</v>
      </c>
      <c r="G590">
        <v>0</v>
      </c>
      <c r="H590">
        <v>0</v>
      </c>
      <c r="I590">
        <v>0</v>
      </c>
      <c r="J590">
        <v>0</v>
      </c>
      <c r="K590" s="23">
        <f>IF(Tableau1[[#This Row],[Quantité (H)]]=0,0,Tableau1[[#This Row],[Gasoil (L)]]/Tableau1[[#This Row],[Quantité (H)]])</f>
        <v>0.53801169590643272</v>
      </c>
      <c r="L590" s="23">
        <v>0</v>
      </c>
      <c r="M590" s="23">
        <v>690</v>
      </c>
      <c r="N590" s="23">
        <v>7800</v>
      </c>
      <c r="O590" s="23">
        <f>Tableau1[[#This Row],[Productivité]]-Tableau1[[#This Row],[ les Charges]]</f>
        <v>7110</v>
      </c>
    </row>
    <row r="591" spans="1:15" hidden="1" x14ac:dyDescent="0.25">
      <c r="A591" s="13">
        <v>44408</v>
      </c>
      <c r="B591" t="s">
        <v>161</v>
      </c>
      <c r="C591" s="65" t="s">
        <v>88</v>
      </c>
      <c r="D591" t="s">
        <v>68</v>
      </c>
      <c r="E591" s="65"/>
      <c r="K591" s="23">
        <f>IF(Tableau1[[#This Row],[Quantité (H)]]=0,0,Tableau1[[#This Row],[Gasoil (L)]]/Tableau1[[#This Row],[Quantité (H)]])</f>
        <v>0</v>
      </c>
      <c r="N591" s="23">
        <v>6000</v>
      </c>
      <c r="O591" s="23">
        <f>Tableau1[[#This Row],[Productivité]]-Tableau1[[#This Row],[ les Charges]]</f>
        <v>6000</v>
      </c>
    </row>
    <row r="592" spans="1:15" hidden="1" x14ac:dyDescent="0.25">
      <c r="A592" s="13">
        <v>44408</v>
      </c>
      <c r="B592" t="s">
        <v>80</v>
      </c>
      <c r="C592" s="65" t="s">
        <v>88</v>
      </c>
      <c r="D592" t="s">
        <v>69</v>
      </c>
      <c r="E592">
        <v>104</v>
      </c>
      <c r="F592">
        <v>155</v>
      </c>
      <c r="G592">
        <v>0</v>
      </c>
      <c r="H592">
        <v>0</v>
      </c>
      <c r="I592">
        <v>0</v>
      </c>
      <c r="J592">
        <v>0</v>
      </c>
      <c r="K592" s="23">
        <f>IF(Tableau1[[#This Row],[Quantité (H)]]=0,0,Tableau1[[#This Row],[Gasoil (L)]]/Tableau1[[#This Row],[Quantité (H)]])</f>
        <v>1.4903846153846154</v>
      </c>
      <c r="L592" s="23">
        <v>7.1460176991150002</v>
      </c>
      <c r="M592" s="23">
        <v>2479.4</v>
      </c>
      <c r="N592" s="23">
        <v>3432</v>
      </c>
      <c r="O592" s="23">
        <f>Tableau1[[#This Row],[Productivité]]-Tableau1[[#This Row],[ les Charges]]</f>
        <v>952.59999999999991</v>
      </c>
    </row>
    <row r="593" spans="1:15" hidden="1" x14ac:dyDescent="0.25">
      <c r="A593" s="13">
        <v>44408</v>
      </c>
      <c r="B593" t="s">
        <v>84</v>
      </c>
      <c r="C593" s="65" t="s">
        <v>88</v>
      </c>
      <c r="D593" t="s">
        <v>70</v>
      </c>
      <c r="E593" s="65">
        <v>35</v>
      </c>
      <c r="F593">
        <v>185</v>
      </c>
      <c r="G593" t="s">
        <v>157</v>
      </c>
      <c r="H593" t="s">
        <v>155</v>
      </c>
      <c r="I593" t="s">
        <v>155</v>
      </c>
      <c r="J593" t="s">
        <v>157</v>
      </c>
      <c r="K593" s="23">
        <f>IF(Tableau1[[#This Row],[Quantité (H)]]=0,0,Tableau1[[#This Row],[Gasoil (L)]]/Tableau1[[#This Row],[Quantité (H)]])</f>
        <v>5.2857142857142856</v>
      </c>
      <c r="L593" s="23">
        <v>5.4749926013613504</v>
      </c>
      <c r="M593" s="23">
        <v>1850</v>
      </c>
      <c r="N593" s="23">
        <v>6600</v>
      </c>
      <c r="O593" s="23">
        <f>Tableau1[[#This Row],[Productivité]]-Tableau1[[#This Row],[ les Charges]]</f>
        <v>4750</v>
      </c>
    </row>
    <row r="594" spans="1:15" hidden="1" x14ac:dyDescent="0.25">
      <c r="A594" s="13">
        <v>44408</v>
      </c>
      <c r="B594" t="s">
        <v>83</v>
      </c>
      <c r="C594" s="65" t="s">
        <v>88</v>
      </c>
      <c r="D594" t="s">
        <v>71</v>
      </c>
      <c r="E594" s="65">
        <v>155</v>
      </c>
      <c r="F594">
        <v>328</v>
      </c>
      <c r="G594">
        <v>0</v>
      </c>
      <c r="H594">
        <v>0</v>
      </c>
      <c r="I594">
        <v>0</v>
      </c>
      <c r="J594">
        <v>0</v>
      </c>
      <c r="K594" s="23">
        <f>IF(Tableau1[[#This Row],[Quantité (H)]]=0,0,Tableau1[[#This Row],[Gasoil (L)]]/Tableau1[[#This Row],[Quantité (H)]])</f>
        <v>2.1161290322580646</v>
      </c>
      <c r="L594" s="23">
        <v>0</v>
      </c>
      <c r="M594" s="23">
        <v>3280</v>
      </c>
      <c r="N594" s="23">
        <v>6600</v>
      </c>
      <c r="O594" s="23">
        <f>Tableau1[[#This Row],[Productivité]]-Tableau1[[#This Row],[ les Charges]]</f>
        <v>3320</v>
      </c>
    </row>
    <row r="595" spans="1:15" hidden="1" x14ac:dyDescent="0.25">
      <c r="A595" s="13">
        <v>44408</v>
      </c>
      <c r="B595" t="s">
        <v>84</v>
      </c>
      <c r="C595" s="65" t="s">
        <v>88</v>
      </c>
      <c r="D595" t="s">
        <v>72</v>
      </c>
      <c r="E595">
        <v>9</v>
      </c>
      <c r="F595">
        <v>56</v>
      </c>
      <c r="G595" t="s">
        <v>157</v>
      </c>
      <c r="H595" t="s">
        <v>155</v>
      </c>
      <c r="I595" t="s">
        <v>155</v>
      </c>
      <c r="J595" t="s">
        <v>157</v>
      </c>
      <c r="K595" s="23">
        <f>IF(Tableau1[[#This Row],[Quantité (H)]]=0,0,Tableau1[[#This Row],[Gasoil (L)]]/Tableau1[[#This Row],[Quantité (H)]])</f>
        <v>6.2222222222222223</v>
      </c>
      <c r="L595" s="23">
        <v>0</v>
      </c>
      <c r="M595" s="23">
        <v>2578.2600000000002</v>
      </c>
      <c r="N595" s="23">
        <v>6000</v>
      </c>
      <c r="O595" s="23">
        <f>Tableau1[[#This Row],[Productivité]]-Tableau1[[#This Row],[ les Charges]]</f>
        <v>3421.74</v>
      </c>
    </row>
    <row r="596" spans="1:15" hidden="1" x14ac:dyDescent="0.25">
      <c r="A596" s="13">
        <v>44408</v>
      </c>
      <c r="B596" t="s">
        <v>159</v>
      </c>
      <c r="C596" s="65" t="s">
        <v>88</v>
      </c>
      <c r="D596" t="s">
        <v>73</v>
      </c>
      <c r="E596" s="65">
        <v>79</v>
      </c>
      <c r="F596">
        <v>222</v>
      </c>
      <c r="G596">
        <v>0</v>
      </c>
      <c r="H596">
        <v>0</v>
      </c>
      <c r="I596">
        <v>0</v>
      </c>
      <c r="J596">
        <v>0</v>
      </c>
      <c r="K596" s="23">
        <f>IF(Tableau1[[#This Row],[Quantité (H)]]=0,0,Tableau1[[#This Row],[Gasoil (L)]]/Tableau1[[#This Row],[Quantité (H)]])</f>
        <v>2.8101265822784809</v>
      </c>
      <c r="L596" s="23">
        <v>0</v>
      </c>
      <c r="M596" s="23">
        <v>1510</v>
      </c>
      <c r="N596" s="23">
        <v>2532.3000000000002</v>
      </c>
      <c r="O596" s="23">
        <f>Tableau1[[#This Row],[Productivité]]-Tableau1[[#This Row],[ les Charges]]</f>
        <v>1022.3000000000002</v>
      </c>
    </row>
    <row r="597" spans="1:15" hidden="1" x14ac:dyDescent="0.25">
      <c r="A597" s="13">
        <v>44408</v>
      </c>
      <c r="B597" t="s">
        <v>83</v>
      </c>
      <c r="C597" t="s">
        <v>88</v>
      </c>
      <c r="D597" t="s">
        <v>74</v>
      </c>
      <c r="E597" s="65">
        <v>150</v>
      </c>
      <c r="F597">
        <v>169.89</v>
      </c>
      <c r="G597">
        <v>0</v>
      </c>
      <c r="H597">
        <v>0</v>
      </c>
      <c r="I597">
        <v>0</v>
      </c>
      <c r="J597">
        <v>0</v>
      </c>
      <c r="K597" s="23">
        <f>IF(Tableau1[[#This Row],[Quantité (H)]]=0,0,Tableau1[[#This Row],[Gasoil (L)]]/Tableau1[[#This Row],[Quantité (H)]])</f>
        <v>1.1325999999999998</v>
      </c>
      <c r="L597" s="23">
        <v>8.9746434231378807</v>
      </c>
      <c r="M597" s="23">
        <v>1699</v>
      </c>
      <c r="N597" s="23">
        <v>7800</v>
      </c>
      <c r="O597" s="23">
        <f>Tableau1[[#This Row],[Productivité]]-Tableau1[[#This Row],[ les Charges]]</f>
        <v>6101</v>
      </c>
    </row>
    <row r="598" spans="1:15" hidden="1" x14ac:dyDescent="0.25">
      <c r="A598" s="13">
        <v>44408</v>
      </c>
      <c r="B598" t="s">
        <v>84</v>
      </c>
      <c r="C598" s="65" t="s">
        <v>88</v>
      </c>
      <c r="D598" t="s">
        <v>75</v>
      </c>
      <c r="E598" s="65">
        <v>177</v>
      </c>
      <c r="F598">
        <v>221</v>
      </c>
      <c r="G598" t="s">
        <v>157</v>
      </c>
      <c r="H598" t="s">
        <v>155</v>
      </c>
      <c r="I598" t="s">
        <v>155</v>
      </c>
      <c r="J598" t="s">
        <v>157</v>
      </c>
      <c r="K598" s="23">
        <f>IF(Tableau1[[#This Row],[Quantité (H)]]=0,0,Tableau1[[#This Row],[Gasoil (L)]]/Tableau1[[#This Row],[Quantité (H)]])</f>
        <v>1.2485875706214689</v>
      </c>
      <c r="L598" s="23">
        <v>5.8589607635206802</v>
      </c>
      <c r="M598" s="23">
        <v>2210</v>
      </c>
      <c r="N598" s="23">
        <v>13530</v>
      </c>
      <c r="O598" s="23">
        <f>Tableau1[[#This Row],[Productivité]]-Tableau1[[#This Row],[ les Charges]]</f>
        <v>11320</v>
      </c>
    </row>
    <row r="599" spans="1:15" hidden="1" x14ac:dyDescent="0.25">
      <c r="A599" s="13">
        <v>44408</v>
      </c>
      <c r="B599" t="s">
        <v>80</v>
      </c>
      <c r="C599" s="65" t="s">
        <v>88</v>
      </c>
      <c r="D599" t="s">
        <v>76</v>
      </c>
      <c r="E599" s="65">
        <v>112</v>
      </c>
      <c r="F599">
        <v>140</v>
      </c>
      <c r="G599">
        <v>0</v>
      </c>
      <c r="H599">
        <v>0</v>
      </c>
      <c r="I599">
        <v>0</v>
      </c>
      <c r="J599">
        <v>0</v>
      </c>
      <c r="K599" s="23">
        <f>IF(Tableau1[[#This Row],[Quantité (H)]]=0,0,Tableau1[[#This Row],[Gasoil (L)]]/Tableau1[[#This Row],[Quantité (H)]])</f>
        <v>1.25</v>
      </c>
      <c r="L599" s="23">
        <v>6.7210753720595298</v>
      </c>
      <c r="M599" s="23">
        <v>1882.7</v>
      </c>
      <c r="N599" s="23">
        <v>6600</v>
      </c>
      <c r="O599" s="23">
        <f>Tableau1[[#This Row],[Productivité]]-Tableau1[[#This Row],[ les Charges]]</f>
        <v>4717.3</v>
      </c>
    </row>
    <row r="600" spans="1:15" hidden="1" x14ac:dyDescent="0.25">
      <c r="A600" s="13">
        <v>44408</v>
      </c>
      <c r="B600" t="s">
        <v>84</v>
      </c>
      <c r="C600" s="65" t="s">
        <v>88</v>
      </c>
      <c r="D600" t="s">
        <v>77</v>
      </c>
      <c r="E600" s="65">
        <v>79</v>
      </c>
      <c r="F600">
        <v>59</v>
      </c>
      <c r="K600" s="23">
        <f>IF(Tableau1[[#This Row],[Quantité (H)]]=0,0,Tableau1[[#This Row],[Gasoil (L)]]/Tableau1[[#This Row],[Quantité (H)]])</f>
        <v>0.74683544303797467</v>
      </c>
      <c r="L600" s="23">
        <v>0</v>
      </c>
      <c r="M600" s="23">
        <v>590</v>
      </c>
      <c r="N600" s="23">
        <v>2623.8</v>
      </c>
      <c r="O600" s="23">
        <f>Tableau1[[#This Row],[Productivité]]-Tableau1[[#This Row],[ les Charges]]</f>
        <v>2033.8000000000002</v>
      </c>
    </row>
    <row r="601" spans="1:15" hidden="1" x14ac:dyDescent="0.25">
      <c r="A601" s="13">
        <v>44408</v>
      </c>
      <c r="B601" t="s">
        <v>116</v>
      </c>
      <c r="C601" s="65" t="s">
        <v>88</v>
      </c>
      <c r="D601" t="s">
        <v>78</v>
      </c>
      <c r="E601" s="65">
        <v>157</v>
      </c>
      <c r="F601">
        <v>276</v>
      </c>
      <c r="G601" t="s">
        <v>157</v>
      </c>
      <c r="H601" t="s">
        <v>155</v>
      </c>
      <c r="I601" t="s">
        <v>155</v>
      </c>
      <c r="J601" t="s">
        <v>157</v>
      </c>
      <c r="K601" s="23">
        <f>IF(Tableau1[[#This Row],[Quantité (H)]]=0,0,Tableau1[[#This Row],[Gasoil (L)]]/Tableau1[[#This Row],[Quantité (H)]])</f>
        <v>1.7579617834394905</v>
      </c>
      <c r="L601" s="23">
        <v>5.1035502958579899</v>
      </c>
      <c r="M601" s="23">
        <v>2760</v>
      </c>
      <c r="N601" s="23">
        <v>7800</v>
      </c>
      <c r="O601" s="23">
        <f>Tableau1[[#This Row],[Productivité]]-Tableau1[[#This Row],[ les Charges]]</f>
        <v>5040</v>
      </c>
    </row>
    <row r="602" spans="1:15" hidden="1" x14ac:dyDescent="0.25">
      <c r="A602" s="13">
        <v>44408</v>
      </c>
      <c r="B602" t="s">
        <v>80</v>
      </c>
      <c r="C602" s="65" t="s">
        <v>88</v>
      </c>
      <c r="D602" t="s">
        <v>132</v>
      </c>
      <c r="E602" s="65">
        <v>0</v>
      </c>
      <c r="F602">
        <v>42</v>
      </c>
      <c r="G602">
        <v>0</v>
      </c>
      <c r="H602">
        <v>0</v>
      </c>
      <c r="I602">
        <v>0</v>
      </c>
      <c r="J602">
        <v>0</v>
      </c>
      <c r="K602" s="23">
        <f>IF(Tableau1[[#This Row],[Quantité (H)]]=0,0,Tableau1[[#This Row],[Gasoil (L)]]/Tableau1[[#This Row],[Quantité (H)]])</f>
        <v>0</v>
      </c>
      <c r="L602" s="23">
        <v>0</v>
      </c>
      <c r="M602" s="23">
        <v>46838.8</v>
      </c>
      <c r="N602" s="23">
        <v>6600</v>
      </c>
      <c r="O602" s="23">
        <f>Tableau1[[#This Row],[Productivité]]-Tableau1[[#This Row],[ les Charges]]</f>
        <v>-40238.800000000003</v>
      </c>
    </row>
    <row r="603" spans="1:15" hidden="1" x14ac:dyDescent="0.25">
      <c r="A603" s="13">
        <v>44439</v>
      </c>
      <c r="B603" t="s">
        <v>160</v>
      </c>
      <c r="C603" s="65" t="s">
        <v>40</v>
      </c>
      <c r="D603" t="s">
        <v>17</v>
      </c>
      <c r="E603" s="65">
        <v>4</v>
      </c>
      <c r="F603">
        <v>0</v>
      </c>
      <c r="G603">
        <v>0</v>
      </c>
      <c r="H603">
        <v>0</v>
      </c>
      <c r="I603">
        <v>0</v>
      </c>
      <c r="J603">
        <v>0</v>
      </c>
      <c r="K603" s="23">
        <f>IF(Tableau1[[#This Row],[Quantité (H)]]=0,0,Tableau1[[#This Row],[Gasoil (L)]]/Tableau1[[#This Row],[Quantité (H)]])</f>
        <v>0</v>
      </c>
      <c r="M603" s="23">
        <v>11420</v>
      </c>
      <c r="N603" s="23">
        <v>18600</v>
      </c>
      <c r="O603" s="23">
        <f>Tableau1[[#This Row],[Productivité]]-Tableau1[[#This Row],[ les Charges]]</f>
        <v>7180</v>
      </c>
    </row>
    <row r="604" spans="1:15" hidden="1" x14ac:dyDescent="0.25">
      <c r="A604" s="13">
        <v>44439</v>
      </c>
      <c r="B604" t="s">
        <v>83</v>
      </c>
      <c r="C604" s="65" t="s">
        <v>40</v>
      </c>
      <c r="D604" t="s">
        <v>18</v>
      </c>
      <c r="E604" s="65">
        <v>80</v>
      </c>
      <c r="F604">
        <v>287</v>
      </c>
      <c r="G604">
        <v>1</v>
      </c>
      <c r="H604">
        <v>0</v>
      </c>
      <c r="I604">
        <v>1</v>
      </c>
      <c r="J604">
        <v>0</v>
      </c>
      <c r="K604" s="23">
        <f>IF(Tableau1[[#This Row],[Quantité (H)]]=0,0,Tableau1[[#This Row],[Gasoil (L)]]/Tableau1[[#This Row],[Quantité (H)]])</f>
        <v>3.5874999999999999</v>
      </c>
      <c r="M604" s="23">
        <v>2910</v>
      </c>
      <c r="N604" s="23">
        <v>24000</v>
      </c>
      <c r="O604" s="23">
        <f>Tableau1[[#This Row],[Productivité]]-Tableau1[[#This Row],[ les Charges]]</f>
        <v>21090</v>
      </c>
    </row>
    <row r="605" spans="1:15" hidden="1" x14ac:dyDescent="0.25">
      <c r="A605" s="13">
        <v>44439</v>
      </c>
      <c r="B605" t="s">
        <v>116</v>
      </c>
      <c r="C605" s="65" t="s">
        <v>40</v>
      </c>
      <c r="D605" t="s">
        <v>19</v>
      </c>
      <c r="E605" s="65">
        <v>69</v>
      </c>
      <c r="F605">
        <v>758</v>
      </c>
      <c r="G605">
        <v>0</v>
      </c>
      <c r="H605">
        <v>0</v>
      </c>
      <c r="I605">
        <v>0</v>
      </c>
      <c r="J605">
        <v>0</v>
      </c>
      <c r="K605" s="23">
        <f>IF(Tableau1[[#This Row],[Quantité (H)]]=0,0,Tableau1[[#This Row],[Gasoil (L)]]/Tableau1[[#This Row],[Quantité (H)]])</f>
        <v>10.985507246376812</v>
      </c>
      <c r="M605" s="23">
        <v>8105</v>
      </c>
      <c r="N605" s="23">
        <v>15200</v>
      </c>
      <c r="O605" s="23">
        <f>Tableau1[[#This Row],[Productivité]]-Tableau1[[#This Row],[ les Charges]]</f>
        <v>7095</v>
      </c>
    </row>
    <row r="606" spans="1:15" hidden="1" x14ac:dyDescent="0.25">
      <c r="A606" s="13">
        <v>44439</v>
      </c>
      <c r="B606" t="s">
        <v>84</v>
      </c>
      <c r="C606" s="65" t="s">
        <v>40</v>
      </c>
      <c r="D606" t="s">
        <v>150</v>
      </c>
      <c r="E606" s="3">
        <v>1</v>
      </c>
      <c r="F606">
        <v>10</v>
      </c>
      <c r="G606">
        <v>0</v>
      </c>
      <c r="H606">
        <v>0</v>
      </c>
      <c r="I606">
        <v>0</v>
      </c>
      <c r="J606">
        <v>0</v>
      </c>
      <c r="K606" s="23">
        <f>IF(Tableau1[[#This Row],[Quantité (H)]]=0,0,Tableau1[[#This Row],[Gasoil (L)]]/Tableau1[[#This Row],[Quantité (H)]])</f>
        <v>10</v>
      </c>
      <c r="M606" s="23">
        <v>100</v>
      </c>
      <c r="O606" s="23">
        <f>Tableau1[[#This Row],[Productivité]]-Tableau1[[#This Row],[ les Charges]]</f>
        <v>-100</v>
      </c>
    </row>
    <row r="607" spans="1:15" hidden="1" x14ac:dyDescent="0.25">
      <c r="A607" s="13">
        <v>44439</v>
      </c>
      <c r="B607" t="s">
        <v>83</v>
      </c>
      <c r="C607" s="65" t="s">
        <v>40</v>
      </c>
      <c r="D607" t="s">
        <v>156</v>
      </c>
      <c r="E607" s="3">
        <v>57</v>
      </c>
      <c r="F607">
        <v>446</v>
      </c>
      <c r="G607">
        <v>4</v>
      </c>
      <c r="H607">
        <v>0</v>
      </c>
      <c r="I607">
        <v>4</v>
      </c>
      <c r="J607">
        <v>0</v>
      </c>
      <c r="K607" s="23">
        <f>IF(Tableau1[[#This Row],[Quantité (H)]]=0,0,Tableau1[[#This Row],[Gasoil (L)]]/Tableau1[[#This Row],[Quantité (H)]])</f>
        <v>7.8245614035087723</v>
      </c>
      <c r="M607" s="23">
        <v>8000.1</v>
      </c>
      <c r="N607" s="23">
        <v>12800</v>
      </c>
      <c r="O607" s="23">
        <f>Tableau1[[#This Row],[Productivité]]-Tableau1[[#This Row],[ les Charges]]</f>
        <v>4799.8999999999996</v>
      </c>
    </row>
    <row r="608" spans="1:15" hidden="1" x14ac:dyDescent="0.25">
      <c r="A608" s="13">
        <v>44439</v>
      </c>
      <c r="B608" t="s">
        <v>158</v>
      </c>
      <c r="C608" s="65" t="s">
        <v>85</v>
      </c>
      <c r="D608" t="s">
        <v>44</v>
      </c>
      <c r="E608" s="3">
        <v>252.5</v>
      </c>
      <c r="F608">
        <v>1176</v>
      </c>
      <c r="G608">
        <v>0</v>
      </c>
      <c r="H608">
        <v>0</v>
      </c>
      <c r="I608">
        <v>0</v>
      </c>
      <c r="J608">
        <v>0</v>
      </c>
      <c r="K608" s="23">
        <f>IF(Tableau1[[#This Row],[Quantité (H)]]=0,0,Tableau1[[#This Row],[Gasoil (L)]]/Tableau1[[#This Row],[Quantité (H)]])</f>
        <v>4.6574257425742571</v>
      </c>
      <c r="M608" s="23">
        <v>10920</v>
      </c>
      <c r="N608" s="23">
        <v>70700</v>
      </c>
      <c r="O608" s="23">
        <f>Tableau1[[#This Row],[Productivité]]-Tableau1[[#This Row],[ les Charges]]</f>
        <v>59780</v>
      </c>
    </row>
    <row r="609" spans="1:15" hidden="1" x14ac:dyDescent="0.25">
      <c r="A609" s="13">
        <v>44439</v>
      </c>
      <c r="B609" t="s">
        <v>84</v>
      </c>
      <c r="C609" s="65" t="s">
        <v>85</v>
      </c>
      <c r="D609" s="65" t="s">
        <v>45</v>
      </c>
      <c r="E609" s="65">
        <v>207</v>
      </c>
      <c r="F609">
        <v>1392</v>
      </c>
      <c r="G609">
        <v>0</v>
      </c>
      <c r="H609">
        <v>0</v>
      </c>
      <c r="I609">
        <v>0</v>
      </c>
      <c r="J609">
        <v>0</v>
      </c>
      <c r="K609" s="23">
        <f>IF(Tableau1[[#This Row],[Quantité (H)]]=0,0,Tableau1[[#This Row],[Gasoil (L)]]/Tableau1[[#This Row],[Quantité (H)]])</f>
        <v>6.72463768115942</v>
      </c>
      <c r="M609" s="23">
        <v>13920</v>
      </c>
      <c r="N609" s="23">
        <v>60480</v>
      </c>
      <c r="O609" s="23">
        <f>Tableau1[[#This Row],[Productivité]]-Tableau1[[#This Row],[ les Charges]]</f>
        <v>46560</v>
      </c>
    </row>
    <row r="610" spans="1:15" hidden="1" x14ac:dyDescent="0.25">
      <c r="A610" s="13">
        <v>44439</v>
      </c>
      <c r="B610" t="s">
        <v>83</v>
      </c>
      <c r="C610" s="65" t="s">
        <v>85</v>
      </c>
      <c r="D610" t="s">
        <v>46</v>
      </c>
      <c r="E610" s="65">
        <v>144</v>
      </c>
      <c r="F610">
        <v>1722</v>
      </c>
      <c r="G610">
        <v>0</v>
      </c>
      <c r="H610">
        <v>0</v>
      </c>
      <c r="I610">
        <v>0</v>
      </c>
      <c r="J610">
        <v>0</v>
      </c>
      <c r="K610" s="23">
        <f>IF(Tableau1[[#This Row],[Quantité (H)]]=0,0,Tableau1[[#This Row],[Gasoil (L)]]/Tableau1[[#This Row],[Quantité (H)]])</f>
        <v>11.958333333333334</v>
      </c>
      <c r="M610" s="23">
        <v>18720</v>
      </c>
      <c r="N610" s="23">
        <v>64260</v>
      </c>
      <c r="O610" s="23">
        <f>Tableau1[[#This Row],[Productivité]]-Tableau1[[#This Row],[ les Charges]]</f>
        <v>45540</v>
      </c>
    </row>
    <row r="611" spans="1:15" hidden="1" x14ac:dyDescent="0.25">
      <c r="A611" s="13">
        <v>44439</v>
      </c>
      <c r="B611" t="s">
        <v>158</v>
      </c>
      <c r="C611" s="65" t="s">
        <v>85</v>
      </c>
      <c r="D611" t="s">
        <v>47</v>
      </c>
      <c r="E611" s="65">
        <v>306</v>
      </c>
      <c r="F611">
        <v>1266</v>
      </c>
      <c r="G611">
        <v>0</v>
      </c>
      <c r="H611">
        <v>0</v>
      </c>
      <c r="I611">
        <v>0</v>
      </c>
      <c r="J611">
        <v>0</v>
      </c>
      <c r="K611" s="23">
        <f>IF(Tableau1[[#This Row],[Quantité (H)]]=0,0,Tableau1[[#This Row],[Gasoil (L)]]/Tableau1[[#This Row],[Quantité (H)]])</f>
        <v>4.1372549019607847</v>
      </c>
      <c r="M611" s="23">
        <v>12660</v>
      </c>
      <c r="N611" s="23">
        <v>85680</v>
      </c>
      <c r="O611" s="23">
        <f>Tableau1[[#This Row],[Productivité]]-Tableau1[[#This Row],[ les Charges]]</f>
        <v>73020</v>
      </c>
    </row>
    <row r="612" spans="1:15" hidden="1" x14ac:dyDescent="0.25">
      <c r="A612" s="13">
        <v>44439</v>
      </c>
      <c r="B612" t="s">
        <v>116</v>
      </c>
      <c r="C612" s="65" t="s">
        <v>85</v>
      </c>
      <c r="D612" t="s">
        <v>48</v>
      </c>
      <c r="E612" s="65">
        <v>231.5</v>
      </c>
      <c r="F612">
        <v>907</v>
      </c>
      <c r="G612">
        <v>0</v>
      </c>
      <c r="H612">
        <v>0</v>
      </c>
      <c r="I612">
        <v>0</v>
      </c>
      <c r="J612">
        <v>0</v>
      </c>
      <c r="K612" s="23">
        <f>IF(Tableau1[[#This Row],[Quantité (H)]]=0,0,Tableau1[[#This Row],[Gasoil (L)]]/Tableau1[[#This Row],[Quantité (H)]])</f>
        <v>3.9179265658747302</v>
      </c>
      <c r="L612" s="23">
        <v>57.48</v>
      </c>
      <c r="M612" s="23">
        <v>9070</v>
      </c>
      <c r="N612" s="23">
        <v>34725</v>
      </c>
      <c r="O612" s="23">
        <f>Tableau1[[#This Row],[Productivité]]-Tableau1[[#This Row],[ les Charges]]</f>
        <v>25655</v>
      </c>
    </row>
    <row r="613" spans="1:15" hidden="1" x14ac:dyDescent="0.25">
      <c r="A613" s="13">
        <v>44439</v>
      </c>
      <c r="B613" t="s">
        <v>83</v>
      </c>
      <c r="C613" s="65" t="s">
        <v>85</v>
      </c>
      <c r="D613" t="s">
        <v>49</v>
      </c>
      <c r="E613" s="65">
        <v>94</v>
      </c>
      <c r="F613">
        <v>736.3</v>
      </c>
      <c r="G613">
        <v>0</v>
      </c>
      <c r="H613">
        <v>0</v>
      </c>
      <c r="I613">
        <v>0</v>
      </c>
      <c r="J613">
        <v>0</v>
      </c>
      <c r="K613" s="23">
        <f>IF(Tableau1[[#This Row],[Quantité (H)]]=0,0,Tableau1[[#This Row],[Gasoil (L)]]/Tableau1[[#This Row],[Quantité (H)]])</f>
        <v>7.8329787234042545</v>
      </c>
      <c r="M613" s="23">
        <v>6163</v>
      </c>
      <c r="N613" s="23">
        <v>14850</v>
      </c>
      <c r="O613" s="23">
        <f>Tableau1[[#This Row],[Productivité]]-Tableau1[[#This Row],[ les Charges]]</f>
        <v>8687</v>
      </c>
    </row>
    <row r="614" spans="1:15" hidden="1" x14ac:dyDescent="0.25">
      <c r="A614" s="13">
        <v>44439</v>
      </c>
      <c r="B614" t="s">
        <v>83</v>
      </c>
      <c r="C614" s="65" t="s">
        <v>85</v>
      </c>
      <c r="D614" t="s">
        <v>50</v>
      </c>
      <c r="E614" s="65">
        <v>25</v>
      </c>
      <c r="F614">
        <v>95</v>
      </c>
      <c r="G614">
        <v>0</v>
      </c>
      <c r="H614">
        <v>0</v>
      </c>
      <c r="I614">
        <v>0</v>
      </c>
      <c r="J614">
        <v>0</v>
      </c>
      <c r="K614" s="23">
        <f>IF(Tableau1[[#This Row],[Quantité (H)]]=0,0,Tableau1[[#This Row],[Gasoil (L)]]/Tableau1[[#This Row],[Quantité (H)]])</f>
        <v>3.8</v>
      </c>
      <c r="M614" s="23">
        <v>5890</v>
      </c>
      <c r="N614" s="23">
        <v>20850</v>
      </c>
      <c r="O614" s="23">
        <f>Tableau1[[#This Row],[Productivité]]-Tableau1[[#This Row],[ les Charges]]</f>
        <v>14960</v>
      </c>
    </row>
    <row r="615" spans="1:15" hidden="1" x14ac:dyDescent="0.25">
      <c r="A615" s="13">
        <v>44439</v>
      </c>
      <c r="B615" t="s">
        <v>116</v>
      </c>
      <c r="C615" s="65" t="s">
        <v>85</v>
      </c>
      <c r="D615" t="s">
        <v>54</v>
      </c>
      <c r="E615" s="65">
        <v>197</v>
      </c>
      <c r="F615">
        <v>1588</v>
      </c>
      <c r="G615">
        <v>0</v>
      </c>
      <c r="H615">
        <v>0</v>
      </c>
      <c r="I615">
        <v>0</v>
      </c>
      <c r="J615">
        <v>0</v>
      </c>
      <c r="K615" s="23">
        <f>IF(Tableau1[[#This Row],[Quantité (H)]]=0,0,Tableau1[[#This Row],[Gasoil (L)]]/Tableau1[[#This Row],[Quantité (H)]])</f>
        <v>8.0609137055837561</v>
      </c>
      <c r="L615" s="23">
        <v>87.83</v>
      </c>
      <c r="M615" s="23">
        <v>15880</v>
      </c>
      <c r="N615" s="23">
        <v>55160</v>
      </c>
      <c r="O615" s="23">
        <f>Tableau1[[#This Row],[Productivité]]-Tableau1[[#This Row],[ les Charges]]</f>
        <v>39280</v>
      </c>
    </row>
    <row r="616" spans="1:15" hidden="1" x14ac:dyDescent="0.25">
      <c r="A616" s="13">
        <v>44439</v>
      </c>
      <c r="B616" t="s">
        <v>116</v>
      </c>
      <c r="C616" s="65" t="s">
        <v>85</v>
      </c>
      <c r="D616" t="s">
        <v>56</v>
      </c>
      <c r="E616" s="65">
        <v>227</v>
      </c>
      <c r="F616">
        <v>3413</v>
      </c>
      <c r="G616">
        <v>0</v>
      </c>
      <c r="H616">
        <v>0</v>
      </c>
      <c r="I616">
        <v>0</v>
      </c>
      <c r="J616">
        <v>0</v>
      </c>
      <c r="K616" s="23">
        <f>IF(Tableau1[[#This Row],[Quantité (H)]]=0,0,Tableau1[[#This Row],[Gasoil (L)]]/Tableau1[[#This Row],[Quantité (H)]])</f>
        <v>15.035242290748899</v>
      </c>
      <c r="M616" s="23">
        <v>48420.32</v>
      </c>
      <c r="N616" s="23">
        <v>68100</v>
      </c>
      <c r="O616" s="23">
        <f>Tableau1[[#This Row],[Productivité]]-Tableau1[[#This Row],[ les Charges]]</f>
        <v>19679.68</v>
      </c>
    </row>
    <row r="617" spans="1:15" hidden="1" x14ac:dyDescent="0.25">
      <c r="A617" s="13">
        <v>44439</v>
      </c>
      <c r="B617" t="s">
        <v>83</v>
      </c>
      <c r="C617" s="65" t="s">
        <v>85</v>
      </c>
      <c r="D617" t="s">
        <v>57</v>
      </c>
      <c r="E617" s="65">
        <v>44</v>
      </c>
      <c r="F617">
        <v>4368</v>
      </c>
      <c r="G617">
        <v>0</v>
      </c>
      <c r="H617">
        <v>0</v>
      </c>
      <c r="I617">
        <v>0</v>
      </c>
      <c r="J617">
        <v>0</v>
      </c>
      <c r="K617" s="23">
        <f>IF(Tableau1[[#This Row],[Quantité (H)]]=0,0,Tableau1[[#This Row],[Gasoil (L)]]/Tableau1[[#This Row],[Quantité (H)]])</f>
        <v>99.272727272727266</v>
      </c>
      <c r="M617" s="23">
        <v>46242</v>
      </c>
      <c r="N617" s="23">
        <v>57538</v>
      </c>
      <c r="O617" s="23">
        <f>Tableau1[[#This Row],[Productivité]]-Tableau1[[#This Row],[ les Charges]]</f>
        <v>11296</v>
      </c>
    </row>
    <row r="618" spans="1:15" hidden="1" x14ac:dyDescent="0.25">
      <c r="A618" s="13">
        <v>44439</v>
      </c>
      <c r="B618" t="s">
        <v>84</v>
      </c>
      <c r="C618" s="65" t="s">
        <v>85</v>
      </c>
      <c r="D618" t="s">
        <v>55</v>
      </c>
      <c r="E618" s="65">
        <v>202</v>
      </c>
      <c r="F618">
        <v>1001</v>
      </c>
      <c r="G618">
        <v>0</v>
      </c>
      <c r="H618">
        <v>0</v>
      </c>
      <c r="I618">
        <v>0</v>
      </c>
      <c r="J618">
        <v>0</v>
      </c>
      <c r="K618" s="23">
        <f>IF(Tableau1[[#This Row],[Quantité (H)]]=0,0,Tableau1[[#This Row],[Gasoil (L)]]/Tableau1[[#This Row],[Quantité (H)]])</f>
        <v>4.9554455445544559</v>
      </c>
      <c r="M618" s="23">
        <v>10010</v>
      </c>
      <c r="N618" s="23">
        <v>57400</v>
      </c>
      <c r="O618" s="23">
        <f>Tableau1[[#This Row],[Productivité]]-Tableau1[[#This Row],[ les Charges]]</f>
        <v>47390</v>
      </c>
    </row>
    <row r="619" spans="1:15" hidden="1" x14ac:dyDescent="0.25">
      <c r="A619" s="13">
        <v>44439</v>
      </c>
      <c r="B619" t="s">
        <v>83</v>
      </c>
      <c r="C619" s="65" t="s">
        <v>85</v>
      </c>
      <c r="D619" t="s">
        <v>134</v>
      </c>
      <c r="E619" s="65">
        <v>134</v>
      </c>
      <c r="F619">
        <v>3222.1</v>
      </c>
      <c r="G619">
        <v>0</v>
      </c>
      <c r="H619">
        <v>0</v>
      </c>
      <c r="I619">
        <v>0</v>
      </c>
      <c r="J619">
        <v>0</v>
      </c>
      <c r="K619" s="23">
        <f>IF(Tableau1[[#This Row],[Quantité (H)]]=0,0,Tableau1[[#This Row],[Gasoil (L)]]/Tableau1[[#This Row],[Quantité (H)]])</f>
        <v>24.045522388059702</v>
      </c>
      <c r="M619" s="23">
        <v>8487.1</v>
      </c>
      <c r="N619" s="23">
        <v>24825</v>
      </c>
      <c r="O619" s="23">
        <f>Tableau1[[#This Row],[Productivité]]-Tableau1[[#This Row],[ les Charges]]</f>
        <v>16337.9</v>
      </c>
    </row>
    <row r="620" spans="1:15" hidden="1" x14ac:dyDescent="0.25">
      <c r="A620" s="13">
        <v>44439</v>
      </c>
      <c r="B620" t="s">
        <v>84</v>
      </c>
      <c r="C620" s="65" t="s">
        <v>85</v>
      </c>
      <c r="D620" s="65" t="s">
        <v>149</v>
      </c>
      <c r="E620" s="65">
        <v>171</v>
      </c>
      <c r="F620">
        <v>264</v>
      </c>
      <c r="G620">
        <v>0</v>
      </c>
      <c r="H620">
        <v>0</v>
      </c>
      <c r="I620">
        <v>0</v>
      </c>
      <c r="J620">
        <v>0</v>
      </c>
      <c r="K620" s="23">
        <f>IF(Tableau1[[#This Row],[Quantité (H)]]=0,0,Tableau1[[#This Row],[Gasoil (L)]]/Tableau1[[#This Row],[Quantité (H)]])</f>
        <v>1.5438596491228069</v>
      </c>
      <c r="M620" s="23">
        <v>4585.3599999999997</v>
      </c>
      <c r="N620" s="23">
        <v>25650</v>
      </c>
      <c r="O620" s="23">
        <f>Tableau1[[#This Row],[Productivité]]-Tableau1[[#This Row],[ les Charges]]</f>
        <v>21064.639999999999</v>
      </c>
    </row>
    <row r="621" spans="1:15" hidden="1" x14ac:dyDescent="0.25">
      <c r="A621" s="13">
        <v>44439</v>
      </c>
      <c r="B621" t="s">
        <v>83</v>
      </c>
      <c r="C621" s="65" t="s">
        <v>85</v>
      </c>
      <c r="D621" s="65" t="s">
        <v>148</v>
      </c>
      <c r="E621" s="65">
        <v>36</v>
      </c>
      <c r="F621">
        <v>74</v>
      </c>
      <c r="G621">
        <v>0</v>
      </c>
      <c r="H621">
        <v>0</v>
      </c>
      <c r="I621">
        <v>0</v>
      </c>
      <c r="J621">
        <v>0</v>
      </c>
      <c r="K621" s="23">
        <f>IF(Tableau1[[#This Row],[Quantité (H)]]=0,0,Tableau1[[#This Row],[Gasoil (L)]]/Tableau1[[#This Row],[Quantité (H)]])</f>
        <v>2.0555555555555554</v>
      </c>
      <c r="M621" s="23">
        <v>3200</v>
      </c>
      <c r="N621" s="23">
        <v>13860</v>
      </c>
      <c r="O621" s="23">
        <f>Tableau1[[#This Row],[Productivité]]-Tableau1[[#This Row],[ les Charges]]</f>
        <v>10660</v>
      </c>
    </row>
    <row r="622" spans="1:15" hidden="1" x14ac:dyDescent="0.25">
      <c r="A622" s="13">
        <v>44439</v>
      </c>
      <c r="B622" t="s">
        <v>158</v>
      </c>
      <c r="C622" t="s">
        <v>85</v>
      </c>
      <c r="D622" t="s">
        <v>151</v>
      </c>
      <c r="E622" s="65">
        <v>113</v>
      </c>
      <c r="F622">
        <v>2486</v>
      </c>
      <c r="G622">
        <v>0</v>
      </c>
      <c r="H622">
        <v>0</v>
      </c>
      <c r="I622">
        <v>0</v>
      </c>
      <c r="J622">
        <v>0</v>
      </c>
      <c r="K622" s="23">
        <f>IF(Tableau1[[#This Row],[Quantité (H)]]=0,0,Tableau1[[#This Row],[Gasoil (L)]]/Tableau1[[#This Row],[Quantité (H)]])</f>
        <v>22</v>
      </c>
      <c r="M622" s="23">
        <v>18580</v>
      </c>
      <c r="N622" s="23">
        <v>37800</v>
      </c>
      <c r="O622" s="23">
        <f>Tableau1[[#This Row],[Productivité]]-Tableau1[[#This Row],[ les Charges]]</f>
        <v>19220</v>
      </c>
    </row>
    <row r="623" spans="1:15" hidden="1" x14ac:dyDescent="0.25">
      <c r="A623" s="13">
        <v>44439</v>
      </c>
      <c r="B623" t="s">
        <v>116</v>
      </c>
      <c r="C623" s="65" t="s">
        <v>85</v>
      </c>
      <c r="D623" t="s">
        <v>52</v>
      </c>
      <c r="E623" s="65">
        <v>27</v>
      </c>
      <c r="F623">
        <v>280</v>
      </c>
      <c r="G623">
        <v>0</v>
      </c>
      <c r="H623">
        <v>0</v>
      </c>
      <c r="I623">
        <v>0</v>
      </c>
      <c r="J623">
        <v>0</v>
      </c>
      <c r="K623" s="23">
        <f>IF(Tableau1[[#This Row],[Quantité (H)]]=0,0,Tableau1[[#This Row],[Gasoil (L)]]/Tableau1[[#This Row],[Quantité (H)]])</f>
        <v>10.37037037037037</v>
      </c>
      <c r="M623" s="23">
        <v>2800</v>
      </c>
      <c r="N623" s="23">
        <v>4500</v>
      </c>
      <c r="O623" s="23">
        <f>Tableau1[[#This Row],[Productivité]]-Tableau1[[#This Row],[ les Charges]]</f>
        <v>1700</v>
      </c>
    </row>
    <row r="624" spans="1:15" hidden="1" x14ac:dyDescent="0.25">
      <c r="A624" s="13">
        <v>44439</v>
      </c>
      <c r="B624" t="s">
        <v>83</v>
      </c>
      <c r="C624" s="65" t="s">
        <v>85</v>
      </c>
      <c r="D624" t="s">
        <v>53</v>
      </c>
      <c r="E624" s="65">
        <v>122</v>
      </c>
      <c r="F624">
        <v>917</v>
      </c>
      <c r="G624">
        <v>0</v>
      </c>
      <c r="H624">
        <v>0</v>
      </c>
      <c r="I624">
        <v>0</v>
      </c>
      <c r="J624">
        <v>0</v>
      </c>
      <c r="K624" s="23">
        <f>IF(Tableau1[[#This Row],[Quantité (H)]]=0,0,Tableau1[[#This Row],[Gasoil (L)]]/Tableau1[[#This Row],[Quantité (H)]])</f>
        <v>7.5163934426229506</v>
      </c>
      <c r="M624" s="23">
        <v>9205</v>
      </c>
      <c r="N624" s="23">
        <v>30500</v>
      </c>
      <c r="O624" s="23">
        <f>Tableau1[[#This Row],[Productivité]]-Tableau1[[#This Row],[ les Charges]]</f>
        <v>21295</v>
      </c>
    </row>
    <row r="625" spans="1:19" hidden="1" x14ac:dyDescent="0.25">
      <c r="A625" s="13">
        <v>44439</v>
      </c>
      <c r="B625" t="s">
        <v>158</v>
      </c>
      <c r="C625" s="65" t="s">
        <v>42</v>
      </c>
      <c r="D625" t="s">
        <v>28</v>
      </c>
      <c r="E625" s="65">
        <v>162</v>
      </c>
      <c r="F625">
        <v>2361</v>
      </c>
      <c r="G625">
        <v>9</v>
      </c>
      <c r="H625">
        <v>0</v>
      </c>
      <c r="I625">
        <v>9</v>
      </c>
      <c r="J625">
        <v>0</v>
      </c>
      <c r="K625" s="23">
        <f>IF(Tableau1[[#This Row],[Quantité (H)]]=0,0,Tableau1[[#This Row],[Gasoil (L)]]/Tableau1[[#This Row],[Quantité (H)]])</f>
        <v>14.574074074074074</v>
      </c>
      <c r="M625" s="23">
        <v>24495</v>
      </c>
      <c r="N625" s="23">
        <v>58320</v>
      </c>
      <c r="O625" s="23">
        <f>Tableau1[[#This Row],[Productivité]]-Tableau1[[#This Row],[ les Charges]]</f>
        <v>33825</v>
      </c>
    </row>
    <row r="626" spans="1:19" hidden="1" x14ac:dyDescent="0.25">
      <c r="A626" s="13">
        <v>44439</v>
      </c>
      <c r="B626" t="s">
        <v>84</v>
      </c>
      <c r="C626" s="65" t="s">
        <v>42</v>
      </c>
      <c r="D626" t="s">
        <v>29</v>
      </c>
      <c r="E626" s="65">
        <v>38</v>
      </c>
      <c r="F626">
        <v>403</v>
      </c>
      <c r="G626">
        <v>50</v>
      </c>
      <c r="H626">
        <v>0</v>
      </c>
      <c r="I626">
        <v>50</v>
      </c>
      <c r="J626">
        <v>0</v>
      </c>
      <c r="K626" s="23">
        <f>IF(Tableau1[[#This Row],[Quantité (H)]]=0,0,Tableau1[[#This Row],[Gasoil (L)]]/Tableau1[[#This Row],[Quantité (H)]])</f>
        <v>10.605263157894736</v>
      </c>
      <c r="M626" s="23">
        <v>11580.96</v>
      </c>
      <c r="N626" s="23">
        <v>9880</v>
      </c>
      <c r="O626" s="23">
        <f>Tableau1[[#This Row],[Productivité]]-Tableau1[[#This Row],[ les Charges]]</f>
        <v>-1700.9599999999991</v>
      </c>
    </row>
    <row r="627" spans="1:19" hidden="1" x14ac:dyDescent="0.25">
      <c r="A627" s="13">
        <v>44439</v>
      </c>
      <c r="B627" t="s">
        <v>84</v>
      </c>
      <c r="C627" s="65" t="s">
        <v>42</v>
      </c>
      <c r="D627" t="s">
        <v>94</v>
      </c>
      <c r="E627" s="65">
        <v>256</v>
      </c>
      <c r="F627">
        <v>1874</v>
      </c>
      <c r="G627">
        <v>10</v>
      </c>
      <c r="H627">
        <v>0</v>
      </c>
      <c r="I627">
        <v>10</v>
      </c>
      <c r="J627">
        <v>0</v>
      </c>
      <c r="K627" s="23">
        <f>IF(Tableau1[[#This Row],[Quantité (H)]]=0,0,Tableau1[[#This Row],[Gasoil (L)]]/Tableau1[[#This Row],[Quantité (H)]])</f>
        <v>7.3203125</v>
      </c>
      <c r="M627" s="23">
        <v>19840</v>
      </c>
      <c r="N627" s="23">
        <v>99180</v>
      </c>
      <c r="O627" s="23">
        <f>Tableau1[[#This Row],[Productivité]]-Tableau1[[#This Row],[ les Charges]]</f>
        <v>79340</v>
      </c>
    </row>
    <row r="628" spans="1:19" hidden="1" x14ac:dyDescent="0.25">
      <c r="A628" s="13">
        <v>44439</v>
      </c>
      <c r="B628" t="s">
        <v>84</v>
      </c>
      <c r="C628" s="65" t="s">
        <v>42</v>
      </c>
      <c r="D628" t="s">
        <v>126</v>
      </c>
      <c r="E628" s="65">
        <v>239</v>
      </c>
      <c r="F628">
        <v>2072</v>
      </c>
      <c r="G628">
        <v>30</v>
      </c>
      <c r="H628">
        <v>0</v>
      </c>
      <c r="I628">
        <v>30</v>
      </c>
      <c r="J628">
        <v>0</v>
      </c>
      <c r="K628" s="23">
        <f>IF(Tableau1[[#This Row],[Quantité (H)]]=0,0,Tableau1[[#This Row],[Gasoil (L)]]/Tableau1[[#This Row],[Quantité (H)]])</f>
        <v>8.6694560669456067</v>
      </c>
      <c r="M628" s="23">
        <v>23261.66</v>
      </c>
      <c r="N628" s="23">
        <v>86040</v>
      </c>
      <c r="O628" s="23">
        <f>Tableau1[[#This Row],[Productivité]]-Tableau1[[#This Row],[ les Charges]]</f>
        <v>62778.34</v>
      </c>
    </row>
    <row r="629" spans="1:19" hidden="1" x14ac:dyDescent="0.25">
      <c r="A629" s="13">
        <v>44439</v>
      </c>
      <c r="B629" t="s">
        <v>83</v>
      </c>
      <c r="C629" s="65" t="s">
        <v>173</v>
      </c>
      <c r="D629" t="s">
        <v>36</v>
      </c>
      <c r="E629" s="65">
        <v>81</v>
      </c>
      <c r="F629">
        <v>3190</v>
      </c>
      <c r="G629">
        <v>0</v>
      </c>
      <c r="H629">
        <v>0</v>
      </c>
      <c r="I629">
        <v>0</v>
      </c>
      <c r="J629">
        <v>0</v>
      </c>
      <c r="K629" s="23">
        <f>IF(Tableau1[[#This Row],[Quantité (H)]]=0,0,Tableau1[[#This Row],[Gasoil (L)]]/Tableau1[[#This Row],[Quantité (H)]])</f>
        <v>39.382716049382715</v>
      </c>
      <c r="M629" s="23">
        <v>66728.039999999994</v>
      </c>
      <c r="N629" s="23">
        <v>109350</v>
      </c>
      <c r="O629" s="23">
        <f>Tableau1[[#This Row],[Productivité]]-Tableau1[[#This Row],[ les Charges]]</f>
        <v>42621.960000000006</v>
      </c>
    </row>
    <row r="630" spans="1:19" hidden="1" x14ac:dyDescent="0.25">
      <c r="A630" s="13">
        <v>44439</v>
      </c>
      <c r="B630" t="s">
        <v>83</v>
      </c>
      <c r="C630" s="65" t="s">
        <v>85</v>
      </c>
      <c r="D630" t="s">
        <v>51</v>
      </c>
      <c r="E630" s="65">
        <v>129</v>
      </c>
      <c r="F630">
        <v>918.2</v>
      </c>
      <c r="G630">
        <v>0</v>
      </c>
      <c r="H630">
        <v>5</v>
      </c>
      <c r="I630">
        <v>0</v>
      </c>
      <c r="J630">
        <v>0</v>
      </c>
      <c r="K630" s="23">
        <f>IF(Tableau1[[#This Row],[Quantité (H)]]=0,0,Tableau1[[#This Row],[Gasoil (L)]]/Tableau1[[#This Row],[Quantité (H)]])</f>
        <v>7.1178294573643415</v>
      </c>
      <c r="M630" s="23">
        <v>9631.98</v>
      </c>
      <c r="N630" s="23">
        <v>73850</v>
      </c>
      <c r="O630" s="23">
        <f>Tableau1[[#This Row],[Productivité]]-Tableau1[[#This Row],[ les Charges]]</f>
        <v>64218.020000000004</v>
      </c>
    </row>
    <row r="631" spans="1:19" hidden="1" x14ac:dyDescent="0.25">
      <c r="A631" s="13">
        <v>44439</v>
      </c>
      <c r="B631" t="s">
        <v>158</v>
      </c>
      <c r="C631" s="65" t="s">
        <v>175</v>
      </c>
      <c r="D631" t="s">
        <v>30</v>
      </c>
      <c r="E631" s="3">
        <v>82</v>
      </c>
      <c r="F631">
        <v>208</v>
      </c>
      <c r="G631">
        <v>5</v>
      </c>
      <c r="H631">
        <v>0</v>
      </c>
      <c r="I631">
        <v>5</v>
      </c>
      <c r="J631">
        <v>0</v>
      </c>
      <c r="K631" s="23">
        <f>IF(Tableau1[[#This Row],[Quantité (H)]]=0,0,Tableau1[[#This Row],[Gasoil (L)]]/Tableau1[[#This Row],[Quantité (H)]])</f>
        <v>2.5365853658536586</v>
      </c>
      <c r="M631" s="23">
        <v>3803.07</v>
      </c>
      <c r="O631" s="23">
        <f>Tableau1[[#This Row],[Productivité]]-Tableau1[[#This Row],[ les Charges]]</f>
        <v>-3803.07</v>
      </c>
    </row>
    <row r="632" spans="1:19" hidden="1" x14ac:dyDescent="0.25">
      <c r="A632" s="13">
        <v>44439</v>
      </c>
      <c r="B632" t="s">
        <v>84</v>
      </c>
      <c r="C632" s="65" t="s">
        <v>195</v>
      </c>
      <c r="D632" s="65" t="s">
        <v>38</v>
      </c>
      <c r="E632" s="65">
        <v>220</v>
      </c>
      <c r="F632">
        <v>4212</v>
      </c>
      <c r="G632">
        <v>95</v>
      </c>
      <c r="H632">
        <v>0</v>
      </c>
      <c r="I632">
        <v>95</v>
      </c>
      <c r="J632">
        <v>0</v>
      </c>
      <c r="K632" s="23">
        <f>IF(Tableau1[[#This Row],[Quantité (H)]]=0,0,Tableau1[[#This Row],[Gasoil (L)]]/Tableau1[[#This Row],[Quantité (H)]])</f>
        <v>19.145454545454545</v>
      </c>
      <c r="M632" s="23">
        <v>49397.8</v>
      </c>
      <c r="N632" s="23">
        <v>253000</v>
      </c>
      <c r="O632" s="23">
        <f>Tableau1[[#This Row],[Productivité]]-Tableau1[[#This Row],[ les Charges]]</f>
        <v>203602.2</v>
      </c>
    </row>
    <row r="633" spans="1:19" hidden="1" x14ac:dyDescent="0.25">
      <c r="A633" s="13">
        <v>44439</v>
      </c>
      <c r="B633" t="s">
        <v>84</v>
      </c>
      <c r="C633" s="65" t="s">
        <v>92</v>
      </c>
      <c r="D633" t="s">
        <v>136</v>
      </c>
      <c r="E633" s="65">
        <v>196</v>
      </c>
      <c r="F633">
        <v>1298</v>
      </c>
      <c r="G633">
        <v>5</v>
      </c>
      <c r="H633">
        <v>0</v>
      </c>
      <c r="I633">
        <v>5</v>
      </c>
      <c r="J633">
        <v>0</v>
      </c>
      <c r="K633" s="23">
        <f>IF(Tableau1[[#This Row],[Quantité (H)]]=0,0,Tableau1[[#This Row],[Gasoil (L)]]/Tableau1[[#This Row],[Quantité (H)]])</f>
        <v>6.6224489795918364</v>
      </c>
      <c r="M633" s="23">
        <v>6690</v>
      </c>
      <c r="N633" s="23">
        <v>25480</v>
      </c>
      <c r="O633" s="23">
        <f>Tableau1[[#This Row],[Productivité]]-Tableau1[[#This Row],[ les Charges]]</f>
        <v>18790</v>
      </c>
    </row>
    <row r="634" spans="1:19" hidden="1" x14ac:dyDescent="0.25">
      <c r="A634" s="13">
        <v>44439</v>
      </c>
      <c r="B634" t="s">
        <v>116</v>
      </c>
      <c r="C634" s="65" t="s">
        <v>39</v>
      </c>
      <c r="D634" t="s">
        <v>11</v>
      </c>
      <c r="E634" s="65">
        <v>170.5</v>
      </c>
      <c r="F634">
        <v>1485</v>
      </c>
      <c r="G634">
        <v>10</v>
      </c>
      <c r="H634">
        <v>0</v>
      </c>
      <c r="I634">
        <v>10</v>
      </c>
      <c r="J634">
        <v>0</v>
      </c>
      <c r="K634" s="23">
        <f>IF(Tableau1[[#This Row],[Quantité (H)]]=0,0,Tableau1[[#This Row],[Gasoil (L)]]/Tableau1[[#This Row],[Quantité (H)]])</f>
        <v>8.7096774193548381</v>
      </c>
      <c r="M634" s="23">
        <v>16591.66</v>
      </c>
      <c r="N634" s="23">
        <v>85250</v>
      </c>
      <c r="O634" s="23">
        <f>Tableau1[[#This Row],[Productivité]]-Tableau1[[#This Row],[ les Charges]]</f>
        <v>68658.34</v>
      </c>
    </row>
    <row r="635" spans="1:19" hidden="1" x14ac:dyDescent="0.25">
      <c r="A635" s="13">
        <v>44439</v>
      </c>
      <c r="B635" t="s">
        <v>84</v>
      </c>
      <c r="C635" s="65" t="s">
        <v>39</v>
      </c>
      <c r="D635" t="s">
        <v>12</v>
      </c>
      <c r="E635" s="65">
        <v>41</v>
      </c>
      <c r="F635">
        <v>591</v>
      </c>
      <c r="G635">
        <v>0</v>
      </c>
      <c r="H635">
        <v>0</v>
      </c>
      <c r="I635">
        <v>0</v>
      </c>
      <c r="J635">
        <v>0</v>
      </c>
      <c r="K635" s="23">
        <f>IF(Tableau1[[#This Row],[Quantité (H)]]=0,0,Tableau1[[#This Row],[Gasoil (L)]]/Tableau1[[#This Row],[Quantité (H)]])</f>
        <v>14.414634146341463</v>
      </c>
      <c r="M635" s="23">
        <v>9465.2000000000007</v>
      </c>
      <c r="N635" s="23">
        <v>15600</v>
      </c>
      <c r="O635" s="23">
        <f>Tableau1[[#This Row],[Productivité]]-Tableau1[[#This Row],[ les Charges]]</f>
        <v>6134.7999999999993</v>
      </c>
    </row>
    <row r="636" spans="1:19" hidden="1" x14ac:dyDescent="0.25">
      <c r="A636" s="13">
        <v>44439</v>
      </c>
      <c r="B636" t="s">
        <v>160</v>
      </c>
      <c r="C636" s="65" t="s">
        <v>39</v>
      </c>
      <c r="D636" t="s">
        <v>13</v>
      </c>
      <c r="E636" s="3">
        <v>46</v>
      </c>
      <c r="F636">
        <v>450</v>
      </c>
      <c r="G636">
        <v>0</v>
      </c>
      <c r="H636">
        <v>0</v>
      </c>
      <c r="I636">
        <v>0</v>
      </c>
      <c r="J636">
        <v>0</v>
      </c>
      <c r="K636" s="23">
        <f>IF(Tableau1[[#This Row],[Quantité (H)]]=0,0,Tableau1[[#This Row],[Gasoil (L)]]/Tableau1[[#This Row],[Quantité (H)]])</f>
        <v>9.7826086956521738</v>
      </c>
      <c r="M636" s="23">
        <v>21677.599999999999</v>
      </c>
      <c r="N636" s="23">
        <v>18400</v>
      </c>
      <c r="O636" s="23">
        <f>Tableau1[[#This Row],[Productivité]]-Tableau1[[#This Row],[ les Charges]]</f>
        <v>-3277.5999999999985</v>
      </c>
      <c r="R636" s="23">
        <f>Tableau1[[#This Row],[Gasoil (L)]]/Tableau1[[#This Row],[Quantité (H)]]</f>
        <v>9.7826086956521738</v>
      </c>
      <c r="S636" s="23">
        <f>R636*9</f>
        <v>88.043478260869563</v>
      </c>
    </row>
    <row r="637" spans="1:19" hidden="1" x14ac:dyDescent="0.25">
      <c r="A637" s="13">
        <v>44439</v>
      </c>
      <c r="B637" t="s">
        <v>83</v>
      </c>
      <c r="C637" s="65" t="s">
        <v>39</v>
      </c>
      <c r="D637" t="s">
        <v>14</v>
      </c>
      <c r="E637" s="65">
        <v>138.5</v>
      </c>
      <c r="F637">
        <v>1779.5</v>
      </c>
      <c r="G637">
        <v>9</v>
      </c>
      <c r="H637">
        <v>0</v>
      </c>
      <c r="I637">
        <v>9</v>
      </c>
      <c r="J637">
        <v>0</v>
      </c>
      <c r="K637" s="23">
        <f>IF(Tableau1[[#This Row],[Quantité (H)]]=0,0,Tableau1[[#This Row],[Gasoil (L)]]/Tableau1[[#This Row],[Quantité (H)]])</f>
        <v>12.848375451263538</v>
      </c>
      <c r="M637" s="23">
        <v>41850.5</v>
      </c>
      <c r="N637" s="23">
        <v>70750</v>
      </c>
      <c r="O637" s="23">
        <f>Tableau1[[#This Row],[Productivité]]-Tableau1[[#This Row],[ les Charges]]</f>
        <v>28899.5</v>
      </c>
    </row>
    <row r="638" spans="1:19" hidden="1" x14ac:dyDescent="0.25">
      <c r="A638" s="13">
        <v>44439</v>
      </c>
      <c r="B638" t="s">
        <v>116</v>
      </c>
      <c r="C638" s="65" t="s">
        <v>39</v>
      </c>
      <c r="D638" t="s">
        <v>15</v>
      </c>
      <c r="E638">
        <v>65</v>
      </c>
      <c r="F638">
        <v>849</v>
      </c>
      <c r="G638">
        <v>0</v>
      </c>
      <c r="H638">
        <v>0</v>
      </c>
      <c r="I638">
        <v>0</v>
      </c>
      <c r="J638">
        <v>0</v>
      </c>
      <c r="K638" s="23">
        <f>IF(Tableau1[[#This Row],[Quantité (H)]]=0,0,Tableau1[[#This Row],[Gasoil (L)]]/Tableau1[[#This Row],[Quantité (H)]])</f>
        <v>13.061538461538461</v>
      </c>
      <c r="M638" s="23">
        <v>21140</v>
      </c>
      <c r="N638" s="23">
        <v>102000</v>
      </c>
      <c r="O638" s="23">
        <f>Tableau1[[#This Row],[Productivité]]-Tableau1[[#This Row],[ les Charges]]</f>
        <v>80860</v>
      </c>
    </row>
    <row r="639" spans="1:19" hidden="1" x14ac:dyDescent="0.25">
      <c r="A639" s="13">
        <v>44439</v>
      </c>
      <c r="B639" t="s">
        <v>84</v>
      </c>
      <c r="C639" s="65" t="s">
        <v>41</v>
      </c>
      <c r="D639" t="s">
        <v>20</v>
      </c>
      <c r="E639">
        <v>172</v>
      </c>
      <c r="F639">
        <v>2900</v>
      </c>
      <c r="G639">
        <v>25</v>
      </c>
      <c r="H639">
        <v>0</v>
      </c>
      <c r="I639">
        <v>25</v>
      </c>
      <c r="J639">
        <v>0</v>
      </c>
      <c r="K639" s="23">
        <f>IF(Tableau1[[#This Row],[Quantité (H)]]=0,0,Tableau1[[#This Row],[Gasoil (L)]]/Tableau1[[#This Row],[Quantité (H)]])</f>
        <v>16.86046511627907</v>
      </c>
      <c r="M639" s="23">
        <v>37145.5</v>
      </c>
      <c r="N639" s="23">
        <v>72240</v>
      </c>
      <c r="O639" s="23">
        <f>Tableau1[[#This Row],[Productivité]]-Tableau1[[#This Row],[ les Charges]]</f>
        <v>35094.5</v>
      </c>
    </row>
    <row r="640" spans="1:19" hidden="1" x14ac:dyDescent="0.25">
      <c r="A640" s="13">
        <v>44439</v>
      </c>
      <c r="B640" t="s">
        <v>158</v>
      </c>
      <c r="C640" s="65" t="s">
        <v>41</v>
      </c>
      <c r="D640" t="s">
        <v>21</v>
      </c>
      <c r="E640" s="65">
        <v>180.5</v>
      </c>
      <c r="F640">
        <v>2077</v>
      </c>
      <c r="G640">
        <v>14</v>
      </c>
      <c r="H640">
        <v>0</v>
      </c>
      <c r="I640">
        <v>14</v>
      </c>
      <c r="J640">
        <v>0</v>
      </c>
      <c r="K640" s="23">
        <f>IF(Tableau1[[#This Row],[Quantité (H)]]=0,0,Tableau1[[#This Row],[Gasoil (L)]]/Tableau1[[#This Row],[Quantité (H)]])</f>
        <v>11.506925207756233</v>
      </c>
      <c r="M640" s="23">
        <v>23295</v>
      </c>
      <c r="N640" s="23">
        <v>75810</v>
      </c>
      <c r="O640" s="23">
        <f>Tableau1[[#This Row],[Productivité]]-Tableau1[[#This Row],[ les Charges]]</f>
        <v>52515</v>
      </c>
    </row>
    <row r="641" spans="1:17" hidden="1" x14ac:dyDescent="0.25">
      <c r="A641" s="13">
        <v>44439</v>
      </c>
      <c r="B641" t="s">
        <v>116</v>
      </c>
      <c r="C641" s="65" t="s">
        <v>41</v>
      </c>
      <c r="D641" s="65" t="s">
        <v>124</v>
      </c>
      <c r="E641" s="65">
        <v>163</v>
      </c>
      <c r="F641">
        <v>2958</v>
      </c>
      <c r="G641">
        <v>0</v>
      </c>
      <c r="H641">
        <v>0</v>
      </c>
      <c r="I641">
        <v>0</v>
      </c>
      <c r="J641">
        <v>0</v>
      </c>
      <c r="K641" s="23">
        <f>IF(Tableau1[[#This Row],[Quantité (H)]]=0,0,Tableau1[[#This Row],[Gasoil (L)]]/Tableau1[[#This Row],[Quantité (H)]])</f>
        <v>18.14723926380368</v>
      </c>
      <c r="M641" s="23">
        <v>30980</v>
      </c>
      <c r="N641" s="23">
        <v>68460</v>
      </c>
      <c r="O641" s="23">
        <f>Tableau1[[#This Row],[Productivité]]-Tableau1[[#This Row],[ les Charges]]</f>
        <v>37480</v>
      </c>
    </row>
    <row r="642" spans="1:17" hidden="1" x14ac:dyDescent="0.25">
      <c r="A642" s="13">
        <v>44439</v>
      </c>
      <c r="B642" t="s">
        <v>84</v>
      </c>
      <c r="C642" s="65" t="s">
        <v>41</v>
      </c>
      <c r="D642" t="s">
        <v>22</v>
      </c>
      <c r="E642">
        <v>157</v>
      </c>
      <c r="F642">
        <v>4599</v>
      </c>
      <c r="G642">
        <v>10</v>
      </c>
      <c r="H642">
        <v>0</v>
      </c>
      <c r="I642">
        <v>10</v>
      </c>
      <c r="J642">
        <v>0</v>
      </c>
      <c r="K642" s="23">
        <f>IF(Tableau1[[#This Row],[Quantité (H)]]=0,0,Tableau1[[#This Row],[Gasoil (L)]]/Tableau1[[#This Row],[Quantité (H)]])</f>
        <v>29.29299363057325</v>
      </c>
      <c r="M642" s="23">
        <v>48500.62</v>
      </c>
      <c r="N642" s="23">
        <v>65940</v>
      </c>
      <c r="O642" s="23">
        <f>Tableau1[[#This Row],[Productivité]]-Tableau1[[#This Row],[ les Charges]]</f>
        <v>17439.379999999997</v>
      </c>
    </row>
    <row r="643" spans="1:17" hidden="1" x14ac:dyDescent="0.25">
      <c r="A643" s="13">
        <v>44439</v>
      </c>
      <c r="B643" t="s">
        <v>84</v>
      </c>
      <c r="C643" s="65" t="s">
        <v>41</v>
      </c>
      <c r="D643" t="s">
        <v>23</v>
      </c>
      <c r="E643" s="65">
        <v>229</v>
      </c>
      <c r="F643">
        <v>5003</v>
      </c>
      <c r="G643">
        <v>25</v>
      </c>
      <c r="H643">
        <v>0</v>
      </c>
      <c r="I643">
        <v>25</v>
      </c>
      <c r="J643">
        <v>15</v>
      </c>
      <c r="K643" s="23">
        <f>IF(Tableau1[[#This Row],[Quantité (H)]]=0,0,Tableau1[[#This Row],[Gasoil (L)]]/Tableau1[[#This Row],[Quantité (H)]])</f>
        <v>21.847161572052403</v>
      </c>
      <c r="M643" s="23">
        <v>55155</v>
      </c>
      <c r="N643" s="23">
        <v>96180</v>
      </c>
      <c r="O643" s="23">
        <f>Tableau1[[#This Row],[Productivité]]-Tableau1[[#This Row],[ les Charges]]</f>
        <v>41025</v>
      </c>
    </row>
    <row r="644" spans="1:17" hidden="1" x14ac:dyDescent="0.25">
      <c r="A644" s="13">
        <v>44439</v>
      </c>
      <c r="B644" t="s">
        <v>84</v>
      </c>
      <c r="C644" s="65" t="s">
        <v>41</v>
      </c>
      <c r="D644" t="s">
        <v>24</v>
      </c>
      <c r="E644" s="65">
        <v>249</v>
      </c>
      <c r="F644">
        <v>5435</v>
      </c>
      <c r="G644">
        <v>55</v>
      </c>
      <c r="H644">
        <v>0</v>
      </c>
      <c r="I644">
        <v>55</v>
      </c>
      <c r="J644">
        <v>10</v>
      </c>
      <c r="K644" s="23">
        <f>IF(Tableau1[[#This Row],[Quantité (H)]]=0,0,Tableau1[[#This Row],[Gasoil (L)]]/Tableau1[[#This Row],[Quantité (H)]])</f>
        <v>21.827309236947791</v>
      </c>
      <c r="M644" s="23">
        <v>59000</v>
      </c>
      <c r="N644" s="23">
        <v>104580</v>
      </c>
      <c r="O644" s="23">
        <f>Tableau1[[#This Row],[Productivité]]-Tableau1[[#This Row],[ les Charges]]</f>
        <v>45580</v>
      </c>
    </row>
    <row r="645" spans="1:17" hidden="1" x14ac:dyDescent="0.25">
      <c r="A645" s="13">
        <v>44439</v>
      </c>
      <c r="B645" t="s">
        <v>84</v>
      </c>
      <c r="C645" s="65" t="s">
        <v>41</v>
      </c>
      <c r="D645" t="s">
        <v>25</v>
      </c>
      <c r="E645" s="65">
        <v>237</v>
      </c>
      <c r="F645">
        <v>4789</v>
      </c>
      <c r="G645">
        <v>35</v>
      </c>
      <c r="H645">
        <v>0</v>
      </c>
      <c r="I645">
        <v>35</v>
      </c>
      <c r="J645">
        <v>0</v>
      </c>
      <c r="K645" s="23">
        <f>IF(Tableau1[[#This Row],[Quantité (H)]]=0,0,Tableau1[[#This Row],[Gasoil (L)]]/Tableau1[[#This Row],[Quantité (H)]])</f>
        <v>20.206751054852322</v>
      </c>
      <c r="M645" s="23">
        <v>55257.73</v>
      </c>
      <c r="N645" s="23">
        <v>99540</v>
      </c>
      <c r="O645" s="23">
        <f>Tableau1[[#This Row],[Productivité]]-Tableau1[[#This Row],[ les Charges]]</f>
        <v>44282.27</v>
      </c>
    </row>
    <row r="646" spans="1:17" hidden="1" x14ac:dyDescent="0.25">
      <c r="A646" s="13">
        <v>44439</v>
      </c>
      <c r="B646" t="s">
        <v>84</v>
      </c>
      <c r="C646" s="65" t="s">
        <v>41</v>
      </c>
      <c r="D646" t="s">
        <v>26</v>
      </c>
      <c r="E646" s="65">
        <v>177</v>
      </c>
      <c r="F646">
        <v>5185</v>
      </c>
      <c r="G646">
        <v>40</v>
      </c>
      <c r="H646">
        <v>0</v>
      </c>
      <c r="I646">
        <v>40</v>
      </c>
      <c r="J646">
        <v>0</v>
      </c>
      <c r="K646" s="23">
        <f>IF(Tableau1[[#This Row],[Quantité (H)]]=0,0,Tableau1[[#This Row],[Gasoil (L)]]/Tableau1[[#This Row],[Quantité (H)]])</f>
        <v>29.293785310734464</v>
      </c>
      <c r="M646" s="23">
        <v>57441.62</v>
      </c>
      <c r="N646" s="23">
        <v>74340</v>
      </c>
      <c r="O646" s="23">
        <f>Tableau1[[#This Row],[Productivité]]-Tableau1[[#This Row],[ les Charges]]</f>
        <v>16898.379999999997</v>
      </c>
      <c r="Q646" s="63">
        <v>9.7826086956521738</v>
      </c>
    </row>
    <row r="647" spans="1:17" hidden="1" x14ac:dyDescent="0.25">
      <c r="A647" s="13">
        <v>44439</v>
      </c>
      <c r="B647" t="s">
        <v>160</v>
      </c>
      <c r="C647" s="65" t="s">
        <v>41</v>
      </c>
      <c r="D647" t="s">
        <v>27</v>
      </c>
      <c r="E647" s="65">
        <v>0</v>
      </c>
      <c r="F647">
        <v>0</v>
      </c>
      <c r="G647">
        <v>0</v>
      </c>
      <c r="H647">
        <v>0</v>
      </c>
      <c r="I647">
        <v>0</v>
      </c>
      <c r="J647">
        <v>30</v>
      </c>
      <c r="K647" s="23">
        <f>IF(Tableau1[[#This Row],[Quantité (H)]]=0,0,Tableau1[[#This Row],[Gasoil (L)]]/Tableau1[[#This Row],[Quantité (H)]])</f>
        <v>0</v>
      </c>
      <c r="M647" s="23">
        <v>18250</v>
      </c>
      <c r="N647" s="23">
        <v>42460</v>
      </c>
      <c r="O647" s="23">
        <f>Tableau1[[#This Row],[Productivité]]-Tableau1[[#This Row],[ les Charges]]</f>
        <v>24210</v>
      </c>
    </row>
    <row r="648" spans="1:17" hidden="1" x14ac:dyDescent="0.25">
      <c r="A648" s="13">
        <v>44439</v>
      </c>
      <c r="B648" t="s">
        <v>158</v>
      </c>
      <c r="C648" s="65" t="s">
        <v>41</v>
      </c>
      <c r="D648" t="s">
        <v>130</v>
      </c>
      <c r="E648" s="65">
        <v>218</v>
      </c>
      <c r="F648">
        <v>3522</v>
      </c>
      <c r="G648">
        <v>9</v>
      </c>
      <c r="H648">
        <v>0</v>
      </c>
      <c r="I648">
        <v>9</v>
      </c>
      <c r="J648">
        <v>0</v>
      </c>
      <c r="K648" s="23">
        <f>IF(Tableau1[[#This Row],[Quantité (H)]]=0,0,Tableau1[[#This Row],[Gasoil (L)]]/Tableau1[[#This Row],[Quantité (H)]])</f>
        <v>16.155963302752294</v>
      </c>
      <c r="M648" s="23">
        <v>34380</v>
      </c>
      <c r="N648" s="23">
        <v>91560</v>
      </c>
      <c r="O648" s="23">
        <f>Tableau1[[#This Row],[Productivité]]-Tableau1[[#This Row],[ les Charges]]</f>
        <v>57180</v>
      </c>
    </row>
    <row r="649" spans="1:17" hidden="1" x14ac:dyDescent="0.25">
      <c r="A649" s="13">
        <v>44439</v>
      </c>
      <c r="B649" t="s">
        <v>84</v>
      </c>
      <c r="C649" s="65" t="s">
        <v>41</v>
      </c>
      <c r="D649" s="65" t="s">
        <v>137</v>
      </c>
      <c r="E649" s="65">
        <v>99</v>
      </c>
      <c r="F649">
        <v>1375</v>
      </c>
      <c r="G649">
        <v>5</v>
      </c>
      <c r="H649">
        <v>0</v>
      </c>
      <c r="I649">
        <v>5</v>
      </c>
      <c r="J649">
        <v>0</v>
      </c>
      <c r="K649" s="23">
        <f>IF(Tableau1[[#This Row],[Quantité (H)]]=0,0,Tableau1[[#This Row],[Gasoil (L)]]/Tableau1[[#This Row],[Quantité (H)]])</f>
        <v>13.888888888888889</v>
      </c>
      <c r="M649" s="23">
        <v>8860</v>
      </c>
      <c r="N649" s="23">
        <v>21780</v>
      </c>
      <c r="O649" s="23">
        <f>Tableau1[[#This Row],[Productivité]]-Tableau1[[#This Row],[ les Charges]]</f>
        <v>12920</v>
      </c>
    </row>
    <row r="650" spans="1:17" hidden="1" x14ac:dyDescent="0.25">
      <c r="A650" s="13">
        <v>44439</v>
      </c>
      <c r="B650" t="s">
        <v>116</v>
      </c>
      <c r="C650" s="65" t="s">
        <v>41</v>
      </c>
      <c r="D650" t="s">
        <v>123</v>
      </c>
      <c r="E650" s="65">
        <v>161</v>
      </c>
      <c r="F650">
        <v>1534</v>
      </c>
      <c r="G650">
        <v>15</v>
      </c>
      <c r="H650">
        <v>0</v>
      </c>
      <c r="I650">
        <v>15</v>
      </c>
      <c r="J650">
        <v>0</v>
      </c>
      <c r="K650" s="23">
        <f>IF(Tableau1[[#This Row],[Quantité (H)]]=0,0,Tableau1[[#This Row],[Gasoil (L)]]/Tableau1[[#This Row],[Quantité (H)]])</f>
        <v>9.5279503105590067</v>
      </c>
      <c r="M650" s="23">
        <v>18715</v>
      </c>
      <c r="N650" s="23">
        <v>41250</v>
      </c>
      <c r="O650" s="23">
        <f>Tableau1[[#This Row],[Productivité]]-Tableau1[[#This Row],[ les Charges]]</f>
        <v>22535</v>
      </c>
    </row>
    <row r="651" spans="1:17" hidden="1" x14ac:dyDescent="0.25">
      <c r="A651" s="13">
        <v>44439</v>
      </c>
      <c r="B651" t="s">
        <v>84</v>
      </c>
      <c r="C651" s="65" t="s">
        <v>41</v>
      </c>
      <c r="D651" t="s">
        <v>128</v>
      </c>
      <c r="E651" s="65">
        <v>148</v>
      </c>
      <c r="F651">
        <v>2794</v>
      </c>
      <c r="G651">
        <v>25</v>
      </c>
      <c r="H651">
        <v>0</v>
      </c>
      <c r="I651">
        <v>25</v>
      </c>
      <c r="J651">
        <v>0</v>
      </c>
      <c r="K651" s="23">
        <f>IF(Tableau1[[#This Row],[Quantité (H)]]=0,0,Tableau1[[#This Row],[Gasoil (L)]]/Tableau1[[#This Row],[Quantité (H)]])</f>
        <v>18.878378378378379</v>
      </c>
      <c r="M651" s="23">
        <v>33187.919999999998</v>
      </c>
      <c r="N651" s="23">
        <v>62160</v>
      </c>
      <c r="O651" s="23">
        <f>Tableau1[[#This Row],[Productivité]]-Tableau1[[#This Row],[ les Charges]]</f>
        <v>28972.080000000002</v>
      </c>
    </row>
    <row r="652" spans="1:17" hidden="1" x14ac:dyDescent="0.25">
      <c r="A652" s="13">
        <v>44439</v>
      </c>
      <c r="B652" t="s">
        <v>84</v>
      </c>
      <c r="C652" s="65" t="s">
        <v>41</v>
      </c>
      <c r="D652" t="s">
        <v>127</v>
      </c>
      <c r="E652" s="65">
        <v>178</v>
      </c>
      <c r="F652">
        <v>3077</v>
      </c>
      <c r="G652">
        <v>5</v>
      </c>
      <c r="H652">
        <v>0</v>
      </c>
      <c r="I652">
        <v>5</v>
      </c>
      <c r="J652">
        <v>0</v>
      </c>
      <c r="K652" s="23">
        <f>IF(Tableau1[[#This Row],[Quantité (H)]]=0,0,Tableau1[[#This Row],[Gasoil (L)]]/Tableau1[[#This Row],[Quantité (H)]])</f>
        <v>17.286516853932586</v>
      </c>
      <c r="M652" s="23">
        <v>32716.73</v>
      </c>
      <c r="N652" s="23">
        <v>74760</v>
      </c>
      <c r="O652" s="23">
        <f>Tableau1[[#This Row],[Productivité]]-Tableau1[[#This Row],[ les Charges]]</f>
        <v>42043.270000000004</v>
      </c>
    </row>
    <row r="653" spans="1:17" hidden="1" x14ac:dyDescent="0.25">
      <c r="A653" s="13">
        <v>44439</v>
      </c>
      <c r="B653" t="s">
        <v>84</v>
      </c>
      <c r="C653" s="65" t="s">
        <v>41</v>
      </c>
      <c r="D653" t="s">
        <v>129</v>
      </c>
      <c r="E653" s="65">
        <v>244</v>
      </c>
      <c r="F653">
        <v>3763</v>
      </c>
      <c r="G653">
        <v>10</v>
      </c>
      <c r="H653">
        <v>0</v>
      </c>
      <c r="I653">
        <v>10</v>
      </c>
      <c r="J653">
        <v>0</v>
      </c>
      <c r="K653" s="23">
        <f>IF(Tableau1[[#This Row],[Quantité (H)]]=0,0,Tableau1[[#This Row],[Gasoil (L)]]/Tableau1[[#This Row],[Quantité (H)]])</f>
        <v>15.422131147540984</v>
      </c>
      <c r="M653" s="23">
        <v>40913.64</v>
      </c>
      <c r="N653" s="23">
        <v>102480</v>
      </c>
      <c r="O653" s="23">
        <f>Tableau1[[#This Row],[Productivité]]-Tableau1[[#This Row],[ les Charges]]</f>
        <v>61566.36</v>
      </c>
    </row>
    <row r="654" spans="1:17" hidden="1" x14ac:dyDescent="0.25">
      <c r="A654" s="13">
        <v>44439</v>
      </c>
      <c r="B654" t="s">
        <v>83</v>
      </c>
      <c r="C654" s="65" t="s">
        <v>41</v>
      </c>
      <c r="D654" t="s">
        <v>122</v>
      </c>
      <c r="E654">
        <v>72</v>
      </c>
      <c r="F654">
        <v>542</v>
      </c>
      <c r="G654">
        <v>0</v>
      </c>
      <c r="H654">
        <v>0</v>
      </c>
      <c r="I654">
        <v>0</v>
      </c>
      <c r="J654">
        <v>0</v>
      </c>
      <c r="K654" s="23">
        <f>IF(Tableau1[[#This Row],[Quantité (H)]]=0,0,Tableau1[[#This Row],[Gasoil (L)]]/Tableau1[[#This Row],[Quantité (H)]])</f>
        <v>7.5277777777777777</v>
      </c>
      <c r="M654" s="23">
        <v>5525</v>
      </c>
      <c r="N654" s="23">
        <v>15840</v>
      </c>
      <c r="O654" s="23">
        <f>Tableau1[[#This Row],[Productivité]]-Tableau1[[#This Row],[ les Charges]]</f>
        <v>10315</v>
      </c>
    </row>
    <row r="655" spans="1:17" hidden="1" x14ac:dyDescent="0.25">
      <c r="A655" s="13">
        <v>44439</v>
      </c>
      <c r="B655" t="s">
        <v>83</v>
      </c>
      <c r="C655" s="65" t="s">
        <v>86</v>
      </c>
      <c r="D655" t="s">
        <v>58</v>
      </c>
      <c r="E655" s="65">
        <v>284</v>
      </c>
      <c r="F655">
        <v>494</v>
      </c>
      <c r="G655">
        <v>8</v>
      </c>
      <c r="H655">
        <v>0</v>
      </c>
      <c r="I655">
        <v>8</v>
      </c>
      <c r="J655">
        <v>0</v>
      </c>
      <c r="K655" s="23">
        <f>IF(Tableau1[[#This Row],[Quantité (H)]]=0,0,Tableau1[[#This Row],[Gasoil (L)]]/Tableau1[[#This Row],[Quantité (H)]])</f>
        <v>1.7394366197183098</v>
      </c>
      <c r="M655" s="23">
        <v>5100</v>
      </c>
      <c r="N655" s="23">
        <v>18460</v>
      </c>
      <c r="O655" s="23">
        <f>Tableau1[[#This Row],[Productivité]]-Tableau1[[#This Row],[ les Charges]]</f>
        <v>13360</v>
      </c>
    </row>
    <row r="656" spans="1:17" hidden="1" x14ac:dyDescent="0.25">
      <c r="A656" s="13">
        <v>44439</v>
      </c>
      <c r="B656" t="s">
        <v>81</v>
      </c>
      <c r="C656" s="65" t="s">
        <v>86</v>
      </c>
      <c r="D656" s="65" t="s">
        <v>59</v>
      </c>
      <c r="E656" s="65">
        <v>243</v>
      </c>
      <c r="F656">
        <v>205.7</v>
      </c>
      <c r="G656">
        <v>0</v>
      </c>
      <c r="I656">
        <v>0</v>
      </c>
      <c r="J656">
        <v>0</v>
      </c>
      <c r="K656" s="23">
        <f>IF(Tableau1[[#This Row],[Quantité (H)]]=0,0,Tableau1[[#This Row],[Gasoil (L)]]/Tableau1[[#This Row],[Quantité (H)]])</f>
        <v>0.84650205761316866</v>
      </c>
      <c r="M656" s="23">
        <v>2057</v>
      </c>
      <c r="N656" s="23">
        <v>15795</v>
      </c>
      <c r="O656" s="23">
        <f>Tableau1[[#This Row],[Productivité]]-Tableau1[[#This Row],[ les Charges]]</f>
        <v>13738</v>
      </c>
    </row>
    <row r="657" spans="1:15" hidden="1" x14ac:dyDescent="0.25">
      <c r="A657" s="13">
        <v>44439</v>
      </c>
      <c r="B657" t="s">
        <v>116</v>
      </c>
      <c r="C657" s="65" t="s">
        <v>86</v>
      </c>
      <c r="D657" t="s">
        <v>60</v>
      </c>
      <c r="E657" s="65">
        <v>252</v>
      </c>
      <c r="F657">
        <v>446</v>
      </c>
      <c r="G657">
        <v>0</v>
      </c>
      <c r="H657">
        <v>0</v>
      </c>
      <c r="I657">
        <v>0</v>
      </c>
      <c r="J657">
        <v>0</v>
      </c>
      <c r="K657" s="23">
        <f>IF(Tableau1[[#This Row],[Quantité (H)]]=0,0,Tableau1[[#This Row],[Gasoil (L)]]/Tableau1[[#This Row],[Quantité (H)]])</f>
        <v>1.7698412698412698</v>
      </c>
      <c r="M657" s="23">
        <v>4460</v>
      </c>
      <c r="N657" s="23">
        <v>16380</v>
      </c>
      <c r="O657" s="23">
        <f>Tableau1[[#This Row],[Productivité]]-Tableau1[[#This Row],[ les Charges]]</f>
        <v>11920</v>
      </c>
    </row>
    <row r="658" spans="1:15" hidden="1" x14ac:dyDescent="0.25">
      <c r="A658" s="13">
        <v>44439</v>
      </c>
      <c r="B658" t="s">
        <v>84</v>
      </c>
      <c r="C658" s="65" t="s">
        <v>86</v>
      </c>
      <c r="D658" t="s">
        <v>61</v>
      </c>
      <c r="E658" s="65">
        <v>170</v>
      </c>
      <c r="F658">
        <v>362</v>
      </c>
      <c r="G658">
        <v>0</v>
      </c>
      <c r="H658">
        <v>0</v>
      </c>
      <c r="I658">
        <v>0</v>
      </c>
      <c r="J658">
        <v>9</v>
      </c>
      <c r="K658" s="23">
        <f>IF(Tableau1[[#This Row],[Quantité (H)]]=0,0,Tableau1[[#This Row],[Gasoil (L)]]/Tableau1[[#This Row],[Quantité (H)]])</f>
        <v>2.1294117647058823</v>
      </c>
      <c r="M658" s="23">
        <v>3620</v>
      </c>
      <c r="N658" s="23">
        <v>12220</v>
      </c>
      <c r="O658" s="23">
        <f>Tableau1[[#This Row],[Productivité]]-Tableau1[[#This Row],[ les Charges]]</f>
        <v>8600</v>
      </c>
    </row>
    <row r="659" spans="1:15" hidden="1" x14ac:dyDescent="0.25">
      <c r="A659" s="13">
        <v>44439</v>
      </c>
      <c r="B659" t="s">
        <v>83</v>
      </c>
      <c r="C659" s="65" t="s">
        <v>43</v>
      </c>
      <c r="D659" s="65" t="s">
        <v>33</v>
      </c>
      <c r="E659" s="65">
        <v>114</v>
      </c>
      <c r="F659">
        <v>471</v>
      </c>
      <c r="G659">
        <v>13</v>
      </c>
      <c r="H659">
        <v>5</v>
      </c>
      <c r="I659">
        <v>13</v>
      </c>
      <c r="J659">
        <v>0</v>
      </c>
      <c r="K659" s="23">
        <f>IF(Tableau1[[#This Row],[Quantité (H)]]=0,0,Tableau1[[#This Row],[Gasoil (L)]]/Tableau1[[#This Row],[Quantité (H)]])</f>
        <v>4.1315789473684212</v>
      </c>
      <c r="M659" s="23">
        <v>8401.61</v>
      </c>
      <c r="N659" s="23">
        <v>20520</v>
      </c>
      <c r="O659" s="23">
        <f>Tableau1[[#This Row],[Productivité]]-Tableau1[[#This Row],[ les Charges]]</f>
        <v>12118.39</v>
      </c>
    </row>
    <row r="660" spans="1:15" hidden="1" x14ac:dyDescent="0.25">
      <c r="A660" s="13">
        <v>44439</v>
      </c>
      <c r="B660" t="s">
        <v>83</v>
      </c>
      <c r="C660" s="65" t="s">
        <v>43</v>
      </c>
      <c r="D660" t="s">
        <v>34</v>
      </c>
      <c r="E660" s="65">
        <v>208</v>
      </c>
      <c r="F660">
        <v>522.24</v>
      </c>
      <c r="G660">
        <v>0</v>
      </c>
      <c r="I660">
        <v>0</v>
      </c>
      <c r="J660">
        <v>90</v>
      </c>
      <c r="K660" s="23">
        <f>IF(Tableau1[[#This Row],[Quantité (H)]]=0,0,Tableau1[[#This Row],[Gasoil (L)]]/Tableau1[[#This Row],[Quantité (H)]])</f>
        <v>2.5107692307692306</v>
      </c>
      <c r="M660" s="23">
        <v>2994.06</v>
      </c>
      <c r="N660" s="23">
        <v>37440</v>
      </c>
      <c r="O660" s="23">
        <f>Tableau1[[#This Row],[Productivité]]-Tableau1[[#This Row],[ les Charges]]</f>
        <v>34445.94</v>
      </c>
    </row>
    <row r="661" spans="1:15" hidden="1" x14ac:dyDescent="0.25">
      <c r="A661" s="13">
        <v>44439</v>
      </c>
      <c r="B661" t="s">
        <v>116</v>
      </c>
      <c r="C661" s="65" t="s">
        <v>43</v>
      </c>
      <c r="D661" t="s">
        <v>35</v>
      </c>
      <c r="E661">
        <v>64</v>
      </c>
      <c r="F661">
        <v>328</v>
      </c>
      <c r="G661">
        <v>10</v>
      </c>
      <c r="I661">
        <v>10</v>
      </c>
      <c r="J661">
        <v>30</v>
      </c>
      <c r="K661" s="23">
        <f>IF(Tableau1[[#This Row],[Quantité (H)]]=0,0,Tableau1[[#This Row],[Gasoil (L)]]/Tableau1[[#This Row],[Quantité (H)]])</f>
        <v>5.125</v>
      </c>
      <c r="M661" s="23">
        <v>7130</v>
      </c>
      <c r="N661" s="23">
        <v>33120</v>
      </c>
      <c r="O661" s="23">
        <f>Tableau1[[#This Row],[Productivité]]-Tableau1[[#This Row],[ les Charges]]</f>
        <v>25990</v>
      </c>
    </row>
    <row r="662" spans="1:15" hidden="1" x14ac:dyDescent="0.25">
      <c r="A662" s="13">
        <v>44439</v>
      </c>
      <c r="B662" t="s">
        <v>84</v>
      </c>
      <c r="C662" s="65" t="s">
        <v>87</v>
      </c>
      <c r="D662" t="s">
        <v>63</v>
      </c>
      <c r="E662" s="65">
        <v>168</v>
      </c>
      <c r="F662">
        <v>327</v>
      </c>
      <c r="G662">
        <v>0</v>
      </c>
      <c r="I662">
        <v>0</v>
      </c>
      <c r="J662">
        <v>0</v>
      </c>
      <c r="K662" s="23">
        <f>IF(Tableau1[[#This Row],[Quantité (H)]]=0,0,Tableau1[[#This Row],[Gasoil (L)]]/Tableau1[[#This Row],[Quantité (H)]])</f>
        <v>1.9464285714285714</v>
      </c>
      <c r="M662" s="23">
        <v>3270</v>
      </c>
      <c r="N662" s="23">
        <v>10920</v>
      </c>
      <c r="O662" s="23">
        <f>Tableau1[[#This Row],[Productivité]]-Tableau1[[#This Row],[ les Charges]]</f>
        <v>7650</v>
      </c>
    </row>
    <row r="663" spans="1:15" hidden="1" x14ac:dyDescent="0.25">
      <c r="A663" s="13">
        <v>44439</v>
      </c>
      <c r="B663" t="s">
        <v>84</v>
      </c>
      <c r="C663" s="65" t="s">
        <v>87</v>
      </c>
      <c r="D663" t="s">
        <v>105</v>
      </c>
      <c r="E663" s="65">
        <v>174</v>
      </c>
      <c r="F663">
        <v>365</v>
      </c>
      <c r="G663">
        <v>2</v>
      </c>
      <c r="I663">
        <v>2</v>
      </c>
      <c r="J663">
        <v>5</v>
      </c>
      <c r="K663" s="23">
        <f>IF(Tableau1[[#This Row],[Quantité (H)]]=0,0,Tableau1[[#This Row],[Gasoil (L)]]/Tableau1[[#This Row],[Quantité (H)]])</f>
        <v>2.0977011494252875</v>
      </c>
      <c r="M663" s="23">
        <v>3755</v>
      </c>
      <c r="N663" s="23">
        <v>11310</v>
      </c>
      <c r="O663" s="23">
        <f>Tableau1[[#This Row],[Productivité]]-Tableau1[[#This Row],[ les Charges]]</f>
        <v>7555</v>
      </c>
    </row>
    <row r="664" spans="1:15" hidden="1" x14ac:dyDescent="0.25">
      <c r="A664" s="13">
        <v>44439</v>
      </c>
      <c r="B664" t="s">
        <v>84</v>
      </c>
      <c r="C664" s="65" t="s">
        <v>88</v>
      </c>
      <c r="D664" t="s">
        <v>64</v>
      </c>
      <c r="E664" s="65">
        <v>17</v>
      </c>
      <c r="F664">
        <v>196</v>
      </c>
      <c r="J664">
        <v>45</v>
      </c>
      <c r="K664" s="23">
        <f>IF(Tableau1[[#This Row],[Quantité (H)]]=0,0,Tableau1[[#This Row],[Gasoil (L)]]/Tableau1[[#This Row],[Quantité (H)]])</f>
        <v>11.529411764705882</v>
      </c>
      <c r="M664" s="23">
        <v>1360</v>
      </c>
      <c r="N664" s="23">
        <v>12400</v>
      </c>
      <c r="O664" s="23">
        <f>Tableau1[[#This Row],[Productivité]]-Tableau1[[#This Row],[ les Charges]]</f>
        <v>11040</v>
      </c>
    </row>
    <row r="665" spans="1:15" hidden="1" x14ac:dyDescent="0.25">
      <c r="A665" s="13">
        <v>44439</v>
      </c>
      <c r="B665" t="s">
        <v>116</v>
      </c>
      <c r="C665" s="65" t="s">
        <v>88</v>
      </c>
      <c r="D665" t="s">
        <v>65</v>
      </c>
      <c r="E665" s="3">
        <v>1</v>
      </c>
      <c r="F665">
        <v>107</v>
      </c>
      <c r="J665">
        <v>3</v>
      </c>
      <c r="K665" s="23">
        <f>IF(Tableau1[[#This Row],[Quantité (H)]]=0,0,Tableau1[[#This Row],[Gasoil (L)]]/Tableau1[[#This Row],[Quantité (H)]])</f>
        <v>107</v>
      </c>
      <c r="M665" s="23">
        <v>1070</v>
      </c>
      <c r="O665" s="23">
        <f>Tableau1[[#This Row],[Productivité]]-Tableau1[[#This Row],[ les Charges]]</f>
        <v>-1070</v>
      </c>
    </row>
    <row r="666" spans="1:15" hidden="1" x14ac:dyDescent="0.25">
      <c r="A666" s="13">
        <v>44439</v>
      </c>
      <c r="B666" t="s">
        <v>116</v>
      </c>
      <c r="C666" s="65" t="s">
        <v>88</v>
      </c>
      <c r="D666" s="65" t="s">
        <v>66</v>
      </c>
      <c r="E666" s="3">
        <v>0</v>
      </c>
      <c r="F666">
        <v>0</v>
      </c>
      <c r="K666" s="23">
        <f>IF(Tableau1[[#This Row],[Quantité (H)]]=0,0,Tableau1[[#This Row],[Gasoil (L)]]/Tableau1[[#This Row],[Quantité (H)]])</f>
        <v>0</v>
      </c>
      <c r="M666" s="23">
        <v>810</v>
      </c>
      <c r="N666" s="23">
        <v>12400</v>
      </c>
      <c r="O666" s="23">
        <f>Tableau1[[#This Row],[Productivité]]-Tableau1[[#This Row],[ les Charges]]</f>
        <v>11590</v>
      </c>
    </row>
    <row r="667" spans="1:15" hidden="1" x14ac:dyDescent="0.25">
      <c r="A667" s="13">
        <v>44439</v>
      </c>
      <c r="B667" t="s">
        <v>83</v>
      </c>
      <c r="C667" s="65" t="s">
        <v>88</v>
      </c>
      <c r="D667" t="s">
        <v>67</v>
      </c>
      <c r="E667" s="3">
        <v>171</v>
      </c>
      <c r="F667">
        <v>105</v>
      </c>
      <c r="K667" s="23">
        <f>IF(Tableau1[[#This Row],[Quantité (H)]]=0,0,Tableau1[[#This Row],[Gasoil (L)]]/Tableau1[[#This Row],[Quantité (H)]])</f>
        <v>0.61403508771929827</v>
      </c>
      <c r="M667" s="23">
        <v>1050</v>
      </c>
      <c r="N667" s="23">
        <v>7800</v>
      </c>
      <c r="O667" s="23">
        <f>Tableau1[[#This Row],[Productivité]]-Tableau1[[#This Row],[ les Charges]]</f>
        <v>6750</v>
      </c>
    </row>
    <row r="668" spans="1:15" hidden="1" x14ac:dyDescent="0.25">
      <c r="A668" s="13">
        <v>44439</v>
      </c>
      <c r="B668" t="s">
        <v>116</v>
      </c>
      <c r="C668" s="65" t="s">
        <v>88</v>
      </c>
      <c r="D668" t="s">
        <v>69</v>
      </c>
      <c r="E668" s="65">
        <v>144</v>
      </c>
      <c r="F668">
        <v>267.94</v>
      </c>
      <c r="K668" s="23">
        <f>IF(Tableau1[[#This Row],[Quantité (H)]]=0,0,Tableau1[[#This Row],[Gasoil (L)]]/Tableau1[[#This Row],[Quantité (H)]])</f>
        <v>1.8606944444444444</v>
      </c>
      <c r="M668" s="23">
        <v>2679.4</v>
      </c>
      <c r="N668" s="23">
        <v>5400</v>
      </c>
      <c r="O668" s="23">
        <f>Tableau1[[#This Row],[Productivité]]-Tableau1[[#This Row],[ les Charges]]</f>
        <v>2720.6</v>
      </c>
    </row>
    <row r="669" spans="1:15" hidden="1" x14ac:dyDescent="0.25">
      <c r="A669" s="13">
        <v>44439</v>
      </c>
      <c r="B669" t="s">
        <v>84</v>
      </c>
      <c r="C669" s="65" t="s">
        <v>88</v>
      </c>
      <c r="D669" t="s">
        <v>70</v>
      </c>
      <c r="E669" s="65">
        <v>0</v>
      </c>
      <c r="F669">
        <v>309</v>
      </c>
      <c r="K669" s="23">
        <f>IF(Tableau1[[#This Row],[Quantité (H)]]=0,0,Tableau1[[#This Row],[Gasoil (L)]]/Tableau1[[#This Row],[Quantité (H)]])</f>
        <v>0</v>
      </c>
      <c r="L669" s="23">
        <v>5.0999999999999996</v>
      </c>
      <c r="M669" s="23">
        <v>3090</v>
      </c>
      <c r="N669" s="23">
        <v>9300</v>
      </c>
      <c r="O669" s="23">
        <f>Tableau1[[#This Row],[Productivité]]-Tableau1[[#This Row],[ les Charges]]</f>
        <v>6210</v>
      </c>
    </row>
    <row r="670" spans="1:15" hidden="1" x14ac:dyDescent="0.25">
      <c r="A670" s="13">
        <v>44439</v>
      </c>
      <c r="B670" t="s">
        <v>83</v>
      </c>
      <c r="C670" s="65" t="s">
        <v>88</v>
      </c>
      <c r="D670" t="s">
        <v>71</v>
      </c>
      <c r="E670" s="65">
        <v>260</v>
      </c>
      <c r="F670">
        <v>428</v>
      </c>
      <c r="K670" s="23">
        <f>IF(Tableau1[[#This Row],[Quantité (H)]]=0,0,Tableau1[[#This Row],[Gasoil (L)]]/Tableau1[[#This Row],[Quantité (H)]])</f>
        <v>1.6461538461538461</v>
      </c>
      <c r="L670" s="23">
        <v>6.81</v>
      </c>
      <c r="M670" s="23">
        <v>4280</v>
      </c>
      <c r="N670" s="23">
        <v>9300</v>
      </c>
      <c r="O670" s="23">
        <f>Tableau1[[#This Row],[Productivité]]-Tableau1[[#This Row],[ les Charges]]</f>
        <v>5020</v>
      </c>
    </row>
    <row r="671" spans="1:15" hidden="1" x14ac:dyDescent="0.25">
      <c r="A671" s="13">
        <v>44439</v>
      </c>
      <c r="B671" t="s">
        <v>84</v>
      </c>
      <c r="C671" s="65" t="s">
        <v>88</v>
      </c>
      <c r="D671" t="s">
        <v>72</v>
      </c>
      <c r="E671" s="65">
        <v>26</v>
      </c>
      <c r="F671">
        <v>267.12</v>
      </c>
      <c r="K671" s="23">
        <f>IF(Tableau1[[#This Row],[Quantité (H)]]=0,0,Tableau1[[#This Row],[Gasoil (L)]]/Tableau1[[#This Row],[Quantité (H)]])</f>
        <v>10.273846153846154</v>
      </c>
      <c r="M671" s="23">
        <v>2942.25</v>
      </c>
      <c r="N671" s="23">
        <v>7800</v>
      </c>
      <c r="O671" s="23">
        <f>Tableau1[[#This Row],[Productivité]]-Tableau1[[#This Row],[ les Charges]]</f>
        <v>4857.75</v>
      </c>
    </row>
    <row r="672" spans="1:15" hidden="1" x14ac:dyDescent="0.25">
      <c r="A672" s="13">
        <v>44439</v>
      </c>
      <c r="B672" t="s">
        <v>84</v>
      </c>
      <c r="C672" s="65" t="s">
        <v>88</v>
      </c>
      <c r="D672" t="s">
        <v>73</v>
      </c>
      <c r="E672" s="65">
        <v>142</v>
      </c>
      <c r="F672">
        <v>394</v>
      </c>
      <c r="K672" s="23">
        <f>IF(Tableau1[[#This Row],[Quantité (H)]]=0,0,Tableau1[[#This Row],[Gasoil (L)]]/Tableau1[[#This Row],[Quantité (H)]])</f>
        <v>2.7746478873239435</v>
      </c>
      <c r="M672" s="23">
        <v>1970</v>
      </c>
      <c r="N672" s="23">
        <v>4686</v>
      </c>
      <c r="O672" s="23">
        <f>Tableau1[[#This Row],[Productivité]]-Tableau1[[#This Row],[ les Charges]]</f>
        <v>2716</v>
      </c>
    </row>
    <row r="673" spans="1:20" hidden="1" x14ac:dyDescent="0.25">
      <c r="A673" s="13">
        <v>44439</v>
      </c>
      <c r="B673" t="s">
        <v>83</v>
      </c>
      <c r="C673" s="65" t="s">
        <v>88</v>
      </c>
      <c r="D673" t="s">
        <v>74</v>
      </c>
      <c r="E673" s="65">
        <v>117</v>
      </c>
      <c r="F673">
        <v>50.620000000000005</v>
      </c>
      <c r="K673" s="23">
        <f>IF(Tableau1[[#This Row],[Quantité (H)]]=0,0,Tableau1[[#This Row],[Gasoil (L)]]/Tableau1[[#This Row],[Quantité (H)]])</f>
        <v>0.43264957264957271</v>
      </c>
      <c r="M673" s="23">
        <v>506</v>
      </c>
      <c r="N673" s="23">
        <v>4500</v>
      </c>
      <c r="O673" s="23">
        <f>Tableau1[[#This Row],[Productivité]]-Tableau1[[#This Row],[ les Charges]]</f>
        <v>3994</v>
      </c>
    </row>
    <row r="674" spans="1:20" hidden="1" x14ac:dyDescent="0.25">
      <c r="A674" s="13">
        <v>44439</v>
      </c>
      <c r="B674" t="s">
        <v>84</v>
      </c>
      <c r="C674" s="65" t="s">
        <v>88</v>
      </c>
      <c r="D674" t="s">
        <v>75</v>
      </c>
      <c r="E674" s="65">
        <v>236</v>
      </c>
      <c r="F674">
        <v>347</v>
      </c>
      <c r="K674" s="23">
        <f>IF(Tableau1[[#This Row],[Quantité (H)]]=0,0,Tableau1[[#This Row],[Gasoil (L)]]/Tableau1[[#This Row],[Quantité (H)]])</f>
        <v>1.4703389830508475</v>
      </c>
      <c r="L674" s="23">
        <v>6.75</v>
      </c>
      <c r="M674" s="23">
        <v>3110</v>
      </c>
      <c r="N674" s="23">
        <v>7836</v>
      </c>
      <c r="O674" s="23">
        <f>Tableau1[[#This Row],[Productivité]]-Tableau1[[#This Row],[ les Charges]]</f>
        <v>4726</v>
      </c>
    </row>
    <row r="675" spans="1:20" hidden="1" x14ac:dyDescent="0.25">
      <c r="A675" s="13">
        <v>44439</v>
      </c>
      <c r="B675" t="s">
        <v>84</v>
      </c>
      <c r="C675" s="65" t="s">
        <v>88</v>
      </c>
      <c r="D675" s="65" t="s">
        <v>76</v>
      </c>
      <c r="E675" s="65">
        <v>104</v>
      </c>
      <c r="F675">
        <v>237</v>
      </c>
      <c r="K675" s="23">
        <f>IF(Tableau1[[#This Row],[Quantité (H)]]=0,0,Tableau1[[#This Row],[Gasoil (L)]]/Tableau1[[#This Row],[Quantité (H)]])</f>
        <v>2.2788461538461537</v>
      </c>
      <c r="M675" s="23">
        <v>1960</v>
      </c>
      <c r="N675" s="23">
        <v>9300</v>
      </c>
      <c r="O675" s="23">
        <f>Tableau1[[#This Row],[Productivité]]-Tableau1[[#This Row],[ les Charges]]</f>
        <v>7340</v>
      </c>
    </row>
    <row r="676" spans="1:20" hidden="1" x14ac:dyDescent="0.25">
      <c r="A676" s="13">
        <v>44439</v>
      </c>
      <c r="B676" t="s">
        <v>84</v>
      </c>
      <c r="C676" s="65" t="s">
        <v>88</v>
      </c>
      <c r="D676" t="s">
        <v>77</v>
      </c>
      <c r="E676" s="3">
        <v>67</v>
      </c>
      <c r="F676">
        <v>79</v>
      </c>
      <c r="K676" s="23">
        <f>IF(Tableau1[[#This Row],[Quantité (H)]]=0,0,Tableau1[[#This Row],[Gasoil (L)]]/Tableau1[[#This Row],[Quantité (H)]])</f>
        <v>1.1791044776119404</v>
      </c>
      <c r="M676" s="23">
        <v>790</v>
      </c>
      <c r="N676" s="23">
        <v>2211</v>
      </c>
      <c r="O676" s="23">
        <f>Tableau1[[#This Row],[Productivité]]-Tableau1[[#This Row],[ les Charges]]</f>
        <v>1421</v>
      </c>
    </row>
    <row r="677" spans="1:20" hidden="1" x14ac:dyDescent="0.25">
      <c r="A677" s="13">
        <v>44439</v>
      </c>
      <c r="B677" t="s">
        <v>116</v>
      </c>
      <c r="C677" s="65" t="s">
        <v>88</v>
      </c>
      <c r="D677" t="s">
        <v>78</v>
      </c>
      <c r="E677" s="65">
        <v>308</v>
      </c>
      <c r="F677">
        <v>271</v>
      </c>
      <c r="K677" s="23">
        <f>IF(Tableau1[[#This Row],[Quantité (H)]]=0,0,Tableau1[[#This Row],[Gasoil (L)]]/Tableau1[[#This Row],[Quantité (H)]])</f>
        <v>0.87987012987012991</v>
      </c>
      <c r="M677" s="23">
        <v>2710</v>
      </c>
      <c r="N677" s="23">
        <v>15054</v>
      </c>
      <c r="O677" s="23">
        <f>Tableau1[[#This Row],[Productivité]]-Tableau1[[#This Row],[ les Charges]]</f>
        <v>12344</v>
      </c>
    </row>
    <row r="678" spans="1:20" hidden="1" x14ac:dyDescent="0.25">
      <c r="A678" s="13">
        <v>44439</v>
      </c>
      <c r="B678" t="s">
        <v>116</v>
      </c>
      <c r="C678" s="65" t="s">
        <v>88</v>
      </c>
      <c r="D678" t="s">
        <v>132</v>
      </c>
      <c r="E678" s="65">
        <v>0</v>
      </c>
      <c r="F678">
        <v>72</v>
      </c>
      <c r="K678" s="23">
        <f>IF(Tableau1[[#This Row],[Quantité (H)]]=0,0,Tableau1[[#This Row],[Gasoil (L)]]/Tableau1[[#This Row],[Quantité (H)]])</f>
        <v>0</v>
      </c>
      <c r="M678" s="23">
        <v>720</v>
      </c>
      <c r="N678" s="23">
        <v>9300</v>
      </c>
      <c r="O678" s="23">
        <f>Tableau1[[#This Row],[Productivité]]-Tableau1[[#This Row],[ les Charges]]</f>
        <v>8580</v>
      </c>
    </row>
    <row r="679" spans="1:20" hidden="1" x14ac:dyDescent="0.25">
      <c r="A679" s="13">
        <v>44439</v>
      </c>
      <c r="B679" t="s">
        <v>83</v>
      </c>
      <c r="C679" s="65" t="s">
        <v>88</v>
      </c>
      <c r="D679" t="s">
        <v>165</v>
      </c>
      <c r="E679" s="65">
        <v>13</v>
      </c>
      <c r="F679">
        <v>282</v>
      </c>
      <c r="K679" s="23">
        <f>IF(Tableau1[[#This Row],[Quantité (H)]]=0,0,Tableau1[[#This Row],[Gasoil (L)]]/Tableau1[[#This Row],[Quantité (H)]])</f>
        <v>21.692307692307693</v>
      </c>
      <c r="M679" s="23">
        <v>2670</v>
      </c>
      <c r="N679" s="23">
        <v>7800</v>
      </c>
      <c r="O679" s="23">
        <f>Tableau1[[#This Row],[Productivité]]-Tableau1[[#This Row],[ les Charges]]</f>
        <v>5130</v>
      </c>
    </row>
    <row r="680" spans="1:20" hidden="1" x14ac:dyDescent="0.25">
      <c r="A680" s="13">
        <v>44469</v>
      </c>
      <c r="B680" t="s">
        <v>116</v>
      </c>
      <c r="C680" s="65" t="s">
        <v>92</v>
      </c>
      <c r="D680" t="s">
        <v>31</v>
      </c>
      <c r="E680" s="65">
        <v>0</v>
      </c>
      <c r="F680">
        <v>0</v>
      </c>
      <c r="G680">
        <v>0</v>
      </c>
      <c r="H680">
        <v>0</v>
      </c>
      <c r="I680">
        <v>5</v>
      </c>
      <c r="J680">
        <v>0</v>
      </c>
      <c r="K680" s="64">
        <f>IF(Tableau1[[#This Row],[Quantité (H)]]=0,0,Tableau1[[#This Row],[Gasoil (L)]]/Tableau1[[#This Row],[Quantité (H)]])</f>
        <v>0</v>
      </c>
      <c r="M680" s="23">
        <v>550</v>
      </c>
      <c r="N680" s="23">
        <v>5600</v>
      </c>
      <c r="O680" s="64">
        <f>Tableau1[[#This Row],[Productivité]]-Tableau1[[#This Row],[ les Charges]]</f>
        <v>5050</v>
      </c>
      <c r="Q680" s="22" t="str">
        <f>IF(Tableau1[[#This Row],[Code]]=R680,"ok")</f>
        <v>ok</v>
      </c>
      <c r="R680" s="23" t="s">
        <v>31</v>
      </c>
      <c r="S680" s="23">
        <v>550</v>
      </c>
      <c r="T680">
        <v>5600</v>
      </c>
    </row>
    <row r="681" spans="1:20" hidden="1" x14ac:dyDescent="0.25">
      <c r="A681" s="66">
        <v>44469</v>
      </c>
      <c r="B681" s="65" t="s">
        <v>116</v>
      </c>
      <c r="C681" s="65" t="s">
        <v>40</v>
      </c>
      <c r="D681" s="65" t="s">
        <v>16</v>
      </c>
      <c r="E681" s="65"/>
      <c r="F681" s="65"/>
      <c r="G681" s="65"/>
      <c r="H681" s="65"/>
      <c r="I681" s="65"/>
      <c r="J681" s="65"/>
      <c r="K681" s="64">
        <f>IF(Tableau1[[#This Row],[Quantité (H)]]=0,0,Tableau1[[#This Row],[Gasoil (L)]]/Tableau1[[#This Row],[Quantité (H)]])</f>
        <v>0</v>
      </c>
      <c r="M681" s="23">
        <v>1629.17</v>
      </c>
      <c r="O681" s="64">
        <f>Tableau1[[#This Row],[Productivité]]-Tableau1[[#This Row],[ les Charges]]</f>
        <v>-1629.17</v>
      </c>
      <c r="Q681" s="22" t="str">
        <f>IF(Tableau1[[#This Row],[Code]]=R681,"ok")</f>
        <v>ok</v>
      </c>
      <c r="R681" s="23" t="s">
        <v>16</v>
      </c>
      <c r="S681" s="23">
        <v>1629.17</v>
      </c>
    </row>
    <row r="682" spans="1:20" hidden="1" x14ac:dyDescent="0.25">
      <c r="A682" s="66">
        <v>44469</v>
      </c>
      <c r="B682" t="s">
        <v>160</v>
      </c>
      <c r="C682" s="65" t="s">
        <v>40</v>
      </c>
      <c r="D682" t="s">
        <v>17</v>
      </c>
      <c r="E682" s="65">
        <v>44</v>
      </c>
      <c r="F682">
        <v>475</v>
      </c>
      <c r="G682">
        <v>27</v>
      </c>
      <c r="H682">
        <v>0</v>
      </c>
      <c r="I682">
        <v>0</v>
      </c>
      <c r="J682">
        <v>0</v>
      </c>
      <c r="K682" s="64">
        <f>IF(Tableau1[[#This Row],[Quantité (H)]]=0,0,Tableau1[[#This Row],[Gasoil (L)]]/Tableau1[[#This Row],[Quantité (H)]])</f>
        <v>10.795454545454545</v>
      </c>
      <c r="M682" s="23">
        <v>5830</v>
      </c>
      <c r="N682" s="23">
        <v>8800</v>
      </c>
      <c r="O682" s="64">
        <f>Tableau1[[#This Row],[Productivité]]-Tableau1[[#This Row],[ les Charges]]</f>
        <v>2970</v>
      </c>
      <c r="Q682" s="22" t="str">
        <f>IF(Tableau1[[#This Row],[Code]]=R682,"ok")</f>
        <v>ok</v>
      </c>
      <c r="R682" s="23" t="s">
        <v>17</v>
      </c>
      <c r="S682" s="23">
        <v>5830</v>
      </c>
      <c r="T682">
        <v>8800</v>
      </c>
    </row>
    <row r="683" spans="1:20" hidden="1" x14ac:dyDescent="0.25">
      <c r="A683" s="66">
        <v>44469</v>
      </c>
      <c r="B683" t="s">
        <v>160</v>
      </c>
      <c r="C683" s="65" t="s">
        <v>40</v>
      </c>
      <c r="D683" t="s">
        <v>18</v>
      </c>
      <c r="E683" s="65">
        <v>44</v>
      </c>
      <c r="F683">
        <v>177</v>
      </c>
      <c r="G683">
        <v>0</v>
      </c>
      <c r="H683">
        <v>0</v>
      </c>
      <c r="I683">
        <v>0</v>
      </c>
      <c r="J683">
        <v>0</v>
      </c>
      <c r="K683" s="64">
        <f>IF(Tableau1[[#This Row],[Quantité (H)]]=0,0,Tableau1[[#This Row],[Gasoil (L)]]/Tableau1[[#This Row],[Quantité (H)]])</f>
        <v>4.0227272727272725</v>
      </c>
      <c r="M683" s="23">
        <v>1770</v>
      </c>
      <c r="N683" s="23">
        <v>13200</v>
      </c>
      <c r="O683" s="64">
        <f>Tableau1[[#This Row],[Productivité]]-Tableau1[[#This Row],[ les Charges]]</f>
        <v>11430</v>
      </c>
      <c r="Q683" s="22" t="str">
        <f>IF(Tableau1[[#This Row],[Code]]=R683,"ok")</f>
        <v>ok</v>
      </c>
      <c r="R683" s="23" t="s">
        <v>18</v>
      </c>
      <c r="S683" s="23">
        <v>1770</v>
      </c>
      <c r="T683">
        <v>13200</v>
      </c>
    </row>
    <row r="684" spans="1:20" hidden="1" x14ac:dyDescent="0.25">
      <c r="A684" s="66">
        <v>44469</v>
      </c>
      <c r="B684" t="s">
        <v>116</v>
      </c>
      <c r="C684" s="65" t="s">
        <v>40</v>
      </c>
      <c r="D684" t="s">
        <v>19</v>
      </c>
      <c r="E684" s="65">
        <v>100</v>
      </c>
      <c r="F684">
        <v>1371</v>
      </c>
      <c r="G684">
        <v>10</v>
      </c>
      <c r="H684">
        <v>0</v>
      </c>
      <c r="I684">
        <v>10</v>
      </c>
      <c r="J684">
        <v>0</v>
      </c>
      <c r="K684" s="64">
        <f>IF(Tableau1[[#This Row],[Quantité (H)]]=0,0,Tableau1[[#This Row],[Gasoil (L)]]/Tableau1[[#This Row],[Quantité (H)]])</f>
        <v>13.71</v>
      </c>
      <c r="M684" s="23">
        <v>15448.85</v>
      </c>
      <c r="N684" s="23">
        <v>19800</v>
      </c>
      <c r="O684" s="64">
        <f>Tableau1[[#This Row],[Productivité]]-Tableau1[[#This Row],[ les Charges]]</f>
        <v>4351.1499999999996</v>
      </c>
      <c r="Q684" s="22" t="str">
        <f>IF(Tableau1[[#This Row],[Code]]=R684,"ok")</f>
        <v>ok</v>
      </c>
      <c r="R684" s="23" t="s">
        <v>19</v>
      </c>
      <c r="S684" s="23">
        <v>15448.85</v>
      </c>
      <c r="T684">
        <v>19800</v>
      </c>
    </row>
    <row r="685" spans="1:20" hidden="1" x14ac:dyDescent="0.25">
      <c r="A685" s="66">
        <v>44469</v>
      </c>
      <c r="B685" s="65" t="s">
        <v>84</v>
      </c>
      <c r="C685" s="65" t="s">
        <v>40</v>
      </c>
      <c r="D685" s="65" t="s">
        <v>150</v>
      </c>
      <c r="E685" s="3"/>
      <c r="F685" s="65"/>
      <c r="G685" s="65"/>
      <c r="H685" s="65"/>
      <c r="I685" s="65"/>
      <c r="J685" s="65"/>
      <c r="K685" s="64">
        <f>IF(Tableau1[[#This Row],[Quantité (H)]]=0,0,Tableau1[[#This Row],[Gasoil (L)]]/Tableau1[[#This Row],[Quantité (H)]])</f>
        <v>0</v>
      </c>
      <c r="M685" s="23">
        <v>200</v>
      </c>
      <c r="O685" s="64">
        <f>Tableau1[[#This Row],[Productivité]]-Tableau1[[#This Row],[ les Charges]]</f>
        <v>-200</v>
      </c>
      <c r="Q685" s="22" t="str">
        <f>IF(Tableau1[[#This Row],[Code]]=R685,"ok")</f>
        <v>ok</v>
      </c>
      <c r="R685" s="23" t="s">
        <v>150</v>
      </c>
      <c r="S685" s="23">
        <v>200</v>
      </c>
    </row>
    <row r="686" spans="1:20" hidden="1" x14ac:dyDescent="0.25">
      <c r="A686" s="66">
        <v>44469</v>
      </c>
      <c r="B686" t="s">
        <v>116</v>
      </c>
      <c r="C686" s="65" t="s">
        <v>40</v>
      </c>
      <c r="D686" t="s">
        <v>156</v>
      </c>
      <c r="E686" s="3">
        <v>90</v>
      </c>
      <c r="F686">
        <v>1595</v>
      </c>
      <c r="G686">
        <v>0</v>
      </c>
      <c r="H686">
        <v>0</v>
      </c>
      <c r="I686">
        <v>0</v>
      </c>
      <c r="J686">
        <v>0</v>
      </c>
      <c r="K686" s="64">
        <f>IF(Tableau1[[#This Row],[Quantité (H)]]=0,0,Tableau1[[#This Row],[Gasoil (L)]]/Tableau1[[#This Row],[Quantité (H)]])</f>
        <v>17.722222222222221</v>
      </c>
      <c r="M686" s="23">
        <v>15950</v>
      </c>
      <c r="N686" s="23">
        <v>18000</v>
      </c>
      <c r="O686" s="64">
        <f>Tableau1[[#This Row],[Productivité]]-Tableau1[[#This Row],[ les Charges]]</f>
        <v>2050</v>
      </c>
      <c r="Q686" s="22" t="str">
        <f>IF(Tableau1[[#This Row],[Code]]=R686,"ok")</f>
        <v>ok</v>
      </c>
      <c r="R686" s="23" t="s">
        <v>156</v>
      </c>
      <c r="S686" s="23">
        <v>15950</v>
      </c>
      <c r="T686">
        <v>18000</v>
      </c>
    </row>
    <row r="687" spans="1:20" hidden="1" x14ac:dyDescent="0.25">
      <c r="A687" s="66">
        <v>44469</v>
      </c>
      <c r="B687" t="s">
        <v>178</v>
      </c>
      <c r="C687" s="65" t="s">
        <v>85</v>
      </c>
      <c r="D687" s="67" t="s">
        <v>44</v>
      </c>
      <c r="E687" s="3">
        <v>228</v>
      </c>
      <c r="F687">
        <v>1133</v>
      </c>
      <c r="G687">
        <v>0</v>
      </c>
      <c r="H687">
        <v>0</v>
      </c>
      <c r="I687">
        <v>0</v>
      </c>
      <c r="J687">
        <v>0</v>
      </c>
      <c r="K687" s="64">
        <f>IF(Tableau1[[#This Row],[Quantité (H)]]=0,0,Tableau1[[#This Row],[Gasoil (L)]]/Tableau1[[#This Row],[Quantité (H)]])</f>
        <v>4.9692982456140351</v>
      </c>
      <c r="M687" s="23">
        <v>33586.089999999997</v>
      </c>
      <c r="N687" s="23">
        <v>63840</v>
      </c>
      <c r="O687" s="64">
        <f>Tableau1[[#This Row],[Productivité]]-Tableau1[[#This Row],[ les Charges]]</f>
        <v>30253.910000000003</v>
      </c>
      <c r="Q687" s="22" t="str">
        <f>IF(Tableau1[[#This Row],[Code]]=R687,"ok")</f>
        <v>ok</v>
      </c>
      <c r="R687" s="23" t="s">
        <v>44</v>
      </c>
      <c r="S687" s="23">
        <v>33586.089999999997</v>
      </c>
      <c r="T687">
        <v>63840</v>
      </c>
    </row>
    <row r="688" spans="1:20" hidden="1" x14ac:dyDescent="0.25">
      <c r="A688" s="66">
        <v>44469</v>
      </c>
      <c r="B688" t="s">
        <v>84</v>
      </c>
      <c r="C688" s="65" t="s">
        <v>85</v>
      </c>
      <c r="D688" s="67" t="s">
        <v>45</v>
      </c>
      <c r="E688" s="65">
        <v>240</v>
      </c>
      <c r="F688">
        <v>1320</v>
      </c>
      <c r="G688">
        <v>0</v>
      </c>
      <c r="H688">
        <v>0</v>
      </c>
      <c r="I688">
        <v>0</v>
      </c>
      <c r="J688">
        <v>0</v>
      </c>
      <c r="K688" s="64">
        <f>IF(Tableau1[[#This Row],[Quantité (H)]]=0,0,Tableau1[[#This Row],[Gasoil (L)]]/Tableau1[[#This Row],[Quantité (H)]])</f>
        <v>5.5</v>
      </c>
      <c r="L688" s="23">
        <v>76.515151515151516</v>
      </c>
      <c r="M688" s="23">
        <v>35932.76</v>
      </c>
      <c r="N688" s="23">
        <v>67200</v>
      </c>
      <c r="O688" s="64">
        <f>Tableau1[[#This Row],[Productivité]]-Tableau1[[#This Row],[ les Charges]]</f>
        <v>31267.239999999998</v>
      </c>
      <c r="Q688" s="22" t="str">
        <f>IF(Tableau1[[#This Row],[Code]]=R688,"ok")</f>
        <v>ok</v>
      </c>
      <c r="R688" s="23" t="s">
        <v>45</v>
      </c>
      <c r="S688" s="23">
        <v>35932.76</v>
      </c>
      <c r="T688">
        <v>67200</v>
      </c>
    </row>
    <row r="689" spans="1:25" hidden="1" x14ac:dyDescent="0.25">
      <c r="A689" s="66">
        <v>44469</v>
      </c>
      <c r="B689" t="s">
        <v>178</v>
      </c>
      <c r="C689" s="65" t="s">
        <v>85</v>
      </c>
      <c r="D689" s="67" t="s">
        <v>46</v>
      </c>
      <c r="E689" s="65">
        <v>242</v>
      </c>
      <c r="F689">
        <v>2117</v>
      </c>
      <c r="G689">
        <v>0</v>
      </c>
      <c r="H689">
        <v>0</v>
      </c>
      <c r="I689">
        <v>0</v>
      </c>
      <c r="J689">
        <v>0</v>
      </c>
      <c r="K689" s="64">
        <f>IF(Tableau1[[#This Row],[Quantité (H)]]=0,0,Tableau1[[#This Row],[Gasoil (L)]]/Tableau1[[#This Row],[Quantité (H)]])</f>
        <v>8.7479338842975203</v>
      </c>
      <c r="L689" s="23">
        <v>82.888176638176859</v>
      </c>
      <c r="M689" s="23">
        <v>21171</v>
      </c>
      <c r="N689" s="23">
        <v>65240</v>
      </c>
      <c r="O689" s="64">
        <f>Tableau1[[#This Row],[Productivité]]-Tableau1[[#This Row],[ les Charges]]</f>
        <v>44069</v>
      </c>
      <c r="Q689" s="22" t="str">
        <f>IF(Tableau1[[#This Row],[Code]]=R689,"ok")</f>
        <v>ok</v>
      </c>
      <c r="R689" s="23" t="s">
        <v>46</v>
      </c>
      <c r="S689" s="23">
        <v>21171</v>
      </c>
      <c r="T689">
        <v>65240</v>
      </c>
      <c r="X689" s="22" t="s">
        <v>45</v>
      </c>
      <c r="Y689" s="22">
        <v>76.515151515151516</v>
      </c>
    </row>
    <row r="690" spans="1:25" hidden="1" x14ac:dyDescent="0.25">
      <c r="A690" s="66">
        <v>44469</v>
      </c>
      <c r="B690" t="s">
        <v>178</v>
      </c>
      <c r="C690" s="65" t="s">
        <v>85</v>
      </c>
      <c r="D690" s="67" t="s">
        <v>47</v>
      </c>
      <c r="E690" s="65">
        <v>204</v>
      </c>
      <c r="F690">
        <v>1437</v>
      </c>
      <c r="G690">
        <v>0</v>
      </c>
      <c r="H690">
        <v>0</v>
      </c>
      <c r="I690">
        <v>0</v>
      </c>
      <c r="J690">
        <v>0</v>
      </c>
      <c r="K690" s="64">
        <f>IF(Tableau1[[#This Row],[Quantité (H)]]=0,0,Tableau1[[#This Row],[Gasoil (L)]]/Tableau1[[#This Row],[Quantité (H)]])</f>
        <v>7.0441176470588234</v>
      </c>
      <c r="L690" s="23">
        <v>89.882352941176464</v>
      </c>
      <c r="M690" s="23">
        <v>14370</v>
      </c>
      <c r="N690" s="23">
        <v>57120</v>
      </c>
      <c r="O690" s="64">
        <f>Tableau1[[#This Row],[Productivité]]-Tableau1[[#This Row],[ les Charges]]</f>
        <v>42750</v>
      </c>
      <c r="Q690" s="22" t="str">
        <f>IF(Tableau1[[#This Row],[Code]]=R690,"ok")</f>
        <v>ok</v>
      </c>
      <c r="R690" s="23" t="s">
        <v>47</v>
      </c>
      <c r="S690" s="23">
        <v>14370</v>
      </c>
      <c r="T690">
        <v>57120</v>
      </c>
      <c r="X690" s="22" t="s">
        <v>46</v>
      </c>
      <c r="Y690" s="22">
        <v>82.888176638176859</v>
      </c>
    </row>
    <row r="691" spans="1:25" hidden="1" x14ac:dyDescent="0.25">
      <c r="A691" s="66">
        <v>44469</v>
      </c>
      <c r="B691" t="s">
        <v>116</v>
      </c>
      <c r="C691" s="65" t="s">
        <v>85</v>
      </c>
      <c r="D691" s="67" t="s">
        <v>48</v>
      </c>
      <c r="E691" s="65">
        <v>198.5</v>
      </c>
      <c r="F691">
        <v>673</v>
      </c>
      <c r="G691">
        <v>0</v>
      </c>
      <c r="H691">
        <v>0</v>
      </c>
      <c r="I691">
        <v>0</v>
      </c>
      <c r="J691">
        <v>0</v>
      </c>
      <c r="K691" s="64">
        <f>IF(Tableau1[[#This Row],[Quantité (H)]]=0,0,Tableau1[[#This Row],[Gasoil (L)]]/Tableau1[[#This Row],[Quantité (H)]])</f>
        <v>3.3904282115869018</v>
      </c>
      <c r="L691" s="23">
        <v>1.3508359928544189</v>
      </c>
      <c r="M691" s="23">
        <v>15942.49</v>
      </c>
      <c r="N691" s="23">
        <v>29775</v>
      </c>
      <c r="O691" s="64">
        <f>Tableau1[[#This Row],[Productivité]]-Tableau1[[#This Row],[ les Charges]]</f>
        <v>13832.51</v>
      </c>
      <c r="Q691" s="22" t="str">
        <f>IF(Tableau1[[#This Row],[Code]]=R691,"ok")</f>
        <v>ok</v>
      </c>
      <c r="R691" s="23" t="s">
        <v>48</v>
      </c>
      <c r="S691" s="23">
        <v>15942.49</v>
      </c>
      <c r="T691">
        <v>29775</v>
      </c>
      <c r="X691" s="22" t="s">
        <v>47</v>
      </c>
      <c r="Y691" s="22">
        <v>89.882352941176464</v>
      </c>
    </row>
    <row r="692" spans="1:25" hidden="1" x14ac:dyDescent="0.25">
      <c r="A692" s="66">
        <v>44469</v>
      </c>
      <c r="B692" t="s">
        <v>116</v>
      </c>
      <c r="C692" s="65" t="s">
        <v>85</v>
      </c>
      <c r="D692" s="67" t="s">
        <v>49</v>
      </c>
      <c r="E692" s="65">
        <v>112</v>
      </c>
      <c r="F692">
        <v>712</v>
      </c>
      <c r="G692">
        <v>0</v>
      </c>
      <c r="H692">
        <v>0</v>
      </c>
      <c r="I692">
        <v>0</v>
      </c>
      <c r="J692">
        <v>0</v>
      </c>
      <c r="K692" s="64">
        <f>IF(Tableau1[[#This Row],[Quantité (H)]]=0,0,Tableau1[[#This Row],[Gasoil (L)]]/Tableau1[[#This Row],[Quantité (H)]])</f>
        <v>6.3571428571428568</v>
      </c>
      <c r="L692" s="23">
        <v>53.787234042553187</v>
      </c>
      <c r="M692" s="23">
        <v>17087.169999999998</v>
      </c>
      <c r="N692" s="23">
        <v>16800</v>
      </c>
      <c r="O692" s="64">
        <f>Tableau1[[#This Row],[Productivité]]-Tableau1[[#This Row],[ les Charges]]</f>
        <v>-287.16999999999825</v>
      </c>
      <c r="Q692" s="22" t="str">
        <f>IF(Tableau1[[#This Row],[Code]]=R692,"ok")</f>
        <v>ok</v>
      </c>
      <c r="R692" s="23" t="s">
        <v>49</v>
      </c>
      <c r="S692" s="23">
        <v>17087.169999999998</v>
      </c>
      <c r="T692">
        <v>16800</v>
      </c>
      <c r="X692" s="22" t="s">
        <v>48</v>
      </c>
      <c r="Y692" s="22">
        <v>1.3508359928544189</v>
      </c>
    </row>
    <row r="693" spans="1:25" hidden="1" x14ac:dyDescent="0.25">
      <c r="A693" s="66">
        <v>44469</v>
      </c>
      <c r="B693" t="s">
        <v>116</v>
      </c>
      <c r="C693" s="65" t="s">
        <v>85</v>
      </c>
      <c r="D693" s="67" t="s">
        <v>50</v>
      </c>
      <c r="E693" s="65">
        <v>144</v>
      </c>
      <c r="F693">
        <v>634</v>
      </c>
      <c r="G693">
        <v>0</v>
      </c>
      <c r="H693">
        <v>0</v>
      </c>
      <c r="I693">
        <v>0</v>
      </c>
      <c r="J693">
        <v>0</v>
      </c>
      <c r="K693" s="64">
        <f>IF(Tableau1[[#This Row],[Quantité (H)]]=0,0,Tableau1[[#This Row],[Gasoil (L)]]/Tableau1[[#This Row],[Quantité (H)]])</f>
        <v>4.4027777777777777</v>
      </c>
      <c r="L693" s="23">
        <v>87.207702888583214</v>
      </c>
      <c r="M693" s="23">
        <v>16307.17</v>
      </c>
      <c r="N693" s="23">
        <v>20250</v>
      </c>
      <c r="O693" s="64">
        <f>Tableau1[[#This Row],[Productivité]]-Tableau1[[#This Row],[ les Charges]]</f>
        <v>3942.83</v>
      </c>
      <c r="Q693" s="22" t="str">
        <f>IF(Tableau1[[#This Row],[Code]]=R693,"ok")</f>
        <v>ok</v>
      </c>
      <c r="R693" s="23" t="s">
        <v>50</v>
      </c>
      <c r="S693" s="23">
        <v>16307.17</v>
      </c>
      <c r="T693">
        <v>20250</v>
      </c>
      <c r="X693" s="22" t="s">
        <v>49</v>
      </c>
      <c r="Y693" s="22">
        <v>53.787234042553187</v>
      </c>
    </row>
    <row r="694" spans="1:25" hidden="1" x14ac:dyDescent="0.25">
      <c r="A694" s="66">
        <v>44469</v>
      </c>
      <c r="B694" t="s">
        <v>116</v>
      </c>
      <c r="C694" s="65" t="s">
        <v>85</v>
      </c>
      <c r="D694" s="67" t="s">
        <v>54</v>
      </c>
      <c r="E694" s="65">
        <v>194.5</v>
      </c>
      <c r="F694">
        <v>1280</v>
      </c>
      <c r="G694">
        <v>0</v>
      </c>
      <c r="H694">
        <v>0</v>
      </c>
      <c r="I694">
        <v>0</v>
      </c>
      <c r="J694">
        <v>0</v>
      </c>
      <c r="K694" s="64">
        <f>IF(Tableau1[[#This Row],[Quantité (H)]]=0,0,Tableau1[[#This Row],[Gasoil (L)]]/Tableau1[[#This Row],[Quantité (H)]])</f>
        <v>6.5809768637532136</v>
      </c>
      <c r="L694" s="23">
        <v>117.53902662993572</v>
      </c>
      <c r="M694" s="23">
        <v>12800</v>
      </c>
      <c r="N694" s="23">
        <v>54460</v>
      </c>
      <c r="O694" s="64">
        <f>Tableau1[[#This Row],[Productivité]]-Tableau1[[#This Row],[ les Charges]]</f>
        <v>41660</v>
      </c>
      <c r="Q694" s="22" t="str">
        <f>IF(Tableau1[[#This Row],[Code]]=R694,"ok")</f>
        <v>ok</v>
      </c>
      <c r="R694" s="23" t="s">
        <v>54</v>
      </c>
      <c r="S694" s="23">
        <v>12800</v>
      </c>
      <c r="T694">
        <v>54460</v>
      </c>
      <c r="X694" s="22" t="s">
        <v>50</v>
      </c>
      <c r="Y694" s="22">
        <v>87.207702888583214</v>
      </c>
    </row>
    <row r="695" spans="1:25" hidden="1" x14ac:dyDescent="0.25">
      <c r="A695" s="66">
        <v>44469</v>
      </c>
      <c r="B695" t="s">
        <v>178</v>
      </c>
      <c r="C695" s="65" t="s">
        <v>85</v>
      </c>
      <c r="D695" s="67" t="s">
        <v>56</v>
      </c>
      <c r="E695" s="65">
        <v>390</v>
      </c>
      <c r="F695">
        <v>4027</v>
      </c>
      <c r="G695">
        <v>0</v>
      </c>
      <c r="H695">
        <v>0</v>
      </c>
      <c r="I695">
        <v>0</v>
      </c>
      <c r="J695">
        <v>0</v>
      </c>
      <c r="K695" s="64">
        <f>IF(Tableau1[[#This Row],[Quantité (H)]]=0,0,Tableau1[[#This Row],[Gasoil (L)]]/Tableau1[[#This Row],[Quantité (H)]])</f>
        <v>10.325641025641026</v>
      </c>
      <c r="L695" s="23">
        <v>52.188883423512053</v>
      </c>
      <c r="M695" s="23">
        <v>40270</v>
      </c>
      <c r="N695" s="23">
        <v>57600</v>
      </c>
      <c r="O695" s="64">
        <f>Tableau1[[#This Row],[Productivité]]-Tableau1[[#This Row],[ les Charges]]</f>
        <v>17330</v>
      </c>
      <c r="Q695" s="22" t="str">
        <f>IF(Tableau1[[#This Row],[Code]]=R695,"ok")</f>
        <v>ok</v>
      </c>
      <c r="R695" s="23" t="s">
        <v>56</v>
      </c>
      <c r="S695" s="23">
        <v>40270</v>
      </c>
      <c r="T695">
        <v>57600</v>
      </c>
      <c r="X695" s="22" t="s">
        <v>54</v>
      </c>
      <c r="Y695" s="22">
        <v>117.53902662993572</v>
      </c>
    </row>
    <row r="696" spans="1:25" hidden="1" x14ac:dyDescent="0.25">
      <c r="A696" s="66">
        <v>44469</v>
      </c>
      <c r="B696" t="s">
        <v>178</v>
      </c>
      <c r="C696" s="65" t="s">
        <v>85</v>
      </c>
      <c r="D696" s="67" t="s">
        <v>57</v>
      </c>
      <c r="E696" s="65">
        <v>155</v>
      </c>
      <c r="F696">
        <v>3267</v>
      </c>
      <c r="G696">
        <v>0</v>
      </c>
      <c r="H696">
        <v>0</v>
      </c>
      <c r="I696">
        <v>0</v>
      </c>
      <c r="J696">
        <v>0</v>
      </c>
      <c r="K696" s="64">
        <f>IF(Tableau1[[#This Row],[Quantité (H)]]=0,0,Tableau1[[#This Row],[Gasoil (L)]]/Tableau1[[#This Row],[Quantité (H)]])</f>
        <v>21.07741935483871</v>
      </c>
      <c r="L696" s="23">
        <v>85.54</v>
      </c>
      <c r="M696" s="23">
        <v>77761.789999999994</v>
      </c>
      <c r="N696" s="23">
        <v>67390</v>
      </c>
      <c r="O696" s="64">
        <f>Tableau1[[#This Row],[Productivité]]-Tableau1[[#This Row],[ les Charges]]</f>
        <v>-10371.789999999994</v>
      </c>
      <c r="Q696" s="22" t="str">
        <f>IF(Tableau1[[#This Row],[Code]]=R696,"ok")</f>
        <v>ok</v>
      </c>
      <c r="R696" s="23" t="s">
        <v>57</v>
      </c>
      <c r="S696" s="23">
        <v>77761.789999999994</v>
      </c>
      <c r="T696">
        <v>67390</v>
      </c>
      <c r="X696" s="22" t="s">
        <v>56</v>
      </c>
      <c r="Y696" s="22">
        <v>52.188883423512053</v>
      </c>
    </row>
    <row r="697" spans="1:25" hidden="1" x14ac:dyDescent="0.25">
      <c r="A697" s="66">
        <v>44469</v>
      </c>
      <c r="B697" t="s">
        <v>84</v>
      </c>
      <c r="C697" s="65" t="s">
        <v>85</v>
      </c>
      <c r="D697" s="67" t="s">
        <v>55</v>
      </c>
      <c r="E697" s="65">
        <v>209</v>
      </c>
      <c r="F697">
        <v>1074</v>
      </c>
      <c r="G697">
        <v>7</v>
      </c>
      <c r="H697">
        <v>0</v>
      </c>
      <c r="I697">
        <v>0</v>
      </c>
      <c r="J697">
        <v>0</v>
      </c>
      <c r="K697" s="64">
        <f>IF(Tableau1[[#This Row],[Quantité (H)]]=0,0,Tableau1[[#This Row],[Gasoil (L)]]/Tableau1[[#This Row],[Quantité (H)]])</f>
        <v>5.1387559808612444</v>
      </c>
      <c r="L697" s="23">
        <v>102</v>
      </c>
      <c r="M697" s="23">
        <v>15583.8</v>
      </c>
      <c r="N697" s="23">
        <v>58520</v>
      </c>
      <c r="O697" s="64">
        <f>Tableau1[[#This Row],[Productivité]]-Tableau1[[#This Row],[ les Charges]]</f>
        <v>42936.2</v>
      </c>
      <c r="Q697" s="22" t="str">
        <f>IF(Tableau1[[#This Row],[Code]]=R697,"ok")</f>
        <v>ok</v>
      </c>
      <c r="R697" s="23" t="s">
        <v>55</v>
      </c>
      <c r="S697" s="23">
        <v>15583.8</v>
      </c>
      <c r="T697">
        <v>58520</v>
      </c>
      <c r="X697" s="22" t="s">
        <v>57</v>
      </c>
      <c r="Y697" s="22">
        <v>85.54</v>
      </c>
    </row>
    <row r="698" spans="1:25" hidden="1" x14ac:dyDescent="0.25">
      <c r="A698" s="66">
        <v>44469</v>
      </c>
      <c r="B698" t="s">
        <v>116</v>
      </c>
      <c r="C698" s="65" t="s">
        <v>85</v>
      </c>
      <c r="D698" s="67" t="s">
        <v>134</v>
      </c>
      <c r="E698" s="65">
        <v>94</v>
      </c>
      <c r="F698">
        <v>486</v>
      </c>
      <c r="G698">
        <v>0</v>
      </c>
      <c r="H698">
        <v>0</v>
      </c>
      <c r="I698">
        <v>0</v>
      </c>
      <c r="J698">
        <v>0</v>
      </c>
      <c r="K698" s="64">
        <f>IF(Tableau1[[#This Row],[Quantité (H)]]=0,0,Tableau1[[#This Row],[Gasoil (L)]]/Tableau1[[#This Row],[Quantité (H)]])</f>
        <v>5.1702127659574471</v>
      </c>
      <c r="M698" s="23">
        <v>4860</v>
      </c>
      <c r="N698" s="23">
        <v>14100</v>
      </c>
      <c r="O698" s="64">
        <f>Tableau1[[#This Row],[Productivité]]-Tableau1[[#This Row],[ les Charges]]</f>
        <v>9240</v>
      </c>
      <c r="Q698" s="22" t="str">
        <f>IF(Tableau1[[#This Row],[Code]]=R698,"ok")</f>
        <v>ok</v>
      </c>
      <c r="R698" s="23" t="s">
        <v>134</v>
      </c>
      <c r="S698" s="23">
        <v>4860</v>
      </c>
      <c r="T698">
        <v>14100</v>
      </c>
      <c r="X698" s="22" t="s">
        <v>55</v>
      </c>
      <c r="Y698" s="22">
        <v>102</v>
      </c>
    </row>
    <row r="699" spans="1:25" hidden="1" x14ac:dyDescent="0.25">
      <c r="A699" s="66">
        <v>44469</v>
      </c>
      <c r="B699" t="s">
        <v>84</v>
      </c>
      <c r="C699" s="65" t="s">
        <v>85</v>
      </c>
      <c r="D699" s="67" t="s">
        <v>149</v>
      </c>
      <c r="E699" s="65">
        <v>161</v>
      </c>
      <c r="F699">
        <v>302</v>
      </c>
      <c r="G699">
        <v>0</v>
      </c>
      <c r="H699">
        <v>0</v>
      </c>
      <c r="I699">
        <v>0</v>
      </c>
      <c r="J699">
        <v>0</v>
      </c>
      <c r="K699" s="64">
        <f>IF(Tableau1[[#This Row],[Quantité (H)]]=0,0,Tableau1[[#This Row],[Gasoil (L)]]/Tableau1[[#This Row],[Quantité (H)]])</f>
        <v>1.8757763975155279</v>
      </c>
      <c r="L699" s="23">
        <v>27.529626253418414</v>
      </c>
      <c r="M699" s="23">
        <v>4043</v>
      </c>
      <c r="N699" s="23">
        <v>24150</v>
      </c>
      <c r="O699" s="64">
        <f>Tableau1[[#This Row],[Productivité]]-Tableau1[[#This Row],[ les Charges]]</f>
        <v>20107</v>
      </c>
      <c r="Q699" s="22" t="str">
        <f>IF(Tableau1[[#This Row],[Code]]=R699,"ok")</f>
        <v>ok</v>
      </c>
      <c r="R699" s="23" t="s">
        <v>149</v>
      </c>
      <c r="S699" s="23">
        <v>4043</v>
      </c>
      <c r="T699">
        <v>24150</v>
      </c>
    </row>
    <row r="700" spans="1:25" hidden="1" x14ac:dyDescent="0.25">
      <c r="A700" s="66">
        <v>44469</v>
      </c>
      <c r="B700" t="s">
        <v>160</v>
      </c>
      <c r="C700" s="65" t="s">
        <v>85</v>
      </c>
      <c r="D700" s="67" t="s">
        <v>148</v>
      </c>
      <c r="E700" s="65">
        <v>245</v>
      </c>
      <c r="F700">
        <v>363</v>
      </c>
      <c r="G700">
        <v>0</v>
      </c>
      <c r="H700">
        <v>0</v>
      </c>
      <c r="I700">
        <v>0</v>
      </c>
      <c r="J700">
        <v>0</v>
      </c>
      <c r="K700" s="64">
        <f>IF(Tableau1[[#This Row],[Quantité (H)]]=0,0,Tableau1[[#This Row],[Gasoil (L)]]/Tableau1[[#This Row],[Quantité (H)]])</f>
        <v>1.4816326530612245</v>
      </c>
      <c r="L700" s="23">
        <v>17.443536761172513</v>
      </c>
      <c r="M700" s="23">
        <v>3630</v>
      </c>
      <c r="N700" s="23">
        <v>16380</v>
      </c>
      <c r="O700" s="64">
        <f>Tableau1[[#This Row],[Productivité]]-Tableau1[[#This Row],[ les Charges]]</f>
        <v>12750</v>
      </c>
      <c r="Q700" s="22" t="str">
        <f>IF(Tableau1[[#This Row],[Code]]=R700,"ok")</f>
        <v>ok</v>
      </c>
      <c r="R700" s="23" t="s">
        <v>148</v>
      </c>
      <c r="S700" s="23">
        <v>3630</v>
      </c>
      <c r="T700">
        <v>16380</v>
      </c>
      <c r="X700" s="22" t="s">
        <v>149</v>
      </c>
      <c r="Y700" s="22">
        <v>27.529626253418414</v>
      </c>
    </row>
    <row r="701" spans="1:25" hidden="1" x14ac:dyDescent="0.25">
      <c r="A701" s="66">
        <v>44469</v>
      </c>
      <c r="B701" t="s">
        <v>178</v>
      </c>
      <c r="C701" s="65" t="s">
        <v>85</v>
      </c>
      <c r="D701" s="67" t="s">
        <v>151</v>
      </c>
      <c r="E701" s="65">
        <v>238</v>
      </c>
      <c r="F701">
        <v>2735</v>
      </c>
      <c r="G701">
        <v>0</v>
      </c>
      <c r="H701">
        <v>0</v>
      </c>
      <c r="I701">
        <v>0</v>
      </c>
      <c r="J701">
        <v>0</v>
      </c>
      <c r="K701" s="64">
        <f>IF(Tableau1[[#This Row],[Quantité (H)]]=0,0,Tableau1[[#This Row],[Gasoil (L)]]/Tableau1[[#This Row],[Quantité (H)]])</f>
        <v>11.491596638655462</v>
      </c>
      <c r="L701" s="23">
        <v>65.941536369816447</v>
      </c>
      <c r="M701" s="23">
        <v>60994.64</v>
      </c>
      <c r="N701" s="23">
        <v>25200</v>
      </c>
      <c r="O701" s="64">
        <f>Tableau1[[#This Row],[Productivité]]-Tableau1[[#This Row],[ les Charges]]</f>
        <v>-35794.639999999999</v>
      </c>
      <c r="Q701" s="22" t="str">
        <f>IF(Tableau1[[#This Row],[Code]]=R701,"ok")</f>
        <v>ok</v>
      </c>
      <c r="R701" s="23" t="s">
        <v>151</v>
      </c>
      <c r="S701" s="23">
        <v>60994.64</v>
      </c>
      <c r="T701">
        <v>25200</v>
      </c>
      <c r="X701" s="22" t="s">
        <v>148</v>
      </c>
      <c r="Y701" s="22">
        <v>17.443536761172513</v>
      </c>
    </row>
    <row r="702" spans="1:25" hidden="1" x14ac:dyDescent="0.25">
      <c r="A702" s="66">
        <v>44469</v>
      </c>
      <c r="B702" s="65" t="s">
        <v>116</v>
      </c>
      <c r="C702" s="65" t="s">
        <v>85</v>
      </c>
      <c r="D702" s="67" t="s">
        <v>52</v>
      </c>
      <c r="E702" s="65"/>
      <c r="F702" s="65"/>
      <c r="G702" s="65"/>
      <c r="H702" s="65"/>
      <c r="I702" s="65"/>
      <c r="J702" s="65"/>
      <c r="K702" s="64">
        <f>IF(Tableau1[[#This Row],[Quantité (H)]]=0,0,Tableau1[[#This Row],[Gasoil (L)]]/Tableau1[[#This Row],[Quantité (H)]])</f>
        <v>0</v>
      </c>
      <c r="M702" s="23">
        <v>2210</v>
      </c>
      <c r="O702" s="64">
        <f>Tableau1[[#This Row],[Productivité]]-Tableau1[[#This Row],[ les Charges]]</f>
        <v>-2210</v>
      </c>
      <c r="Q702" s="22" t="str">
        <f>IF(Tableau1[[#This Row],[Code]]=R702,"ok")</f>
        <v>ok</v>
      </c>
      <c r="R702" s="23" t="s">
        <v>52</v>
      </c>
      <c r="S702" s="23">
        <v>2210</v>
      </c>
      <c r="X702" s="22" t="s">
        <v>151</v>
      </c>
      <c r="Y702" s="22">
        <v>65.941536369816447</v>
      </c>
    </row>
    <row r="703" spans="1:25" hidden="1" x14ac:dyDescent="0.25">
      <c r="A703" s="66">
        <v>44469</v>
      </c>
      <c r="B703" t="s">
        <v>178</v>
      </c>
      <c r="C703" s="65" t="s">
        <v>42</v>
      </c>
      <c r="D703" t="s">
        <v>28</v>
      </c>
      <c r="E703" s="65">
        <v>210</v>
      </c>
      <c r="F703">
        <v>2417</v>
      </c>
      <c r="G703">
        <v>10</v>
      </c>
      <c r="H703">
        <v>0</v>
      </c>
      <c r="I703">
        <v>5</v>
      </c>
      <c r="J703">
        <v>8</v>
      </c>
      <c r="K703" s="64">
        <f>IF(Tableau1[[#This Row],[Quantité (H)]]=0,0,Tableau1[[#This Row],[Gasoil (L)]]/Tableau1[[#This Row],[Quantité (H)]])</f>
        <v>11.509523809523809</v>
      </c>
      <c r="M703" s="23">
        <v>36753.040000000001</v>
      </c>
      <c r="N703" s="23">
        <v>75600</v>
      </c>
      <c r="O703" s="64">
        <f>Tableau1[[#This Row],[Productivité]]-Tableau1[[#This Row],[ les Charges]]</f>
        <v>38846.959999999999</v>
      </c>
      <c r="Q703" s="22" t="str">
        <f>IF(Tableau1[[#This Row],[Code]]=R703,"ok")</f>
        <v>ok</v>
      </c>
      <c r="R703" s="23" t="s">
        <v>28</v>
      </c>
      <c r="S703" s="23">
        <v>36753.040000000001</v>
      </c>
      <c r="T703">
        <v>75600</v>
      </c>
      <c r="X703" s="22" t="s">
        <v>51</v>
      </c>
      <c r="Y703" s="22">
        <v>44.52</v>
      </c>
    </row>
    <row r="704" spans="1:25" hidden="1" x14ac:dyDescent="0.25">
      <c r="A704" s="66">
        <v>44469</v>
      </c>
      <c r="B704" t="s">
        <v>84</v>
      </c>
      <c r="C704" s="65" t="s">
        <v>42</v>
      </c>
      <c r="D704" t="s">
        <v>29</v>
      </c>
      <c r="E704" s="65">
        <v>231</v>
      </c>
      <c r="F704">
        <v>2243</v>
      </c>
      <c r="G704">
        <v>5</v>
      </c>
      <c r="H704">
        <v>0</v>
      </c>
      <c r="I704">
        <v>0</v>
      </c>
      <c r="J704">
        <v>0</v>
      </c>
      <c r="K704" s="64">
        <f>IF(Tableau1[[#This Row],[Quantité (H)]]=0,0,Tableau1[[#This Row],[Gasoil (L)]]/Tableau1[[#This Row],[Quantité (H)]])</f>
        <v>9.7099567099567103</v>
      </c>
      <c r="M704" s="23">
        <v>22958.86</v>
      </c>
      <c r="N704" s="23">
        <v>87780</v>
      </c>
      <c r="O704" s="64">
        <f>Tableau1[[#This Row],[Productivité]]-Tableau1[[#This Row],[ les Charges]]</f>
        <v>64821.14</v>
      </c>
      <c r="Q704" s="22" t="str">
        <f>IF(Tableau1[[#This Row],[Code]]=R704,"ok")</f>
        <v>ok</v>
      </c>
      <c r="R704" s="23" t="s">
        <v>29</v>
      </c>
      <c r="S704" s="23">
        <v>22958.86</v>
      </c>
      <c r="T704">
        <v>87780</v>
      </c>
    </row>
    <row r="705" spans="1:25" hidden="1" x14ac:dyDescent="0.25">
      <c r="A705" s="66">
        <v>44469</v>
      </c>
      <c r="B705" t="s">
        <v>84</v>
      </c>
      <c r="C705" s="65" t="s">
        <v>42</v>
      </c>
      <c r="D705" s="65" t="s">
        <v>94</v>
      </c>
      <c r="E705" s="65">
        <v>206</v>
      </c>
      <c r="F705">
        <v>1841</v>
      </c>
      <c r="G705">
        <v>30</v>
      </c>
      <c r="H705">
        <v>0</v>
      </c>
      <c r="I705">
        <v>0</v>
      </c>
      <c r="J705">
        <v>15</v>
      </c>
      <c r="K705" s="64">
        <f>IF(Tableau1[[#This Row],[Quantité (H)]]=0,0,Tableau1[[#This Row],[Gasoil (L)]]/Tableau1[[#This Row],[Quantité (H)]])</f>
        <v>8.9368932038834945</v>
      </c>
      <c r="M705" s="23">
        <v>20951.3</v>
      </c>
      <c r="N705" s="23">
        <v>79040</v>
      </c>
      <c r="O705" s="64">
        <f>Tableau1[[#This Row],[Productivité]]-Tableau1[[#This Row],[ les Charges]]</f>
        <v>58088.7</v>
      </c>
      <c r="Q705" s="22" t="str">
        <f>IF(Tableau1[[#This Row],[Code]]=R705,"ok")</f>
        <v>ok</v>
      </c>
      <c r="R705" s="23" t="s">
        <v>94</v>
      </c>
      <c r="S705" s="23">
        <v>20951.3</v>
      </c>
      <c r="T705">
        <v>79040</v>
      </c>
    </row>
    <row r="706" spans="1:25" hidden="1" x14ac:dyDescent="0.25">
      <c r="A706" s="66">
        <v>44469</v>
      </c>
      <c r="B706" t="s">
        <v>84</v>
      </c>
      <c r="C706" s="65" t="s">
        <v>42</v>
      </c>
      <c r="D706" t="s">
        <v>126</v>
      </c>
      <c r="E706" s="65">
        <v>230</v>
      </c>
      <c r="F706">
        <v>2139</v>
      </c>
      <c r="G706">
        <v>0</v>
      </c>
      <c r="H706">
        <v>0</v>
      </c>
      <c r="I706">
        <v>15</v>
      </c>
      <c r="J706">
        <v>0</v>
      </c>
      <c r="K706" s="64">
        <f>IF(Tableau1[[#This Row],[Quantité (H)]]=0,0,Tableau1[[#This Row],[Gasoil (L)]]/Tableau1[[#This Row],[Quantité (H)]])</f>
        <v>9.3000000000000007</v>
      </c>
      <c r="M706" s="23">
        <v>22205.83</v>
      </c>
      <c r="N706" s="23">
        <v>82080</v>
      </c>
      <c r="O706" s="64">
        <f>Tableau1[[#This Row],[Productivité]]-Tableau1[[#This Row],[ les Charges]]</f>
        <v>59874.17</v>
      </c>
      <c r="Q706" s="22" t="str">
        <f>IF(Tableau1[[#This Row],[Code]]=R706,"ok")</f>
        <v>ok</v>
      </c>
      <c r="R706" s="23" t="s">
        <v>126</v>
      </c>
      <c r="S706" s="23">
        <v>22205.83</v>
      </c>
      <c r="T706">
        <v>82080</v>
      </c>
    </row>
    <row r="707" spans="1:25" hidden="1" x14ac:dyDescent="0.25">
      <c r="A707" s="66">
        <v>44469</v>
      </c>
      <c r="B707" t="s">
        <v>116</v>
      </c>
      <c r="C707" s="65" t="s">
        <v>173</v>
      </c>
      <c r="D707" t="s">
        <v>36</v>
      </c>
      <c r="E707" s="65">
        <v>174</v>
      </c>
      <c r="F707">
        <v>7612</v>
      </c>
      <c r="G707">
        <v>45</v>
      </c>
      <c r="H707">
        <v>0</v>
      </c>
      <c r="I707">
        <v>75</v>
      </c>
      <c r="J707">
        <v>0</v>
      </c>
      <c r="K707" s="64">
        <f>IF(Tableau1[[#This Row],[Quantité (H)]]=0,0,Tableau1[[#This Row],[Gasoil (L)]]/Tableau1[[#This Row],[Quantité (H)]])</f>
        <v>43.747126436781606</v>
      </c>
      <c r="M707" s="23">
        <v>12993.17</v>
      </c>
      <c r="N707" s="23">
        <v>234900</v>
      </c>
      <c r="O707" s="64">
        <f>Tableau1[[#This Row],[Productivité]]-Tableau1[[#This Row],[ les Charges]]</f>
        <v>221906.83</v>
      </c>
      <c r="Q707" s="22" t="str">
        <f>IF(Tableau1[[#This Row],[Code]]=R707,"ok")</f>
        <v>ok</v>
      </c>
      <c r="R707" s="23" t="s">
        <v>36</v>
      </c>
      <c r="S707" s="23">
        <v>12993.17</v>
      </c>
      <c r="T707">
        <v>234900</v>
      </c>
    </row>
    <row r="708" spans="1:25" hidden="1" x14ac:dyDescent="0.25">
      <c r="A708" s="66">
        <v>44469</v>
      </c>
      <c r="B708" t="s">
        <v>179</v>
      </c>
      <c r="C708" s="65" t="s">
        <v>173</v>
      </c>
      <c r="D708" t="s">
        <v>37</v>
      </c>
      <c r="E708" s="65">
        <v>79</v>
      </c>
      <c r="F708">
        <v>0</v>
      </c>
      <c r="G708">
        <v>0</v>
      </c>
      <c r="H708">
        <v>0</v>
      </c>
      <c r="I708">
        <v>0</v>
      </c>
      <c r="J708">
        <v>0</v>
      </c>
      <c r="K708" s="64">
        <f>IF(Tableau1[[#This Row],[Quantité (H)]]=0,0,Tableau1[[#This Row],[Gasoil (L)]]/Tableau1[[#This Row],[Quantité (H)]])</f>
        <v>0</v>
      </c>
      <c r="M708" s="23">
        <v>36494.46</v>
      </c>
      <c r="N708" s="23">
        <v>106650</v>
      </c>
      <c r="O708" s="64">
        <f>Tableau1[[#This Row],[Productivité]]-Tableau1[[#This Row],[ les Charges]]</f>
        <v>70155.540000000008</v>
      </c>
      <c r="Q708" s="22" t="str">
        <f>IF(Tableau1[[#This Row],[Code]]=R708,"ok")</f>
        <v>ok</v>
      </c>
      <c r="R708" s="23" t="s">
        <v>37</v>
      </c>
      <c r="S708" s="23">
        <v>36494.46</v>
      </c>
      <c r="T708">
        <v>106650</v>
      </c>
    </row>
    <row r="709" spans="1:25" hidden="1" x14ac:dyDescent="0.25">
      <c r="A709" s="66">
        <v>44469</v>
      </c>
      <c r="B709" t="s">
        <v>116</v>
      </c>
      <c r="C709" s="65" t="s">
        <v>85</v>
      </c>
      <c r="D709" s="67" t="s">
        <v>51</v>
      </c>
      <c r="E709" s="65">
        <v>100</v>
      </c>
      <c r="F709">
        <v>1155</v>
      </c>
      <c r="G709">
        <v>0</v>
      </c>
      <c r="H709">
        <v>0</v>
      </c>
      <c r="I709">
        <v>0</v>
      </c>
      <c r="J709">
        <v>0</v>
      </c>
      <c r="K709" s="64">
        <f>IF(Tableau1[[#This Row],[Quantité (H)]]=0,0,Tableau1[[#This Row],[Gasoil (L)]]/Tableau1[[#This Row],[Quantité (H)]])</f>
        <v>11.55</v>
      </c>
      <c r="L709" s="23">
        <v>44.52</v>
      </c>
      <c r="M709" s="23">
        <v>9560</v>
      </c>
      <c r="N709" s="23">
        <v>29050</v>
      </c>
      <c r="O709" s="64">
        <f>Tableau1[[#This Row],[Productivité]]-Tableau1[[#This Row],[ les Charges]]</f>
        <v>19490</v>
      </c>
      <c r="Q709" s="22" t="str">
        <f>IF(Tableau1[[#This Row],[Code]]=R709,"ok")</f>
        <v>ok</v>
      </c>
      <c r="R709" s="23" t="s">
        <v>51</v>
      </c>
      <c r="S709" s="23">
        <v>9560</v>
      </c>
      <c r="T709">
        <v>29050</v>
      </c>
    </row>
    <row r="710" spans="1:25" hidden="1" x14ac:dyDescent="0.25">
      <c r="A710" s="66">
        <v>44469</v>
      </c>
      <c r="B710" t="s">
        <v>178</v>
      </c>
      <c r="C710" s="65" t="s">
        <v>175</v>
      </c>
      <c r="D710" t="s">
        <v>30</v>
      </c>
      <c r="E710" s="65">
        <v>142</v>
      </c>
      <c r="F710">
        <v>1313</v>
      </c>
      <c r="G710">
        <v>74</v>
      </c>
      <c r="H710">
        <v>0</v>
      </c>
      <c r="I710">
        <v>0</v>
      </c>
      <c r="J710">
        <v>24</v>
      </c>
      <c r="K710" s="64">
        <f>IF(Tableau1[[#This Row],[Quantité (H)]]=0,0,Tableau1[[#This Row],[Gasoil (L)]]/Tableau1[[#This Row],[Quantité (H)]])</f>
        <v>9.2464788732394361</v>
      </c>
      <c r="M710" s="23">
        <v>8271.92</v>
      </c>
      <c r="N710" s="23">
        <v>102950</v>
      </c>
      <c r="O710" s="64">
        <f>Tableau1[[#This Row],[Productivité]]-Tableau1[[#This Row],[ les Charges]]</f>
        <v>94678.080000000002</v>
      </c>
      <c r="Q710" s="22" t="str">
        <f>IF(Tableau1[[#This Row],[Code]]=R710,"ok")</f>
        <v>ok</v>
      </c>
      <c r="R710" s="23" t="s">
        <v>30</v>
      </c>
      <c r="S710" s="23">
        <v>8271.92</v>
      </c>
      <c r="T710">
        <v>102950</v>
      </c>
    </row>
    <row r="711" spans="1:25" hidden="1" x14ac:dyDescent="0.25">
      <c r="A711" s="66">
        <v>44469</v>
      </c>
      <c r="B711" t="s">
        <v>84</v>
      </c>
      <c r="C711" s="65" t="s">
        <v>195</v>
      </c>
      <c r="D711" t="s">
        <v>38</v>
      </c>
      <c r="E711" s="65">
        <v>234.5</v>
      </c>
      <c r="F711">
        <v>5136</v>
      </c>
      <c r="G711">
        <v>60</v>
      </c>
      <c r="H711">
        <v>0</v>
      </c>
      <c r="I711">
        <v>50</v>
      </c>
      <c r="J711">
        <v>15</v>
      </c>
      <c r="K711" s="64">
        <f>IF(Tableau1[[#This Row],[Quantité (H)]]=0,0,Tableau1[[#This Row],[Gasoil (L)]]/Tableau1[[#This Row],[Quantité (H)]])</f>
        <v>21.901918976545844</v>
      </c>
      <c r="M711" s="23">
        <v>71103.13</v>
      </c>
      <c r="N711" s="23">
        <v>269675</v>
      </c>
      <c r="O711" s="64">
        <f>Tableau1[[#This Row],[Productivité]]-Tableau1[[#This Row],[ les Charges]]</f>
        <v>198571.87</v>
      </c>
      <c r="Q711" s="22" t="str">
        <f>IF(Tableau1[[#This Row],[Code]]=R711,"ok")</f>
        <v>ok</v>
      </c>
      <c r="R711" s="23" t="s">
        <v>38</v>
      </c>
      <c r="S711" s="23">
        <v>71103.13</v>
      </c>
      <c r="T711">
        <v>269675</v>
      </c>
    </row>
    <row r="712" spans="1:25" hidden="1" x14ac:dyDescent="0.25">
      <c r="A712" s="66">
        <v>44469</v>
      </c>
      <c r="B712" t="s">
        <v>179</v>
      </c>
      <c r="C712" s="65" t="s">
        <v>92</v>
      </c>
      <c r="D712" t="s">
        <v>136</v>
      </c>
      <c r="E712" s="65">
        <v>52</v>
      </c>
      <c r="F712">
        <v>0</v>
      </c>
      <c r="G712">
        <v>0</v>
      </c>
      <c r="H712">
        <v>0</v>
      </c>
      <c r="I712">
        <v>0</v>
      </c>
      <c r="J712">
        <v>0</v>
      </c>
      <c r="K712" s="64">
        <f>IF(Tableau1[[#This Row],[Quantité (H)]]=0,0,Tableau1[[#This Row],[Gasoil (L)]]/Tableau1[[#This Row],[Quantité (H)]])</f>
        <v>0</v>
      </c>
      <c r="M712" s="23">
        <v>633.30999999999995</v>
      </c>
      <c r="N712" s="23">
        <v>6760</v>
      </c>
      <c r="O712" s="64">
        <f>Tableau1[[#This Row],[Productivité]]-Tableau1[[#This Row],[ les Charges]]</f>
        <v>6126.6900000000005</v>
      </c>
      <c r="Q712" s="22" t="str">
        <f>IF(Tableau1[[#This Row],[Code]]=R712,"ok")</f>
        <v>ok</v>
      </c>
      <c r="R712" s="23" t="s">
        <v>136</v>
      </c>
      <c r="S712" s="23">
        <v>633.30999999999995</v>
      </c>
      <c r="T712">
        <v>6760</v>
      </c>
    </row>
    <row r="713" spans="1:25" hidden="1" x14ac:dyDescent="0.25">
      <c r="A713" s="66">
        <v>44469</v>
      </c>
      <c r="B713" t="s">
        <v>116</v>
      </c>
      <c r="C713" s="65" t="s">
        <v>39</v>
      </c>
      <c r="D713" t="s">
        <v>11</v>
      </c>
      <c r="E713" s="65">
        <v>118.5</v>
      </c>
      <c r="F713">
        <v>1522</v>
      </c>
      <c r="G713">
        <v>5</v>
      </c>
      <c r="H713">
        <v>0</v>
      </c>
      <c r="I713">
        <v>15</v>
      </c>
      <c r="J713">
        <v>0</v>
      </c>
      <c r="K713" s="64">
        <f>IF(Tableau1[[#This Row],[Quantité (H)]]=0,0,Tableau1[[#This Row],[Gasoil (L)]]/Tableau1[[#This Row],[Quantité (H)]])</f>
        <v>12.843881856540085</v>
      </c>
      <c r="M713" s="23">
        <v>17049.11</v>
      </c>
      <c r="N713" s="23">
        <v>55250</v>
      </c>
      <c r="O713" s="64">
        <f>Tableau1[[#This Row],[Productivité]]-Tableau1[[#This Row],[ les Charges]]</f>
        <v>38200.89</v>
      </c>
      <c r="Q713" s="22" t="str">
        <f>IF(Tableau1[[#This Row],[Code]]=R713,"ok")</f>
        <v>ok</v>
      </c>
      <c r="R713" s="23" t="s">
        <v>11</v>
      </c>
      <c r="S713" s="23">
        <v>17049.11</v>
      </c>
      <c r="T713">
        <v>55250</v>
      </c>
      <c r="X713" s="22" t="s">
        <v>58</v>
      </c>
      <c r="Y713" s="22">
        <v>12.024756852343099</v>
      </c>
    </row>
    <row r="714" spans="1:25" hidden="1" x14ac:dyDescent="0.25">
      <c r="A714" s="66">
        <v>44469</v>
      </c>
      <c r="B714" t="s">
        <v>84</v>
      </c>
      <c r="C714" s="65" t="s">
        <v>39</v>
      </c>
      <c r="D714" t="s">
        <v>12</v>
      </c>
      <c r="E714" s="3">
        <v>25</v>
      </c>
      <c r="F714">
        <v>512</v>
      </c>
      <c r="G714">
        <v>5</v>
      </c>
      <c r="H714">
        <v>0</v>
      </c>
      <c r="I714">
        <v>25</v>
      </c>
      <c r="J714">
        <v>0</v>
      </c>
      <c r="K714" s="64">
        <f>IF(Tableau1[[#This Row],[Quantité (H)]]=0,0,Tableau1[[#This Row],[Gasoil (L)]]/Tableau1[[#This Row],[Quantité (H)]])</f>
        <v>20.48</v>
      </c>
      <c r="M714" s="23">
        <v>15188.96</v>
      </c>
      <c r="N714" s="23">
        <v>10000</v>
      </c>
      <c r="O714" s="64">
        <f>Tableau1[[#This Row],[Productivité]]-Tableau1[[#This Row],[ les Charges]]</f>
        <v>-5188.9599999999991</v>
      </c>
      <c r="Q714" s="22" t="str">
        <f>IF(Tableau1[[#This Row],[Code]]=R714,"ok")</f>
        <v>ok</v>
      </c>
      <c r="R714" s="23" t="s">
        <v>12</v>
      </c>
      <c r="S714" s="23">
        <v>15188.96</v>
      </c>
      <c r="T714">
        <v>10000</v>
      </c>
      <c r="X714" s="22" t="s">
        <v>61</v>
      </c>
      <c r="Y714" s="22">
        <v>12.024756852343058</v>
      </c>
    </row>
    <row r="715" spans="1:25" hidden="1" x14ac:dyDescent="0.25">
      <c r="A715" s="66">
        <v>44469</v>
      </c>
      <c r="B715" t="s">
        <v>116</v>
      </c>
      <c r="C715" s="65" t="s">
        <v>39</v>
      </c>
      <c r="D715" t="s">
        <v>13</v>
      </c>
      <c r="E715" s="65">
        <v>198</v>
      </c>
      <c r="F715">
        <v>2466</v>
      </c>
      <c r="G715">
        <v>32</v>
      </c>
      <c r="H715">
        <v>0</v>
      </c>
      <c r="I715">
        <v>5</v>
      </c>
      <c r="J715">
        <v>0</v>
      </c>
      <c r="K715" s="64">
        <f>IF(Tableau1[[#This Row],[Quantité (H)]]=0,0,Tableau1[[#This Row],[Gasoil (L)]]/Tableau1[[#This Row],[Quantité (H)]])</f>
        <v>12.454545454545455</v>
      </c>
      <c r="M715" s="23">
        <v>39652.32</v>
      </c>
      <c r="N715" s="23">
        <v>79200</v>
      </c>
      <c r="O715" s="64">
        <f>Tableau1[[#This Row],[Productivité]]-Tableau1[[#This Row],[ les Charges]]</f>
        <v>39547.68</v>
      </c>
      <c r="Q715" s="22" t="str">
        <f>IF(Tableau1[[#This Row],[Code]]=R715,"ok")</f>
        <v>ok</v>
      </c>
      <c r="R715" s="23" t="s">
        <v>13</v>
      </c>
      <c r="S715" s="23">
        <v>39652.32</v>
      </c>
      <c r="T715">
        <v>79200</v>
      </c>
      <c r="X715" s="22" t="s">
        <v>68</v>
      </c>
      <c r="Y715" s="22">
        <v>8.4949832775919738</v>
      </c>
    </row>
    <row r="716" spans="1:25" hidden="1" x14ac:dyDescent="0.25">
      <c r="A716" s="66">
        <v>44469</v>
      </c>
      <c r="B716" t="s">
        <v>116</v>
      </c>
      <c r="C716" s="65" t="s">
        <v>39</v>
      </c>
      <c r="D716" s="65" t="s">
        <v>14</v>
      </c>
      <c r="E716">
        <v>225.5</v>
      </c>
      <c r="F716">
        <v>4806</v>
      </c>
      <c r="G716">
        <v>25</v>
      </c>
      <c r="H716">
        <v>0</v>
      </c>
      <c r="I716">
        <v>10</v>
      </c>
      <c r="J716">
        <v>0</v>
      </c>
      <c r="K716" s="64">
        <f>IF(Tableau1[[#This Row],[Quantité (H)]]=0,0,Tableau1[[#This Row],[Gasoil (L)]]/Tableau1[[#This Row],[Quantité (H)]])</f>
        <v>21.312638580931264</v>
      </c>
      <c r="M716" s="23">
        <v>63997.08</v>
      </c>
      <c r="N716" s="23">
        <v>112750</v>
      </c>
      <c r="O716" s="64">
        <f>Tableau1[[#This Row],[Productivité]]-Tableau1[[#This Row],[ les Charges]]</f>
        <v>48752.92</v>
      </c>
      <c r="Q716" s="22" t="str">
        <f>IF(Tableau1[[#This Row],[Code]]=R716,"ok")</f>
        <v>ok</v>
      </c>
      <c r="R716" s="23" t="s">
        <v>14</v>
      </c>
      <c r="S716" s="23">
        <v>63997.08</v>
      </c>
      <c r="T716">
        <v>112750</v>
      </c>
      <c r="X716" s="22" t="s">
        <v>69</v>
      </c>
      <c r="Y716" s="22">
        <v>5.7633084029916413</v>
      </c>
    </row>
    <row r="717" spans="1:25" hidden="1" x14ac:dyDescent="0.25">
      <c r="A717" s="66">
        <v>44469</v>
      </c>
      <c r="B717" t="s">
        <v>160</v>
      </c>
      <c r="C717" s="65" t="s">
        <v>39</v>
      </c>
      <c r="D717" t="s">
        <v>15</v>
      </c>
      <c r="E717" s="65">
        <v>195.5</v>
      </c>
      <c r="F717">
        <v>1990</v>
      </c>
      <c r="G717">
        <v>42</v>
      </c>
      <c r="H717">
        <v>0</v>
      </c>
      <c r="I717">
        <v>10</v>
      </c>
      <c r="J717">
        <v>0</v>
      </c>
      <c r="K717" s="64">
        <f>IF(Tableau1[[#This Row],[Quantité (H)]]=0,0,Tableau1[[#This Row],[Gasoil (L)]]/Tableau1[[#This Row],[Quantité (H)]])</f>
        <v>10.179028132992327</v>
      </c>
      <c r="M717" s="23">
        <v>35481.269999999997</v>
      </c>
      <c r="N717" s="23">
        <v>92250</v>
      </c>
      <c r="O717" s="64">
        <f>Tableau1[[#This Row],[Productivité]]-Tableau1[[#This Row],[ les Charges]]</f>
        <v>56768.73</v>
      </c>
      <c r="Q717" s="22" t="str">
        <f>IF(Tableau1[[#This Row],[Code]]=R717,"ok")</f>
        <v>ok</v>
      </c>
      <c r="R717" s="23" t="s">
        <v>15</v>
      </c>
      <c r="S717" s="23">
        <v>35481.269999999997</v>
      </c>
      <c r="T717">
        <v>92250</v>
      </c>
      <c r="X717" s="22" t="s">
        <v>70</v>
      </c>
      <c r="Y717" s="22">
        <v>7.0044052863436121</v>
      </c>
    </row>
    <row r="718" spans="1:25" hidden="1" x14ac:dyDescent="0.25">
      <c r="A718" s="66">
        <v>44469</v>
      </c>
      <c r="B718" t="s">
        <v>84</v>
      </c>
      <c r="C718" s="65" t="s">
        <v>41</v>
      </c>
      <c r="D718" t="s">
        <v>20</v>
      </c>
      <c r="E718">
        <v>224</v>
      </c>
      <c r="F718">
        <v>3134.38</v>
      </c>
      <c r="G718">
        <v>32</v>
      </c>
      <c r="H718">
        <v>0</v>
      </c>
      <c r="I718">
        <v>35</v>
      </c>
      <c r="J718">
        <v>5</v>
      </c>
      <c r="K718" s="64">
        <f>IF(Tableau1[[#This Row],[Quantité (H)]]=0,0,Tableau1[[#This Row],[Gasoil (L)]]/Tableau1[[#This Row],[Quantité (H)]])</f>
        <v>13.992767857142857</v>
      </c>
      <c r="M718" s="23">
        <v>59264.62</v>
      </c>
      <c r="N718" s="23">
        <v>94080</v>
      </c>
      <c r="O718" s="64">
        <f>Tableau1[[#This Row],[Productivité]]-Tableau1[[#This Row],[ les Charges]]</f>
        <v>34815.379999999997</v>
      </c>
      <c r="Q718" s="22" t="str">
        <f>IF(Tableau1[[#This Row],[Code]]=R718,"ok")</f>
        <v>ok</v>
      </c>
      <c r="R718" s="23" t="s">
        <v>20</v>
      </c>
      <c r="S718" s="23">
        <v>59264.62</v>
      </c>
      <c r="T718">
        <v>94080</v>
      </c>
      <c r="X718" s="22" t="s">
        <v>71</v>
      </c>
      <c r="Y718" s="22">
        <v>5.1730998806207724</v>
      </c>
    </row>
    <row r="719" spans="1:25" hidden="1" x14ac:dyDescent="0.25">
      <c r="A719" s="66">
        <v>44469</v>
      </c>
      <c r="B719" t="s">
        <v>178</v>
      </c>
      <c r="C719" s="65" t="s">
        <v>41</v>
      </c>
      <c r="D719" t="s">
        <v>21</v>
      </c>
      <c r="E719" s="65">
        <v>215</v>
      </c>
      <c r="F719">
        <v>2758</v>
      </c>
      <c r="G719">
        <v>25</v>
      </c>
      <c r="H719">
        <v>0</v>
      </c>
      <c r="I719">
        <v>45</v>
      </c>
      <c r="J719">
        <v>5</v>
      </c>
      <c r="K719" s="64">
        <f>IF(Tableau1[[#This Row],[Quantité (H)]]=0,0,Tableau1[[#This Row],[Gasoil (L)]]/Tableau1[[#This Row],[Quantité (H)]])</f>
        <v>12.827906976744186</v>
      </c>
      <c r="M719" s="23">
        <v>51266.89</v>
      </c>
      <c r="N719" s="23">
        <v>90300</v>
      </c>
      <c r="O719" s="64">
        <f>Tableau1[[#This Row],[Productivité]]-Tableau1[[#This Row],[ les Charges]]</f>
        <v>39033.11</v>
      </c>
      <c r="Q719" s="22" t="str">
        <f>IF(Tableau1[[#This Row],[Code]]=R719,"ok")</f>
        <v>ok</v>
      </c>
      <c r="R719" s="23" t="s">
        <v>21</v>
      </c>
      <c r="S719" s="23">
        <v>51266.89</v>
      </c>
      <c r="T719">
        <v>90300</v>
      </c>
      <c r="X719" s="22" t="s">
        <v>72</v>
      </c>
      <c r="Y719" s="22">
        <v>6.2</v>
      </c>
    </row>
    <row r="720" spans="1:25" hidden="1" x14ac:dyDescent="0.25">
      <c r="A720" s="66">
        <v>44469</v>
      </c>
      <c r="B720" t="s">
        <v>116</v>
      </c>
      <c r="C720" s="65" t="s">
        <v>41</v>
      </c>
      <c r="D720" t="s">
        <v>124</v>
      </c>
      <c r="E720" s="65">
        <v>112.5</v>
      </c>
      <c r="F720">
        <v>2095</v>
      </c>
      <c r="G720">
        <v>0</v>
      </c>
      <c r="H720">
        <v>0</v>
      </c>
      <c r="I720">
        <v>40</v>
      </c>
      <c r="J720">
        <v>0</v>
      </c>
      <c r="K720" s="64">
        <f>IF(Tableau1[[#This Row],[Quantité (H)]]=0,0,Tableau1[[#This Row],[Gasoil (L)]]/Tableau1[[#This Row],[Quantité (H)]])</f>
        <v>18.622222222222224</v>
      </c>
      <c r="M720" s="23">
        <v>69432</v>
      </c>
      <c r="N720" s="23">
        <v>47250</v>
      </c>
      <c r="O720" s="64">
        <f>Tableau1[[#This Row],[Productivité]]-Tableau1[[#This Row],[ les Charges]]</f>
        <v>-22182</v>
      </c>
      <c r="Q720" s="22" t="str">
        <f>IF(Tableau1[[#This Row],[Code]]=R720,"ok")</f>
        <v>ok</v>
      </c>
      <c r="R720" s="23" t="s">
        <v>124</v>
      </c>
      <c r="S720" s="23">
        <v>69432</v>
      </c>
      <c r="T720">
        <v>47250</v>
      </c>
    </row>
    <row r="721" spans="1:25" hidden="1" x14ac:dyDescent="0.25">
      <c r="A721" s="66">
        <v>44469</v>
      </c>
      <c r="B721" t="s">
        <v>84</v>
      </c>
      <c r="C721" s="65" t="s">
        <v>41</v>
      </c>
      <c r="D721" t="s">
        <v>22</v>
      </c>
      <c r="E721" s="65">
        <v>157</v>
      </c>
      <c r="F721">
        <v>3900</v>
      </c>
      <c r="G721">
        <v>35</v>
      </c>
      <c r="H721">
        <v>0</v>
      </c>
      <c r="I721">
        <v>90</v>
      </c>
      <c r="J721">
        <v>30</v>
      </c>
      <c r="K721" s="64">
        <f>IF(Tableau1[[#This Row],[Quantité (H)]]=0,0,Tableau1[[#This Row],[Gasoil (L)]]/Tableau1[[#This Row],[Quantité (H)]])</f>
        <v>24.840764331210192</v>
      </c>
      <c r="M721" s="23">
        <v>76097.3</v>
      </c>
      <c r="N721" s="23">
        <v>65940</v>
      </c>
      <c r="O721" s="64">
        <f>Tableau1[[#This Row],[Productivité]]-Tableau1[[#This Row],[ les Charges]]</f>
        <v>-10157.300000000003</v>
      </c>
      <c r="Q721" s="22" t="str">
        <f>IF(Tableau1[[#This Row],[Code]]=R721,"ok")</f>
        <v>ok</v>
      </c>
      <c r="R721" s="23" t="s">
        <v>22</v>
      </c>
      <c r="S721" s="23">
        <v>76097.3</v>
      </c>
      <c r="T721">
        <v>65940</v>
      </c>
    </row>
    <row r="722" spans="1:25" hidden="1" x14ac:dyDescent="0.25">
      <c r="A722" s="66">
        <v>44469</v>
      </c>
      <c r="B722" t="s">
        <v>84</v>
      </c>
      <c r="C722" s="65" t="s">
        <v>41</v>
      </c>
      <c r="D722" t="s">
        <v>23</v>
      </c>
      <c r="E722" s="65">
        <v>186</v>
      </c>
      <c r="F722">
        <v>4543</v>
      </c>
      <c r="G722">
        <v>35</v>
      </c>
      <c r="H722">
        <v>0</v>
      </c>
      <c r="I722">
        <v>25</v>
      </c>
      <c r="J722">
        <v>25</v>
      </c>
      <c r="K722" s="64">
        <f>IF(Tableau1[[#This Row],[Quantité (H)]]=0,0,Tableau1[[#This Row],[Gasoil (L)]]/Tableau1[[#This Row],[Quantité (H)]])</f>
        <v>24.4247311827957</v>
      </c>
      <c r="M722" s="23">
        <v>69252.31</v>
      </c>
      <c r="N722" s="23">
        <v>78120</v>
      </c>
      <c r="O722" s="64">
        <f>Tableau1[[#This Row],[Productivité]]-Tableau1[[#This Row],[ les Charges]]</f>
        <v>8867.6900000000023</v>
      </c>
      <c r="Q722" s="22" t="str">
        <f>IF(Tableau1[[#This Row],[Code]]=R722,"ok")</f>
        <v>ok</v>
      </c>
      <c r="R722" s="23" t="s">
        <v>23</v>
      </c>
      <c r="S722" s="23">
        <v>69252.31</v>
      </c>
      <c r="T722">
        <v>78120</v>
      </c>
      <c r="X722" s="22" t="s">
        <v>75</v>
      </c>
      <c r="Y722" s="22">
        <v>7.3753359211704987</v>
      </c>
    </row>
    <row r="723" spans="1:25" hidden="1" x14ac:dyDescent="0.25">
      <c r="A723" s="66">
        <v>44469</v>
      </c>
      <c r="B723" t="s">
        <v>84</v>
      </c>
      <c r="C723" s="65" t="s">
        <v>41</v>
      </c>
      <c r="D723" t="s">
        <v>24</v>
      </c>
      <c r="E723" s="65">
        <v>233</v>
      </c>
      <c r="F723">
        <v>5345</v>
      </c>
      <c r="G723">
        <v>65</v>
      </c>
      <c r="H723">
        <v>0</v>
      </c>
      <c r="I723">
        <v>0</v>
      </c>
      <c r="J723">
        <v>30</v>
      </c>
      <c r="K723" s="64">
        <f>IF(Tableau1[[#This Row],[Quantité (H)]]=0,0,Tableau1[[#This Row],[Gasoil (L)]]/Tableau1[[#This Row],[Quantité (H)]])</f>
        <v>22.93991416309013</v>
      </c>
      <c r="M723" s="23">
        <v>85668.66</v>
      </c>
      <c r="N723" s="23">
        <v>97860</v>
      </c>
      <c r="O723" s="64">
        <f>Tableau1[[#This Row],[Productivité]]-Tableau1[[#This Row],[ les Charges]]</f>
        <v>12191.339999999997</v>
      </c>
      <c r="Q723" s="22" t="str">
        <f>IF(Tableau1[[#This Row],[Code]]=R723,"ok")</f>
        <v>ok</v>
      </c>
      <c r="R723" s="23" t="s">
        <v>24</v>
      </c>
      <c r="S723" s="23">
        <v>85668.66</v>
      </c>
      <c r="T723">
        <v>97860</v>
      </c>
      <c r="X723" s="22" t="s">
        <v>177</v>
      </c>
      <c r="Y723" s="22">
        <v>7.3</v>
      </c>
    </row>
    <row r="724" spans="1:25" hidden="1" x14ac:dyDescent="0.25">
      <c r="A724" s="66">
        <v>44469</v>
      </c>
      <c r="B724" t="s">
        <v>84</v>
      </c>
      <c r="C724" s="65" t="s">
        <v>41</v>
      </c>
      <c r="D724" t="s">
        <v>25</v>
      </c>
      <c r="E724" s="65">
        <v>229</v>
      </c>
      <c r="F724">
        <v>4354</v>
      </c>
      <c r="G724">
        <v>5</v>
      </c>
      <c r="H724">
        <v>0</v>
      </c>
      <c r="I724">
        <v>30</v>
      </c>
      <c r="J724">
        <v>35</v>
      </c>
      <c r="K724" s="64">
        <f>IF(Tableau1[[#This Row],[Quantité (H)]]=0,0,Tableau1[[#This Row],[Gasoil (L)]]/Tableau1[[#This Row],[Quantité (H)]])</f>
        <v>19.013100436681224</v>
      </c>
      <c r="M724" s="23">
        <v>66707.31</v>
      </c>
      <c r="N724" s="23">
        <v>93660</v>
      </c>
      <c r="O724" s="64">
        <f>Tableau1[[#This Row],[Productivité]]-Tableau1[[#This Row],[ les Charges]]</f>
        <v>26952.690000000002</v>
      </c>
      <c r="Q724" s="22" t="str">
        <f>IF(Tableau1[[#This Row],[Code]]=R724,"ok")</f>
        <v>ok</v>
      </c>
      <c r="R724" s="23" t="s">
        <v>25</v>
      </c>
      <c r="S724" s="23">
        <v>66707.31</v>
      </c>
      <c r="T724">
        <v>93660</v>
      </c>
    </row>
    <row r="725" spans="1:25" hidden="1" x14ac:dyDescent="0.25">
      <c r="A725" s="66">
        <v>44469</v>
      </c>
      <c r="B725" t="s">
        <v>84</v>
      </c>
      <c r="C725" s="65" t="s">
        <v>41</v>
      </c>
      <c r="D725" s="65" t="s">
        <v>26</v>
      </c>
      <c r="E725" s="65">
        <v>213</v>
      </c>
      <c r="F725">
        <v>7073</v>
      </c>
      <c r="G725">
        <v>55</v>
      </c>
      <c r="H725">
        <v>0</v>
      </c>
      <c r="I725">
        <v>55</v>
      </c>
      <c r="J725">
        <v>20</v>
      </c>
      <c r="K725" s="64">
        <f>IF(Tableau1[[#This Row],[Quantité (H)]]=0,0,Tableau1[[#This Row],[Gasoil (L)]]/Tableau1[[#This Row],[Quantité (H)]])</f>
        <v>33.206572769953048</v>
      </c>
      <c r="M725" s="23">
        <v>97610.64</v>
      </c>
      <c r="N725" s="23">
        <v>89460</v>
      </c>
      <c r="O725" s="64">
        <f>Tableau1[[#This Row],[Productivité]]-Tableau1[[#This Row],[ les Charges]]</f>
        <v>-8150.6399999999994</v>
      </c>
      <c r="Q725" s="22" t="str">
        <f>IF(Tableau1[[#This Row],[Code]]=R725,"ok")</f>
        <v>ok</v>
      </c>
      <c r="R725" s="23" t="s">
        <v>26</v>
      </c>
      <c r="S725" s="23">
        <v>97610.64</v>
      </c>
      <c r="T725">
        <v>89460</v>
      </c>
      <c r="X725" s="22" t="s">
        <v>78</v>
      </c>
      <c r="Y725" s="22">
        <v>5.4314197318666206</v>
      </c>
    </row>
    <row r="726" spans="1:25" hidden="1" x14ac:dyDescent="0.25">
      <c r="A726" s="66">
        <v>44469</v>
      </c>
      <c r="B726" t="s">
        <v>160</v>
      </c>
      <c r="C726" s="65" t="s">
        <v>41</v>
      </c>
      <c r="D726" t="s">
        <v>27</v>
      </c>
      <c r="E726" s="65">
        <v>110</v>
      </c>
      <c r="F726">
        <v>1031</v>
      </c>
      <c r="G726">
        <v>0</v>
      </c>
      <c r="H726">
        <v>0</v>
      </c>
      <c r="I726">
        <v>40</v>
      </c>
      <c r="J726">
        <v>0</v>
      </c>
      <c r="K726" s="64">
        <f>IF(Tableau1[[#This Row],[Quantité (H)]]=0,0,Tableau1[[#This Row],[Gasoil (L)]]/Tableau1[[#This Row],[Quantité (H)]])</f>
        <v>9.372727272727273</v>
      </c>
      <c r="M726" s="23">
        <v>12168.33</v>
      </c>
      <c r="N726" s="23">
        <v>21120</v>
      </c>
      <c r="O726" s="64">
        <f>Tableau1[[#This Row],[Productivité]]-Tableau1[[#This Row],[ les Charges]]</f>
        <v>8951.67</v>
      </c>
      <c r="Q726" s="22" t="str">
        <f>IF(Tableau1[[#This Row],[Code]]=R726,"ok")</f>
        <v>ok</v>
      </c>
      <c r="R726" s="23" t="s">
        <v>27</v>
      </c>
      <c r="S726" s="23">
        <v>12168.33</v>
      </c>
      <c r="T726">
        <v>21120</v>
      </c>
    </row>
    <row r="727" spans="1:25" hidden="1" x14ac:dyDescent="0.25">
      <c r="A727" s="66">
        <v>44469</v>
      </c>
      <c r="B727" t="s">
        <v>178</v>
      </c>
      <c r="C727" s="65" t="s">
        <v>41</v>
      </c>
      <c r="D727" t="s">
        <v>130</v>
      </c>
      <c r="E727" s="65">
        <v>174</v>
      </c>
      <c r="F727">
        <v>2860</v>
      </c>
      <c r="G727">
        <v>42</v>
      </c>
      <c r="H727">
        <v>0</v>
      </c>
      <c r="I727">
        <v>25</v>
      </c>
      <c r="J727">
        <v>40</v>
      </c>
      <c r="K727" s="64">
        <f>IF(Tableau1[[#This Row],[Quantité (H)]]=0,0,Tableau1[[#This Row],[Gasoil (L)]]/Tableau1[[#This Row],[Quantité (H)]])</f>
        <v>16.436781609195403</v>
      </c>
      <c r="M727" s="23">
        <v>32555</v>
      </c>
      <c r="N727" s="23">
        <v>73080</v>
      </c>
      <c r="O727" s="64">
        <f>Tableau1[[#This Row],[Productivité]]-Tableau1[[#This Row],[ les Charges]]</f>
        <v>40525</v>
      </c>
      <c r="Q727" s="22" t="str">
        <f>IF(Tableau1[[#This Row],[Code]]=R727,"ok")</f>
        <v>ok</v>
      </c>
      <c r="R727" s="23" t="s">
        <v>130</v>
      </c>
      <c r="S727" s="23">
        <v>32555</v>
      </c>
      <c r="T727">
        <v>73080</v>
      </c>
      <c r="X727" s="22" t="s">
        <v>165</v>
      </c>
      <c r="Y727" s="22">
        <v>4.9530007230657986</v>
      </c>
    </row>
    <row r="728" spans="1:25" hidden="1" x14ac:dyDescent="0.25">
      <c r="A728" s="66">
        <v>44469</v>
      </c>
      <c r="B728" t="s">
        <v>84</v>
      </c>
      <c r="C728" s="65" t="s">
        <v>41</v>
      </c>
      <c r="D728" t="s">
        <v>137</v>
      </c>
      <c r="E728" s="3">
        <v>39</v>
      </c>
      <c r="F728">
        <v>1364</v>
      </c>
      <c r="G728">
        <v>15</v>
      </c>
      <c r="H728">
        <v>0</v>
      </c>
      <c r="I728">
        <v>35</v>
      </c>
      <c r="J728">
        <v>15</v>
      </c>
      <c r="K728" s="64">
        <f>IF(Tableau1[[#This Row],[Quantité (H)]]=0,0,Tableau1[[#This Row],[Gasoil (L)]]/Tableau1[[#This Row],[Quantité (H)]])</f>
        <v>34.974358974358971</v>
      </c>
      <c r="M728" s="23">
        <v>16273.32</v>
      </c>
      <c r="N728" s="23">
        <v>9680</v>
      </c>
      <c r="O728" s="64">
        <f>Tableau1[[#This Row],[Productivité]]-Tableau1[[#This Row],[ les Charges]]</f>
        <v>-6593.32</v>
      </c>
      <c r="Q728" s="22" t="str">
        <f>IF(Tableau1[[#This Row],[Code]]=R728,"ok")</f>
        <v>ok</v>
      </c>
      <c r="R728" s="23" t="s">
        <v>137</v>
      </c>
      <c r="S728" s="23">
        <v>16273.32</v>
      </c>
      <c r="T728">
        <v>9680</v>
      </c>
    </row>
    <row r="729" spans="1:25" hidden="1" x14ac:dyDescent="0.25">
      <c r="A729" s="66">
        <v>44469</v>
      </c>
      <c r="B729" t="s">
        <v>116</v>
      </c>
      <c r="C729" s="65" t="s">
        <v>41</v>
      </c>
      <c r="D729" t="s">
        <v>123</v>
      </c>
      <c r="E729" s="65">
        <v>159</v>
      </c>
      <c r="F729">
        <v>1545</v>
      </c>
      <c r="G729">
        <v>20</v>
      </c>
      <c r="H729">
        <v>0</v>
      </c>
      <c r="I729">
        <v>0</v>
      </c>
      <c r="J729">
        <v>0</v>
      </c>
      <c r="K729" s="64">
        <f>IF(Tableau1[[#This Row],[Quantité (H)]]=0,0,Tableau1[[#This Row],[Gasoil (L)]]/Tableau1[[#This Row],[Quantité (H)]])</f>
        <v>9.7169811320754711</v>
      </c>
      <c r="M729" s="23">
        <v>16520.03</v>
      </c>
      <c r="N729" s="23">
        <v>34320</v>
      </c>
      <c r="O729" s="64">
        <f>Tableau1[[#This Row],[Productivité]]-Tableau1[[#This Row],[ les Charges]]</f>
        <v>17799.97</v>
      </c>
      <c r="Q729" s="22" t="str">
        <f>IF(Tableau1[[#This Row],[Code]]=R729,"ok")</f>
        <v>ok</v>
      </c>
      <c r="R729" s="23" t="s">
        <v>123</v>
      </c>
      <c r="S729" s="23">
        <v>16520.03</v>
      </c>
      <c r="T729">
        <v>34320</v>
      </c>
    </row>
    <row r="730" spans="1:25" hidden="1" x14ac:dyDescent="0.25">
      <c r="A730" s="66">
        <v>44469</v>
      </c>
      <c r="B730" t="s">
        <v>84</v>
      </c>
      <c r="C730" s="65" t="s">
        <v>41</v>
      </c>
      <c r="D730" t="s">
        <v>128</v>
      </c>
      <c r="E730" s="65">
        <v>131</v>
      </c>
      <c r="F730">
        <v>2496</v>
      </c>
      <c r="G730">
        <v>25</v>
      </c>
      <c r="H730">
        <v>0</v>
      </c>
      <c r="I730">
        <v>15</v>
      </c>
      <c r="J730">
        <v>5</v>
      </c>
      <c r="K730" s="64">
        <f>IF(Tableau1[[#This Row],[Quantité (H)]]=0,0,Tableau1[[#This Row],[Gasoil (L)]]/Tableau1[[#This Row],[Quantité (H)]])</f>
        <v>19.053435114503817</v>
      </c>
      <c r="M730" s="23">
        <v>28750.33</v>
      </c>
      <c r="N730" s="23">
        <v>51240</v>
      </c>
      <c r="O730" s="64">
        <f>Tableau1[[#This Row],[Productivité]]-Tableau1[[#This Row],[ les Charges]]</f>
        <v>22489.67</v>
      </c>
      <c r="Q730" s="22" t="str">
        <f>IF(Tableau1[[#This Row],[Code]]=R730,"ok")</f>
        <v>ok</v>
      </c>
      <c r="R730" s="23" t="s">
        <v>128</v>
      </c>
      <c r="S730" s="23">
        <v>28750.33</v>
      </c>
      <c r="T730">
        <v>51240</v>
      </c>
    </row>
    <row r="731" spans="1:25" hidden="1" x14ac:dyDescent="0.25">
      <c r="A731" s="66">
        <v>44469</v>
      </c>
      <c r="B731" t="s">
        <v>84</v>
      </c>
      <c r="C731" s="65" t="s">
        <v>41</v>
      </c>
      <c r="D731" t="s">
        <v>127</v>
      </c>
      <c r="E731">
        <v>171</v>
      </c>
      <c r="F731">
        <v>2789</v>
      </c>
      <c r="G731">
        <v>25</v>
      </c>
      <c r="H731">
        <v>0</v>
      </c>
      <c r="I731">
        <v>10</v>
      </c>
      <c r="J731">
        <v>30</v>
      </c>
      <c r="K731" s="64">
        <f>IF(Tableau1[[#This Row],[Quantité (H)]]=0,0,Tableau1[[#This Row],[Gasoil (L)]]/Tableau1[[#This Row],[Quantité (H)]])</f>
        <v>16.309941520467838</v>
      </c>
      <c r="M731" s="23">
        <v>36789.69</v>
      </c>
      <c r="N731" s="23">
        <v>71820</v>
      </c>
      <c r="O731" s="64">
        <f>Tableau1[[#This Row],[Productivité]]-Tableau1[[#This Row],[ les Charges]]</f>
        <v>35030.31</v>
      </c>
      <c r="Q731" s="22" t="str">
        <f>IF(Tableau1[[#This Row],[Code]]=R731,"ok")</f>
        <v>ok</v>
      </c>
      <c r="R731" s="23" t="s">
        <v>127</v>
      </c>
      <c r="S731" s="23">
        <v>36789.69</v>
      </c>
      <c r="T731">
        <v>71820</v>
      </c>
    </row>
    <row r="732" spans="1:25" hidden="1" x14ac:dyDescent="0.25">
      <c r="A732" s="66">
        <v>44469</v>
      </c>
      <c r="B732" t="s">
        <v>84</v>
      </c>
      <c r="C732" s="65" t="s">
        <v>41</v>
      </c>
      <c r="D732" s="65" t="s">
        <v>129</v>
      </c>
      <c r="E732" s="65">
        <v>238</v>
      </c>
      <c r="F732">
        <v>3503</v>
      </c>
      <c r="G732">
        <v>25</v>
      </c>
      <c r="H732">
        <v>0</v>
      </c>
      <c r="I732">
        <v>5</v>
      </c>
      <c r="J732">
        <v>15</v>
      </c>
      <c r="K732" s="64">
        <f>IF(Tableau1[[#This Row],[Quantité (H)]]=0,0,Tableau1[[#This Row],[Gasoil (L)]]/Tableau1[[#This Row],[Quantité (H)]])</f>
        <v>14.718487394957982</v>
      </c>
      <c r="M732" s="23">
        <v>36561.65</v>
      </c>
      <c r="N732" s="23">
        <v>99960</v>
      </c>
      <c r="O732" s="64">
        <f>Tableau1[[#This Row],[Productivité]]-Tableau1[[#This Row],[ les Charges]]</f>
        <v>63398.35</v>
      </c>
      <c r="Q732" s="22" t="str">
        <f>IF(Tableau1[[#This Row],[Code]]=R732,"ok")</f>
        <v>ok</v>
      </c>
      <c r="R732" s="23" t="s">
        <v>129</v>
      </c>
      <c r="S732" s="23">
        <v>36561.65</v>
      </c>
      <c r="T732">
        <v>99960</v>
      </c>
    </row>
    <row r="733" spans="1:25" hidden="1" x14ac:dyDescent="0.25">
      <c r="A733" s="66">
        <v>44469</v>
      </c>
      <c r="B733" t="s">
        <v>178</v>
      </c>
      <c r="C733" s="65" t="s">
        <v>86</v>
      </c>
      <c r="D733" s="67" t="s">
        <v>58</v>
      </c>
      <c r="E733" s="65">
        <v>252</v>
      </c>
      <c r="F733">
        <v>316</v>
      </c>
      <c r="G733">
        <v>20</v>
      </c>
      <c r="H733">
        <v>0</v>
      </c>
      <c r="I733">
        <v>0</v>
      </c>
      <c r="J733">
        <v>0</v>
      </c>
      <c r="K733" s="64">
        <f>IF(Tableau1[[#This Row],[Quantité (H)]]=0,0,Tableau1[[#This Row],[Gasoil (L)]]/Tableau1[[#This Row],[Quantité (H)]])</f>
        <v>1.253968253968254</v>
      </c>
      <c r="L733" s="23">
        <v>12.02</v>
      </c>
      <c r="M733" s="23">
        <v>3904.2</v>
      </c>
      <c r="N733" s="23">
        <v>16380</v>
      </c>
      <c r="O733" s="64">
        <f>Tableau1[[#This Row],[Productivité]]-Tableau1[[#This Row],[ les Charges]]</f>
        <v>12475.8</v>
      </c>
      <c r="Q733" s="22" t="str">
        <f>IF(Tableau1[[#This Row],[Code]]=R733,"ok")</f>
        <v>ok</v>
      </c>
      <c r="R733" s="23" t="s">
        <v>58</v>
      </c>
      <c r="S733" s="23">
        <v>3904.2</v>
      </c>
      <c r="T733">
        <v>16380</v>
      </c>
    </row>
    <row r="734" spans="1:25" hidden="1" x14ac:dyDescent="0.25">
      <c r="A734" s="66">
        <v>44469</v>
      </c>
      <c r="B734" t="s">
        <v>81</v>
      </c>
      <c r="C734" s="65" t="s">
        <v>86</v>
      </c>
      <c r="D734" s="67" t="s">
        <v>59</v>
      </c>
      <c r="E734" s="3">
        <v>89</v>
      </c>
      <c r="F734">
        <v>129</v>
      </c>
      <c r="K734" s="64">
        <f>IF(Tableau1[[#This Row],[Quantité (H)]]=0,0,Tableau1[[#This Row],[Gasoil (L)]]/Tableau1[[#This Row],[Quantité (H)]])</f>
        <v>1.449438202247191</v>
      </c>
      <c r="L734" s="23">
        <v>13.8</v>
      </c>
      <c r="M734" s="23">
        <v>1080</v>
      </c>
      <c r="N734" s="23">
        <v>5785</v>
      </c>
      <c r="O734" s="64">
        <f>Tableau1[[#This Row],[Productivité]]-Tableau1[[#This Row],[ les Charges]]</f>
        <v>4705</v>
      </c>
      <c r="Q734" s="22" t="str">
        <f>IF(Tableau1[[#This Row],[Code]]=R734,"ok")</f>
        <v>ok</v>
      </c>
      <c r="R734" s="23" t="s">
        <v>59</v>
      </c>
      <c r="S734" s="23">
        <v>1080</v>
      </c>
      <c r="T734">
        <v>5785</v>
      </c>
    </row>
    <row r="735" spans="1:25" hidden="1" x14ac:dyDescent="0.25">
      <c r="A735" s="66">
        <v>44469</v>
      </c>
      <c r="B735" t="s">
        <v>116</v>
      </c>
      <c r="C735" s="65" t="s">
        <v>86</v>
      </c>
      <c r="D735" s="67" t="s">
        <v>60</v>
      </c>
      <c r="E735" s="65">
        <v>261</v>
      </c>
      <c r="F735">
        <v>550</v>
      </c>
      <c r="G735">
        <v>0</v>
      </c>
      <c r="H735">
        <v>0</v>
      </c>
      <c r="I735">
        <v>0</v>
      </c>
      <c r="J735">
        <v>0</v>
      </c>
      <c r="K735" s="64">
        <f>IF(Tableau1[[#This Row],[Quantité (H)]]=0,0,Tableau1[[#This Row],[Gasoil (L)]]/Tableau1[[#This Row],[Quantité (H)]])</f>
        <v>2.1072796934865901</v>
      </c>
      <c r="L735" s="23">
        <v>11.8</v>
      </c>
      <c r="M735" s="23">
        <v>5500</v>
      </c>
      <c r="N735" s="23">
        <v>16965</v>
      </c>
      <c r="O735" s="64">
        <f>Tableau1[[#This Row],[Productivité]]-Tableau1[[#This Row],[ les Charges]]</f>
        <v>11465</v>
      </c>
      <c r="Q735" s="22" t="str">
        <f>IF(Tableau1[[#This Row],[Code]]=R735,"ok")</f>
        <v>ok</v>
      </c>
      <c r="R735" s="23" t="s">
        <v>60</v>
      </c>
      <c r="S735" s="23">
        <v>5500</v>
      </c>
      <c r="T735">
        <v>16965</v>
      </c>
    </row>
    <row r="736" spans="1:25" hidden="1" x14ac:dyDescent="0.25">
      <c r="A736" s="66">
        <v>44469</v>
      </c>
      <c r="B736" t="s">
        <v>84</v>
      </c>
      <c r="C736" s="65" t="s">
        <v>86</v>
      </c>
      <c r="D736" s="67" t="s">
        <v>61</v>
      </c>
      <c r="E736" s="65">
        <v>214</v>
      </c>
      <c r="F736">
        <v>272</v>
      </c>
      <c r="G736">
        <v>0</v>
      </c>
      <c r="H736">
        <v>0</v>
      </c>
      <c r="I736">
        <v>0</v>
      </c>
      <c r="J736">
        <v>0</v>
      </c>
      <c r="K736" s="64">
        <f>IF(Tableau1[[#This Row],[Quantité (H)]]=0,0,Tableau1[[#This Row],[Gasoil (L)]]/Tableau1[[#This Row],[Quantité (H)]])</f>
        <v>1.2710280373831775</v>
      </c>
      <c r="L736" s="23">
        <v>13.8</v>
      </c>
      <c r="M736" s="23">
        <v>2720</v>
      </c>
      <c r="N736" s="23">
        <v>13910</v>
      </c>
      <c r="O736" s="64">
        <f>Tableau1[[#This Row],[Productivité]]-Tableau1[[#This Row],[ les Charges]]</f>
        <v>11190</v>
      </c>
      <c r="Q736" s="22" t="str">
        <f>IF(Tableau1[[#This Row],[Code]]=R736,"ok")</f>
        <v>ok</v>
      </c>
      <c r="R736" s="23" t="s">
        <v>61</v>
      </c>
      <c r="S736" s="23">
        <v>2720</v>
      </c>
      <c r="T736">
        <v>13910</v>
      </c>
    </row>
    <row r="737" spans="1:20" hidden="1" x14ac:dyDescent="0.25">
      <c r="A737" s="66">
        <v>44469</v>
      </c>
      <c r="B737" s="65" t="s">
        <v>179</v>
      </c>
      <c r="C737" s="65" t="s">
        <v>92</v>
      </c>
      <c r="D737" s="65" t="s">
        <v>133</v>
      </c>
      <c r="E737" s="65"/>
      <c r="F737" s="65"/>
      <c r="G737" s="65"/>
      <c r="H737" s="65"/>
      <c r="I737" s="65"/>
      <c r="J737" s="65"/>
      <c r="K737" s="64">
        <f>IF(Tableau1[[#This Row],[Quantité (H)]]=0,0,Tableau1[[#This Row],[Gasoil (L)]]/Tableau1[[#This Row],[Quantité (H)]])</f>
        <v>0</v>
      </c>
      <c r="O737" s="64">
        <f>Tableau1[[#This Row],[Productivité]]-Tableau1[[#This Row],[ les Charges]]</f>
        <v>0</v>
      </c>
      <c r="Q737" s="22" t="b">
        <f>IF(Tableau1[[#This Row],[Code]]=R737,"ok")</f>
        <v>0</v>
      </c>
      <c r="R737" s="23" t="s">
        <v>138</v>
      </c>
    </row>
    <row r="738" spans="1:20" hidden="1" x14ac:dyDescent="0.25">
      <c r="A738" s="66">
        <v>44469</v>
      </c>
      <c r="B738" t="s">
        <v>160</v>
      </c>
      <c r="C738" s="65" t="s">
        <v>43</v>
      </c>
      <c r="D738" t="s">
        <v>33</v>
      </c>
      <c r="E738" s="65">
        <v>138</v>
      </c>
      <c r="F738">
        <v>694</v>
      </c>
      <c r="G738">
        <v>0</v>
      </c>
      <c r="H738">
        <v>0</v>
      </c>
      <c r="I738">
        <v>0</v>
      </c>
      <c r="J738">
        <v>0</v>
      </c>
      <c r="K738" s="64">
        <f>IF(Tableau1[[#This Row],[Quantité (H)]]=0,0,Tableau1[[#This Row],[Gasoil (L)]]/Tableau1[[#This Row],[Quantité (H)]])</f>
        <v>5.0289855072463769</v>
      </c>
      <c r="M738" s="23">
        <v>7371.73</v>
      </c>
      <c r="N738" s="23">
        <v>22680</v>
      </c>
      <c r="O738" s="64">
        <f>Tableau1[[#This Row],[Productivité]]-Tableau1[[#This Row],[ les Charges]]</f>
        <v>15308.27</v>
      </c>
      <c r="Q738" s="22" t="str">
        <f>IF(Tableau1[[#This Row],[Code]]=R738,"ok")</f>
        <v>ok</v>
      </c>
      <c r="R738" s="23" t="s">
        <v>33</v>
      </c>
      <c r="S738" s="23">
        <v>7371.73</v>
      </c>
      <c r="T738">
        <v>22680</v>
      </c>
    </row>
    <row r="739" spans="1:20" hidden="1" x14ac:dyDescent="0.25">
      <c r="A739" s="66">
        <v>44469</v>
      </c>
      <c r="B739" t="s">
        <v>160</v>
      </c>
      <c r="C739" s="65" t="s">
        <v>43</v>
      </c>
      <c r="D739" t="s">
        <v>34</v>
      </c>
      <c r="E739" s="3">
        <v>69</v>
      </c>
      <c r="F739">
        <v>402</v>
      </c>
      <c r="G739">
        <v>0</v>
      </c>
      <c r="H739">
        <v>0</v>
      </c>
      <c r="I739">
        <v>0</v>
      </c>
      <c r="J739">
        <v>0</v>
      </c>
      <c r="K739" s="64">
        <f>IF(Tableau1[[#This Row],[Quantité (H)]]=0,0,Tableau1[[#This Row],[Gasoil (L)]]/Tableau1[[#This Row],[Quantité (H)]])</f>
        <v>5.8260869565217392</v>
      </c>
      <c r="M739" s="23">
        <v>6244.79</v>
      </c>
      <c r="O739" s="64">
        <f>Tableau1[[#This Row],[Productivité]]-Tableau1[[#This Row],[ les Charges]]</f>
        <v>-6244.79</v>
      </c>
      <c r="Q739" s="22" t="str">
        <f>IF(Tableau1[[#This Row],[Code]]=R739,"ok")</f>
        <v>ok</v>
      </c>
      <c r="R739" s="23" t="s">
        <v>34</v>
      </c>
      <c r="S739" s="23">
        <v>6244.79</v>
      </c>
    </row>
    <row r="740" spans="1:20" hidden="1" x14ac:dyDescent="0.25">
      <c r="A740" s="66">
        <v>44469</v>
      </c>
      <c r="B740" s="65" t="s">
        <v>160</v>
      </c>
      <c r="C740" s="65" t="s">
        <v>43</v>
      </c>
      <c r="D740" s="65" t="s">
        <v>35</v>
      </c>
      <c r="E740" s="3"/>
      <c r="F740" s="65"/>
      <c r="G740" s="65"/>
      <c r="H740" s="65"/>
      <c r="I740" s="65"/>
      <c r="J740" s="65"/>
      <c r="K740" s="64">
        <f>IF(Tableau1[[#This Row],[Quantité (H)]]=0,0,Tableau1[[#This Row],[Gasoil (L)]]/Tableau1[[#This Row],[Quantité (H)]])</f>
        <v>0</v>
      </c>
      <c r="M740" s="23">
        <v>1010.18</v>
      </c>
      <c r="N740" s="23">
        <v>25020</v>
      </c>
      <c r="O740" s="64">
        <f>Tableau1[[#This Row],[Productivité]]-Tableau1[[#This Row],[ les Charges]]</f>
        <v>24009.82</v>
      </c>
      <c r="Q740" s="22" t="str">
        <f>IF(Tableau1[[#This Row],[Code]]=R740,"ok")</f>
        <v>ok</v>
      </c>
      <c r="R740" s="23" t="s">
        <v>35</v>
      </c>
      <c r="S740" s="23">
        <v>1010.18</v>
      </c>
      <c r="T740">
        <v>25020</v>
      </c>
    </row>
    <row r="741" spans="1:20" hidden="1" x14ac:dyDescent="0.25">
      <c r="A741" s="66">
        <v>44469</v>
      </c>
      <c r="B741" t="s">
        <v>84</v>
      </c>
      <c r="C741" s="65" t="s">
        <v>87</v>
      </c>
      <c r="D741" s="67" t="s">
        <v>63</v>
      </c>
      <c r="E741" s="65">
        <v>167</v>
      </c>
      <c r="F741">
        <v>286</v>
      </c>
      <c r="G741">
        <v>5</v>
      </c>
      <c r="H741">
        <v>0</v>
      </c>
      <c r="I741">
        <v>0</v>
      </c>
      <c r="J741">
        <v>0</v>
      </c>
      <c r="K741" s="64">
        <f>IF(Tableau1[[#This Row],[Quantité (H)]]=0,0,Tableau1[[#This Row],[Gasoil (L)]]/Tableau1[[#This Row],[Quantité (H)]])</f>
        <v>1.7125748502994012</v>
      </c>
      <c r="M741" s="23">
        <v>3071.05</v>
      </c>
      <c r="N741" s="23">
        <v>10855</v>
      </c>
      <c r="O741" s="64">
        <f>Tableau1[[#This Row],[Productivité]]-Tableau1[[#This Row],[ les Charges]]</f>
        <v>7783.95</v>
      </c>
      <c r="Q741" s="22" t="str">
        <f>IF(Tableau1[[#This Row],[Code]]=R741,"ok")</f>
        <v>ok</v>
      </c>
      <c r="R741" s="23" t="s">
        <v>63</v>
      </c>
      <c r="S741" s="23">
        <v>3071.05</v>
      </c>
      <c r="T741">
        <v>10855</v>
      </c>
    </row>
    <row r="742" spans="1:20" hidden="1" x14ac:dyDescent="0.25">
      <c r="A742" s="66">
        <v>44469</v>
      </c>
      <c r="B742" t="s">
        <v>84</v>
      </c>
      <c r="C742" s="65" t="s">
        <v>87</v>
      </c>
      <c r="D742" s="67" t="s">
        <v>105</v>
      </c>
      <c r="E742" s="65">
        <v>166</v>
      </c>
      <c r="F742">
        <v>186</v>
      </c>
      <c r="G742">
        <v>0</v>
      </c>
      <c r="H742">
        <v>0</v>
      </c>
      <c r="I742">
        <v>0</v>
      </c>
      <c r="J742">
        <v>0</v>
      </c>
      <c r="K742" s="64">
        <f>IF(Tableau1[[#This Row],[Quantité (H)]]=0,0,Tableau1[[#This Row],[Gasoil (L)]]/Tableau1[[#This Row],[Quantité (H)]])</f>
        <v>1.1204819277108433</v>
      </c>
      <c r="M742" s="23">
        <v>1860</v>
      </c>
      <c r="N742" s="23">
        <v>10790</v>
      </c>
      <c r="O742" s="64">
        <f>Tableau1[[#This Row],[Productivité]]-Tableau1[[#This Row],[ les Charges]]</f>
        <v>8930</v>
      </c>
      <c r="Q742" s="22" t="str">
        <f>IF(Tableau1[[#This Row],[Code]]=R742,"ok")</f>
        <v>ok</v>
      </c>
      <c r="R742" s="23" t="s">
        <v>105</v>
      </c>
      <c r="S742" s="23">
        <v>1860</v>
      </c>
      <c r="T742">
        <v>10790</v>
      </c>
    </row>
    <row r="743" spans="1:20" hidden="1" x14ac:dyDescent="0.25">
      <c r="A743" s="66">
        <v>44469</v>
      </c>
      <c r="B743" t="s">
        <v>160</v>
      </c>
      <c r="C743" s="65" t="s">
        <v>87</v>
      </c>
      <c r="D743" s="67" t="s">
        <v>174</v>
      </c>
      <c r="E743">
        <v>45</v>
      </c>
      <c r="F743">
        <v>50</v>
      </c>
      <c r="G743">
        <v>0</v>
      </c>
      <c r="H743">
        <v>0</v>
      </c>
      <c r="I743">
        <v>0</v>
      </c>
      <c r="J743">
        <v>0</v>
      </c>
      <c r="K743" s="64">
        <f>IF(Tableau1[[#This Row],[Quantité (H)]]=0,0,Tableau1[[#This Row],[Gasoil (L)]]/Tableau1[[#This Row],[Quantité (H)]])</f>
        <v>1.1111111111111112</v>
      </c>
      <c r="M743" s="23">
        <v>500</v>
      </c>
      <c r="O743" s="64">
        <f>Tableau1[[#This Row],[Productivité]]-Tableau1[[#This Row],[ les Charges]]</f>
        <v>-500</v>
      </c>
      <c r="Q743" s="22" t="str">
        <f>IF(Tableau1[[#This Row],[Code]]=R743,"ok")</f>
        <v>ok</v>
      </c>
      <c r="R743" s="23" t="s">
        <v>174</v>
      </c>
      <c r="S743" s="23">
        <v>500</v>
      </c>
    </row>
    <row r="744" spans="1:20" hidden="1" x14ac:dyDescent="0.25">
      <c r="A744" s="66">
        <v>44469</v>
      </c>
      <c r="B744" t="s">
        <v>84</v>
      </c>
      <c r="C744" s="65" t="s">
        <v>88</v>
      </c>
      <c r="D744" s="67" t="s">
        <v>64</v>
      </c>
      <c r="E744" s="65">
        <v>0</v>
      </c>
      <c r="F744">
        <v>279</v>
      </c>
      <c r="G744">
        <v>0</v>
      </c>
      <c r="H744">
        <v>0</v>
      </c>
      <c r="I744">
        <v>0</v>
      </c>
      <c r="J744">
        <v>0</v>
      </c>
      <c r="K744" s="64">
        <f>IF(Tableau1[[#This Row],[Quantité (H)]]=0,0,Tableau1[[#This Row],[Gasoil (L)]]/Tableau1[[#This Row],[Quantité (H)]])</f>
        <v>0</v>
      </c>
      <c r="M744" s="23">
        <v>2790</v>
      </c>
      <c r="N744" s="23">
        <v>10400</v>
      </c>
      <c r="O744" s="64">
        <f>Tableau1[[#This Row],[Productivité]]-Tableau1[[#This Row],[ les Charges]]</f>
        <v>7610</v>
      </c>
      <c r="Q744" s="22" t="str">
        <f>IF(Tableau1[[#This Row],[Code]]=R744,"ok")</f>
        <v>ok</v>
      </c>
      <c r="R744" s="23" t="s">
        <v>64</v>
      </c>
      <c r="S744" s="23">
        <v>2790</v>
      </c>
      <c r="T744">
        <v>10400</v>
      </c>
    </row>
    <row r="745" spans="1:20" hidden="1" x14ac:dyDescent="0.25">
      <c r="A745" s="66">
        <v>44469</v>
      </c>
      <c r="B745" t="s">
        <v>116</v>
      </c>
      <c r="C745" s="65" t="s">
        <v>88</v>
      </c>
      <c r="D745" s="67" t="s">
        <v>65</v>
      </c>
      <c r="E745">
        <v>0</v>
      </c>
      <c r="F745">
        <v>58</v>
      </c>
      <c r="G745">
        <v>0</v>
      </c>
      <c r="H745">
        <v>0</v>
      </c>
      <c r="I745">
        <v>0</v>
      </c>
      <c r="J745">
        <v>0</v>
      </c>
      <c r="K745" s="64">
        <f>IF(Tableau1[[#This Row],[Quantité (H)]]=0,0,Tableau1[[#This Row],[Gasoil (L)]]/Tableau1[[#This Row],[Quantité (H)]])</f>
        <v>0</v>
      </c>
      <c r="M745" s="23">
        <v>8469.68</v>
      </c>
      <c r="N745" s="23">
        <v>10400</v>
      </c>
      <c r="O745" s="64">
        <f>Tableau1[[#This Row],[Productivité]]-Tableau1[[#This Row],[ les Charges]]</f>
        <v>1930.3199999999997</v>
      </c>
      <c r="Q745" s="22" t="str">
        <f>IF(Tableau1[[#This Row],[Code]]=R745,"ok")</f>
        <v>ok</v>
      </c>
      <c r="R745" s="23" t="s">
        <v>65</v>
      </c>
      <c r="S745" s="23">
        <v>8469.68</v>
      </c>
      <c r="T745">
        <v>10400</v>
      </c>
    </row>
    <row r="746" spans="1:20" hidden="1" x14ac:dyDescent="0.25">
      <c r="A746" s="66">
        <v>44469</v>
      </c>
      <c r="B746" t="s">
        <v>84</v>
      </c>
      <c r="C746" s="65" t="s">
        <v>88</v>
      </c>
      <c r="D746" s="67" t="s">
        <v>66</v>
      </c>
      <c r="E746">
        <v>0</v>
      </c>
      <c r="F746">
        <v>37</v>
      </c>
      <c r="G746">
        <v>0</v>
      </c>
      <c r="H746">
        <v>0</v>
      </c>
      <c r="I746">
        <v>0</v>
      </c>
      <c r="J746">
        <v>0</v>
      </c>
      <c r="K746" s="64">
        <f>IF(Tableau1[[#This Row],[Quantité (H)]]=0,0,Tableau1[[#This Row],[Gasoil (L)]]/Tableau1[[#This Row],[Quantité (H)]])</f>
        <v>0</v>
      </c>
      <c r="M746" s="23">
        <v>10614</v>
      </c>
      <c r="N746" s="23">
        <v>10400</v>
      </c>
      <c r="O746" s="64">
        <f>Tableau1[[#This Row],[Productivité]]-Tableau1[[#This Row],[ les Charges]]</f>
        <v>-214</v>
      </c>
      <c r="Q746" s="22" t="str">
        <f>IF(Tableau1[[#This Row],[Code]]=R746,"ok")</f>
        <v>ok</v>
      </c>
      <c r="R746" s="23" t="s">
        <v>66</v>
      </c>
      <c r="S746" s="23">
        <v>10614</v>
      </c>
      <c r="T746">
        <v>10400</v>
      </c>
    </row>
    <row r="747" spans="1:20" hidden="1" x14ac:dyDescent="0.25">
      <c r="A747" s="66">
        <v>44469</v>
      </c>
      <c r="B747" t="s">
        <v>179</v>
      </c>
      <c r="C747" s="65" t="s">
        <v>88</v>
      </c>
      <c r="D747" s="67" t="s">
        <v>67</v>
      </c>
      <c r="E747" s="3">
        <v>0</v>
      </c>
      <c r="F747">
        <v>39.57</v>
      </c>
      <c r="G747">
        <v>0</v>
      </c>
      <c r="H747">
        <v>0</v>
      </c>
      <c r="I747">
        <v>0</v>
      </c>
      <c r="J747">
        <v>0</v>
      </c>
      <c r="K747" s="64">
        <f>IF(Tableau1[[#This Row],[Quantité (H)]]=0,0,Tableau1[[#This Row],[Gasoil (L)]]/Tableau1[[#This Row],[Quantité (H)]])</f>
        <v>0</v>
      </c>
      <c r="M747" s="23">
        <v>3497.82</v>
      </c>
      <c r="O747" s="64">
        <f>Tableau1[[#This Row],[Productivité]]-Tableau1[[#This Row],[ les Charges]]</f>
        <v>-3497.82</v>
      </c>
      <c r="Q747" s="22" t="str">
        <f>IF(Tableau1[[#This Row],[Code]]=R747,"ok")</f>
        <v>ok</v>
      </c>
      <c r="R747" s="23" t="s">
        <v>67</v>
      </c>
      <c r="S747" s="23">
        <v>3497.82</v>
      </c>
    </row>
    <row r="748" spans="1:20" hidden="1" x14ac:dyDescent="0.25">
      <c r="A748" s="66">
        <v>44469</v>
      </c>
      <c r="B748" t="s">
        <v>160</v>
      </c>
      <c r="C748" s="65" t="s">
        <v>88</v>
      </c>
      <c r="D748" s="67" t="s">
        <v>68</v>
      </c>
      <c r="E748" s="3">
        <v>0</v>
      </c>
      <c r="F748">
        <v>127</v>
      </c>
      <c r="G748">
        <v>0</v>
      </c>
      <c r="H748">
        <v>0</v>
      </c>
      <c r="I748">
        <v>0</v>
      </c>
      <c r="J748">
        <v>0</v>
      </c>
      <c r="K748" s="64">
        <f>IF(Tableau1[[#This Row],[Quantité (H)]]=0,0,Tableau1[[#This Row],[Gasoil (L)]]/Tableau1[[#This Row],[Quantité (H)]])</f>
        <v>0</v>
      </c>
      <c r="L748" s="23">
        <v>8.4949832775919738</v>
      </c>
      <c r="M748" s="23">
        <v>1270</v>
      </c>
      <c r="N748" s="23">
        <v>7800</v>
      </c>
      <c r="O748" s="64">
        <f>Tableau1[[#This Row],[Productivité]]-Tableau1[[#This Row],[ les Charges]]</f>
        <v>6530</v>
      </c>
      <c r="Q748" s="22" t="str">
        <f>IF(Tableau1[[#This Row],[Code]]=R748,"ok")</f>
        <v>ok</v>
      </c>
      <c r="R748" s="23" t="s">
        <v>68</v>
      </c>
      <c r="S748" s="23">
        <v>1270</v>
      </c>
      <c r="T748">
        <v>7800</v>
      </c>
    </row>
    <row r="749" spans="1:20" hidden="1" x14ac:dyDescent="0.25">
      <c r="A749" s="66">
        <v>44469</v>
      </c>
      <c r="B749" t="s">
        <v>116</v>
      </c>
      <c r="C749" s="65" t="s">
        <v>88</v>
      </c>
      <c r="D749" s="67" t="s">
        <v>69</v>
      </c>
      <c r="E749">
        <v>252</v>
      </c>
      <c r="F749">
        <v>324</v>
      </c>
      <c r="G749">
        <v>0</v>
      </c>
      <c r="H749">
        <v>0</v>
      </c>
      <c r="I749">
        <v>0</v>
      </c>
      <c r="J749">
        <v>0</v>
      </c>
      <c r="K749" s="64">
        <f>IF(Tableau1[[#This Row],[Quantité (H)]]=0,0,Tableau1[[#This Row],[Gasoil (L)]]/Tableau1[[#This Row],[Quantité (H)]])</f>
        <v>1.2857142857142858</v>
      </c>
      <c r="L749" s="23">
        <v>5.7633084029916413</v>
      </c>
      <c r="M749" s="23">
        <v>3456.66</v>
      </c>
      <c r="N749" s="23">
        <v>8400</v>
      </c>
      <c r="O749" s="64">
        <f>Tableau1[[#This Row],[Productivité]]-Tableau1[[#This Row],[ les Charges]]</f>
        <v>4943.34</v>
      </c>
      <c r="Q749" s="22" t="str">
        <f>IF(Tableau1[[#This Row],[Code]]=R749,"ok")</f>
        <v>ok</v>
      </c>
      <c r="R749" s="23" t="s">
        <v>69</v>
      </c>
      <c r="S749" s="23">
        <v>3456.66</v>
      </c>
      <c r="T749">
        <v>8400</v>
      </c>
    </row>
    <row r="750" spans="1:20" hidden="1" x14ac:dyDescent="0.25">
      <c r="A750" s="66">
        <v>44469</v>
      </c>
      <c r="B750" t="s">
        <v>84</v>
      </c>
      <c r="C750" s="65" t="s">
        <v>88</v>
      </c>
      <c r="D750" s="67" t="s">
        <v>70</v>
      </c>
      <c r="E750" s="65">
        <v>0</v>
      </c>
      <c r="F750">
        <v>318</v>
      </c>
      <c r="G750">
        <v>0</v>
      </c>
      <c r="H750">
        <v>0</v>
      </c>
      <c r="I750">
        <v>0</v>
      </c>
      <c r="J750">
        <v>0</v>
      </c>
      <c r="K750" s="64">
        <f>IF(Tableau1[[#This Row],[Quantité (H)]]=0,0,Tableau1[[#This Row],[Gasoil (L)]]/Tableau1[[#This Row],[Quantité (H)]])</f>
        <v>0</v>
      </c>
      <c r="L750" s="23">
        <v>7.0044052863436121</v>
      </c>
      <c r="M750" s="23">
        <v>4215.04</v>
      </c>
      <c r="N750" s="23">
        <v>7800</v>
      </c>
      <c r="O750" s="64">
        <f>Tableau1[[#This Row],[Productivité]]-Tableau1[[#This Row],[ les Charges]]</f>
        <v>3584.96</v>
      </c>
      <c r="Q750" s="22" t="str">
        <f>IF(Tableau1[[#This Row],[Code]]=R750,"ok")</f>
        <v>ok</v>
      </c>
      <c r="R750" s="23" t="s">
        <v>70</v>
      </c>
      <c r="S750" s="23">
        <v>4215.04</v>
      </c>
      <c r="T750">
        <v>7800</v>
      </c>
    </row>
    <row r="751" spans="1:20" hidden="1" x14ac:dyDescent="0.25">
      <c r="A751" s="66">
        <v>44469</v>
      </c>
      <c r="B751" t="s">
        <v>178</v>
      </c>
      <c r="C751" s="65" t="s">
        <v>88</v>
      </c>
      <c r="D751" s="67" t="s">
        <v>71</v>
      </c>
      <c r="E751" s="65">
        <v>264</v>
      </c>
      <c r="F751">
        <v>378</v>
      </c>
      <c r="G751">
        <v>0</v>
      </c>
      <c r="H751">
        <v>0</v>
      </c>
      <c r="I751">
        <v>0</v>
      </c>
      <c r="J751">
        <v>0</v>
      </c>
      <c r="K751" s="64">
        <f>IF(Tableau1[[#This Row],[Quantité (H)]]=0,0,Tableau1[[#This Row],[Gasoil (L)]]/Tableau1[[#This Row],[Quantité (H)]])</f>
        <v>1.4318181818181819</v>
      </c>
      <c r="L751" s="23">
        <v>5.1730998806207724</v>
      </c>
      <c r="M751" s="23">
        <v>3996.66</v>
      </c>
      <c r="N751" s="23">
        <v>8700</v>
      </c>
      <c r="O751" s="64">
        <f>Tableau1[[#This Row],[Productivité]]-Tableau1[[#This Row],[ les Charges]]</f>
        <v>4703.34</v>
      </c>
      <c r="Q751" s="22" t="str">
        <f>IF(Tableau1[[#This Row],[Code]]=R751,"ok")</f>
        <v>ok</v>
      </c>
      <c r="R751" s="23" t="s">
        <v>71</v>
      </c>
      <c r="S751" s="23">
        <v>3996.66</v>
      </c>
      <c r="T751">
        <v>8700</v>
      </c>
    </row>
    <row r="752" spans="1:20" hidden="1" x14ac:dyDescent="0.25">
      <c r="A752" s="66">
        <v>44469</v>
      </c>
      <c r="B752" t="s">
        <v>84</v>
      </c>
      <c r="C752" s="65" t="s">
        <v>88</v>
      </c>
      <c r="D752" s="67" t="s">
        <v>72</v>
      </c>
      <c r="E752" s="65">
        <v>0</v>
      </c>
      <c r="F752">
        <v>232</v>
      </c>
      <c r="G752">
        <v>0</v>
      </c>
      <c r="H752">
        <v>0</v>
      </c>
      <c r="I752">
        <v>0</v>
      </c>
      <c r="J752">
        <v>0</v>
      </c>
      <c r="K752" s="64">
        <f>IF(Tableau1[[#This Row],[Quantité (H)]]=0,0,Tableau1[[#This Row],[Gasoil (L)]]/Tableau1[[#This Row],[Quantité (H)]])</f>
        <v>0</v>
      </c>
      <c r="L752" s="23">
        <v>6.2</v>
      </c>
      <c r="M752" s="23">
        <v>2528.33</v>
      </c>
      <c r="N752" s="23">
        <v>7800</v>
      </c>
      <c r="O752" s="64">
        <f>Tableau1[[#This Row],[Productivité]]-Tableau1[[#This Row],[ les Charges]]</f>
        <v>5271.67</v>
      </c>
      <c r="Q752" s="22" t="str">
        <f>IF(Tableau1[[#This Row],[Code]]=R752,"ok")</f>
        <v>ok</v>
      </c>
      <c r="R752" s="23" t="s">
        <v>72</v>
      </c>
      <c r="S752" s="23">
        <v>2528.33</v>
      </c>
      <c r="T752">
        <v>7800</v>
      </c>
    </row>
    <row r="753" spans="1:20" hidden="1" x14ac:dyDescent="0.25">
      <c r="A753" s="66">
        <v>44469</v>
      </c>
      <c r="B753" t="s">
        <v>179</v>
      </c>
      <c r="C753" s="65" t="s">
        <v>88</v>
      </c>
      <c r="D753" s="67" t="s">
        <v>176</v>
      </c>
      <c r="E753" s="3">
        <v>181</v>
      </c>
      <c r="F753">
        <v>87.19</v>
      </c>
      <c r="G753">
        <v>1</v>
      </c>
      <c r="H753">
        <v>0</v>
      </c>
      <c r="I753">
        <v>0</v>
      </c>
      <c r="J753">
        <v>0</v>
      </c>
      <c r="K753" s="64">
        <f>IF(Tableau1[[#This Row],[Quantité (H)]]=0,0,Tableau1[[#This Row],[Gasoil (L)]]/Tableau1[[#This Row],[Quantité (H)]])</f>
        <v>0.48171270718232045</v>
      </c>
      <c r="M753" s="23">
        <v>909.21</v>
      </c>
      <c r="N753" s="23">
        <v>5973</v>
      </c>
      <c r="O753" s="64">
        <f>Tableau1[[#This Row],[Productivité]]-Tableau1[[#This Row],[ les Charges]]</f>
        <v>5063.79</v>
      </c>
      <c r="Q753" s="22" t="str">
        <f>IF(Tableau1[[#This Row],[Code]]=R753,"ok")</f>
        <v>ok</v>
      </c>
      <c r="R753" s="23" t="s">
        <v>73</v>
      </c>
      <c r="S753" s="23">
        <v>909.21</v>
      </c>
      <c r="T753">
        <v>5973</v>
      </c>
    </row>
    <row r="754" spans="1:20" hidden="1" x14ac:dyDescent="0.25">
      <c r="A754" s="66">
        <v>44469</v>
      </c>
      <c r="B754" t="s">
        <v>116</v>
      </c>
      <c r="C754" s="65" t="s">
        <v>88</v>
      </c>
      <c r="D754" s="67" t="s">
        <v>74</v>
      </c>
      <c r="E754" s="65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 s="64">
        <f>IF(Tableau1[[#This Row],[Quantité (H)]]=0,0,Tableau1[[#This Row],[Gasoil (L)]]/Tableau1[[#This Row],[Quantité (H)]])</f>
        <v>0</v>
      </c>
      <c r="O754" s="64">
        <f>Tableau1[[#This Row],[Productivité]]-Tableau1[[#This Row],[ les Charges]]</f>
        <v>0</v>
      </c>
      <c r="Q754" s="22" t="str">
        <f>IF(Tableau1[[#This Row],[Code]]=R754,"ok")</f>
        <v>ok</v>
      </c>
      <c r="R754" s="23" t="s">
        <v>74</v>
      </c>
    </row>
    <row r="755" spans="1:20" hidden="1" x14ac:dyDescent="0.25">
      <c r="A755" s="66">
        <v>44469</v>
      </c>
      <c r="B755" t="s">
        <v>84</v>
      </c>
      <c r="C755" s="65" t="s">
        <v>88</v>
      </c>
      <c r="D755" s="67" t="s">
        <v>75</v>
      </c>
      <c r="E755" s="65">
        <v>228</v>
      </c>
      <c r="F755">
        <v>247</v>
      </c>
      <c r="G755">
        <v>0</v>
      </c>
      <c r="H755">
        <v>0</v>
      </c>
      <c r="I755">
        <v>0</v>
      </c>
      <c r="J755">
        <v>0</v>
      </c>
      <c r="K755" s="64">
        <f>IF(Tableau1[[#This Row],[Quantité (H)]]=0,0,Tableau1[[#This Row],[Gasoil (L)]]/Tableau1[[#This Row],[Quantité (H)]])</f>
        <v>1.0833333333333333</v>
      </c>
      <c r="L755" s="23">
        <v>7.3753359211704987</v>
      </c>
      <c r="M755" s="23">
        <v>3865.04</v>
      </c>
      <c r="N755" s="23">
        <v>7547.4</v>
      </c>
      <c r="O755" s="64">
        <f>Tableau1[[#This Row],[Productivité]]-Tableau1[[#This Row],[ les Charges]]</f>
        <v>3682.3599999999997</v>
      </c>
      <c r="Q755" s="22" t="str">
        <f>IF(Tableau1[[#This Row],[Code]]=R755,"ok")</f>
        <v>ok</v>
      </c>
      <c r="R755" s="23" t="s">
        <v>75</v>
      </c>
      <c r="S755" s="23">
        <v>3865.04</v>
      </c>
      <c r="T755">
        <v>7547.4</v>
      </c>
    </row>
    <row r="756" spans="1:20" hidden="1" x14ac:dyDescent="0.25">
      <c r="A756" s="66">
        <v>44469</v>
      </c>
      <c r="B756" t="s">
        <v>84</v>
      </c>
      <c r="C756" s="65" t="s">
        <v>88</v>
      </c>
      <c r="D756" s="67" t="s">
        <v>76</v>
      </c>
      <c r="E756" s="65">
        <v>197</v>
      </c>
      <c r="F756">
        <v>150</v>
      </c>
      <c r="G756">
        <v>0</v>
      </c>
      <c r="H756">
        <v>0</v>
      </c>
      <c r="I756">
        <v>0</v>
      </c>
      <c r="J756">
        <v>0</v>
      </c>
      <c r="K756" s="64">
        <f>IF(Tableau1[[#This Row],[Quantité (H)]]=0,0,Tableau1[[#This Row],[Gasoil (L)]]/Tableau1[[#This Row],[Quantité (H)]])</f>
        <v>0.76142131979695427</v>
      </c>
      <c r="L756" s="23">
        <v>7.3</v>
      </c>
      <c r="M756" s="23">
        <v>2535.04</v>
      </c>
      <c r="N756" s="23">
        <v>8700</v>
      </c>
      <c r="O756" s="64">
        <f>Tableau1[[#This Row],[Productivité]]-Tableau1[[#This Row],[ les Charges]]</f>
        <v>6164.96</v>
      </c>
      <c r="Q756" s="22" t="str">
        <f>IF(Tableau1[[#This Row],[Code]]=R756,"ok")</f>
        <v>ok</v>
      </c>
      <c r="R756" s="23" t="s">
        <v>76</v>
      </c>
      <c r="S756" s="23">
        <v>2535.04</v>
      </c>
      <c r="T756">
        <v>8700</v>
      </c>
    </row>
    <row r="757" spans="1:20" hidden="1" x14ac:dyDescent="0.25">
      <c r="A757" s="66">
        <v>44469</v>
      </c>
      <c r="B757" t="s">
        <v>84</v>
      </c>
      <c r="C757" s="65" t="s">
        <v>88</v>
      </c>
      <c r="D757" s="67" t="s">
        <v>77</v>
      </c>
      <c r="E757" s="65">
        <v>125</v>
      </c>
      <c r="F757">
        <v>102</v>
      </c>
      <c r="G757">
        <v>0</v>
      </c>
      <c r="H757">
        <v>0</v>
      </c>
      <c r="I757">
        <v>0</v>
      </c>
      <c r="J757">
        <v>0</v>
      </c>
      <c r="K757" s="64">
        <f>IF(Tableau1[[#This Row],[Quantité (H)]]=0,0,Tableau1[[#This Row],[Gasoil (L)]]/Tableau1[[#This Row],[Quantité (H)]])</f>
        <v>0.81599999999999995</v>
      </c>
      <c r="M757" s="23">
        <v>3921.82</v>
      </c>
      <c r="N757" s="23">
        <v>5256</v>
      </c>
      <c r="O757" s="64">
        <f>Tableau1[[#This Row],[Productivité]]-Tableau1[[#This Row],[ les Charges]]</f>
        <v>1334.1799999999998</v>
      </c>
      <c r="Q757" s="22" t="str">
        <f>IF(Tableau1[[#This Row],[Code]]=R757,"ok")</f>
        <v>ok</v>
      </c>
      <c r="R757" s="23" t="s">
        <v>77</v>
      </c>
      <c r="S757" s="23">
        <v>3921.82</v>
      </c>
      <c r="T757">
        <v>5256</v>
      </c>
    </row>
    <row r="758" spans="1:20" hidden="1" x14ac:dyDescent="0.25">
      <c r="A758" s="66">
        <v>44469</v>
      </c>
      <c r="B758" t="s">
        <v>116</v>
      </c>
      <c r="C758" s="65" t="s">
        <v>88</v>
      </c>
      <c r="D758" s="67" t="s">
        <v>78</v>
      </c>
      <c r="E758">
        <v>312</v>
      </c>
      <c r="F758">
        <v>384</v>
      </c>
      <c r="G758">
        <v>0</v>
      </c>
      <c r="H758">
        <v>0</v>
      </c>
      <c r="I758">
        <v>0</v>
      </c>
      <c r="J758">
        <v>0</v>
      </c>
      <c r="K758" s="64">
        <f>IF(Tableau1[[#This Row],[Quantité (H)]]=0,0,Tableau1[[#This Row],[Gasoil (L)]]/Tableau1[[#This Row],[Quantité (H)]])</f>
        <v>1.2307692307692308</v>
      </c>
      <c r="L758" s="23">
        <v>5.4314197318666206</v>
      </c>
      <c r="M758" s="23">
        <v>7776.86</v>
      </c>
      <c r="N758" s="23">
        <v>11496</v>
      </c>
      <c r="O758" s="64">
        <f>Tableau1[[#This Row],[Productivité]]-Tableau1[[#This Row],[ les Charges]]</f>
        <v>3719.1400000000003</v>
      </c>
      <c r="Q758" s="22" t="str">
        <f>IF(Tableau1[[#This Row],[Code]]=R758,"ok")</f>
        <v>ok</v>
      </c>
      <c r="R758" s="23" t="s">
        <v>78</v>
      </c>
      <c r="S758" s="23">
        <v>7776.86</v>
      </c>
      <c r="T758">
        <v>11496</v>
      </c>
    </row>
    <row r="759" spans="1:20" hidden="1" x14ac:dyDescent="0.25">
      <c r="A759" s="66">
        <v>44469</v>
      </c>
      <c r="B759" t="s">
        <v>84</v>
      </c>
      <c r="C759" s="65" t="s">
        <v>88</v>
      </c>
      <c r="D759" s="67" t="s">
        <v>132</v>
      </c>
      <c r="E759">
        <v>0</v>
      </c>
      <c r="F759">
        <v>16</v>
      </c>
      <c r="G759">
        <v>0</v>
      </c>
      <c r="H759">
        <v>0</v>
      </c>
      <c r="I759">
        <v>0</v>
      </c>
      <c r="J759">
        <v>0</v>
      </c>
      <c r="K759" s="64">
        <f>IF(Tableau1[[#This Row],[Quantité (H)]]=0,0,Tableau1[[#This Row],[Gasoil (L)]]/Tableau1[[#This Row],[Quantité (H)]])</f>
        <v>0</v>
      </c>
      <c r="M759" s="23">
        <v>160</v>
      </c>
      <c r="N759" s="23">
        <v>8700</v>
      </c>
      <c r="O759" s="64">
        <f>Tableau1[[#This Row],[Productivité]]-Tableau1[[#This Row],[ les Charges]]</f>
        <v>8540</v>
      </c>
      <c r="Q759" s="22" t="str">
        <f>IF(Tableau1[[#This Row],[Code]]=R759,"ok")</f>
        <v>ok</v>
      </c>
      <c r="R759" s="23" t="s">
        <v>132</v>
      </c>
      <c r="S759" s="23">
        <v>160</v>
      </c>
      <c r="T759">
        <v>8700</v>
      </c>
    </row>
    <row r="760" spans="1:20" hidden="1" x14ac:dyDescent="0.25">
      <c r="A760" s="66">
        <v>44469</v>
      </c>
      <c r="B760" t="s">
        <v>116</v>
      </c>
      <c r="C760" s="65" t="s">
        <v>88</v>
      </c>
      <c r="D760" s="67" t="s">
        <v>165</v>
      </c>
      <c r="E760">
        <v>0</v>
      </c>
      <c r="F760">
        <v>260</v>
      </c>
      <c r="G760">
        <v>0</v>
      </c>
      <c r="H760">
        <v>0</v>
      </c>
      <c r="I760">
        <v>0</v>
      </c>
      <c r="J760">
        <v>0</v>
      </c>
      <c r="K760" s="64">
        <f>IF(Tableau1[[#This Row],[Quantité (H)]]=0,0,Tableau1[[#This Row],[Gasoil (L)]]/Tableau1[[#This Row],[Quantité (H)]])</f>
        <v>0</v>
      </c>
      <c r="L760" s="23">
        <v>4.9530007230657986</v>
      </c>
      <c r="M760" s="23">
        <v>2580</v>
      </c>
      <c r="N760" s="23">
        <v>7800</v>
      </c>
      <c r="O760" s="64">
        <f>Tableau1[[#This Row],[Productivité]]-Tableau1[[#This Row],[ les Charges]]</f>
        <v>5220</v>
      </c>
      <c r="Q760" s="22" t="str">
        <f>IF(Tableau1[[#This Row],[Code]]=R760,"ok")</f>
        <v>ok</v>
      </c>
      <c r="R760" s="23" t="s">
        <v>165</v>
      </c>
      <c r="S760" s="23">
        <v>2580</v>
      </c>
      <c r="T760">
        <v>7800</v>
      </c>
    </row>
    <row r="761" spans="1:20" hidden="1" x14ac:dyDescent="0.25">
      <c r="A761" s="66">
        <v>44469</v>
      </c>
      <c r="C761" s="65" t="s">
        <v>88</v>
      </c>
      <c r="D761" s="67" t="s">
        <v>183</v>
      </c>
      <c r="K761" s="64">
        <f>IF(Tableau1[[#This Row],[Quantité (H)]]=0,0,Tableau1[[#This Row],[Gasoil (L)]]/Tableau1[[#This Row],[Quantité (H)]])</f>
        <v>0</v>
      </c>
      <c r="N761" s="23">
        <v>7800</v>
      </c>
      <c r="O761" s="64">
        <f>Tableau1[[#This Row],[Productivité]]-Tableau1[[#This Row],[ les Charges]]</f>
        <v>7800</v>
      </c>
      <c r="Q761" s="22" t="str">
        <f>IF(Tableau1[[#This Row],[Code]]=R761,"ok")</f>
        <v>ok</v>
      </c>
      <c r="R761" s="23" t="s">
        <v>183</v>
      </c>
      <c r="T761">
        <v>7800</v>
      </c>
    </row>
    <row r="762" spans="1:20" x14ac:dyDescent="0.25">
      <c r="A762" s="66">
        <v>44500</v>
      </c>
      <c r="B762" t="s">
        <v>196</v>
      </c>
      <c r="C762" t="s">
        <v>92</v>
      </c>
      <c r="D762" t="s">
        <v>31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 s="64">
        <f>IF(Tableau1[[#This Row],[Quantité (H)]]=0,0,Tableau1[[#This Row],[Gasoil (L)]]/Tableau1[[#This Row],[Quantité (H)]])</f>
        <v>0</v>
      </c>
      <c r="M762" s="23">
        <v>800</v>
      </c>
      <c r="N762" s="23">
        <v>11440</v>
      </c>
      <c r="O762" s="64">
        <f>Tableau1[[#This Row],[Productivité]]-Tableau1[[#This Row],[ les Charges]]</f>
        <v>10640</v>
      </c>
      <c r="R762" s="23">
        <v>800</v>
      </c>
    </row>
    <row r="763" spans="1:20" x14ac:dyDescent="0.25">
      <c r="A763" s="66">
        <v>44500</v>
      </c>
      <c r="B763" t="s">
        <v>196</v>
      </c>
      <c r="C763" t="s">
        <v>40</v>
      </c>
      <c r="D763" t="s">
        <v>16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 s="64">
        <f>IF(Tableau1[[#This Row],[Quantité (H)]]=0,0,Tableau1[[#This Row],[Gasoil (L)]]/Tableau1[[#This Row],[Quantité (H)]])</f>
        <v>0</v>
      </c>
      <c r="O763" s="64">
        <f>Tableau1[[#This Row],[Productivité]]-Tableau1[[#This Row],[ les Charges]]</f>
        <v>0</v>
      </c>
    </row>
    <row r="764" spans="1:20" x14ac:dyDescent="0.25">
      <c r="A764" s="66">
        <v>44500</v>
      </c>
      <c r="B764" t="s">
        <v>160</v>
      </c>
      <c r="C764" t="s">
        <v>40</v>
      </c>
      <c r="D764" t="s">
        <v>17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 s="64">
        <f>IF(Tableau1[[#This Row],[Quantité (H)]]=0,0,Tableau1[[#This Row],[Gasoil (L)]]/Tableau1[[#This Row],[Quantité (H)]])</f>
        <v>0</v>
      </c>
      <c r="M764" s="23">
        <v>49.48</v>
      </c>
      <c r="N764" s="23">
        <v>0</v>
      </c>
      <c r="O764" s="64">
        <f>Tableau1[[#This Row],[Productivité]]-Tableau1[[#This Row],[ les Charges]]</f>
        <v>-49.48</v>
      </c>
      <c r="R764" s="23">
        <v>49.48</v>
      </c>
    </row>
    <row r="765" spans="1:20" x14ac:dyDescent="0.25">
      <c r="A765" s="66">
        <v>44500</v>
      </c>
      <c r="B765" t="s">
        <v>116</v>
      </c>
      <c r="C765" t="s">
        <v>40</v>
      </c>
      <c r="D765" t="s">
        <v>18</v>
      </c>
      <c r="E765">
        <v>52</v>
      </c>
      <c r="F765">
        <v>125</v>
      </c>
      <c r="G765">
        <v>5</v>
      </c>
      <c r="H765">
        <v>0</v>
      </c>
      <c r="I765">
        <v>0</v>
      </c>
      <c r="J765">
        <v>2</v>
      </c>
      <c r="K765" s="64">
        <f>IF(Tableau1[[#This Row],[Quantité (H)]]=0,0,Tableau1[[#This Row],[Gasoil (L)]]/Tableau1[[#This Row],[Quantité (H)]])</f>
        <v>2.4038461538461537</v>
      </c>
      <c r="M765" s="23">
        <v>1450</v>
      </c>
      <c r="N765" s="23">
        <v>7500</v>
      </c>
      <c r="O765" s="64">
        <f>Tableau1[[#This Row],[Productivité]]-Tableau1[[#This Row],[ les Charges]]</f>
        <v>6050</v>
      </c>
      <c r="R765" s="23">
        <v>1450</v>
      </c>
    </row>
    <row r="766" spans="1:20" x14ac:dyDescent="0.25">
      <c r="A766" s="66">
        <v>44500</v>
      </c>
      <c r="B766" t="s">
        <v>116</v>
      </c>
      <c r="C766" t="s">
        <v>40</v>
      </c>
      <c r="D766" t="s">
        <v>19</v>
      </c>
      <c r="E766">
        <v>63</v>
      </c>
      <c r="F766">
        <v>850</v>
      </c>
      <c r="G766">
        <v>25</v>
      </c>
      <c r="H766">
        <v>0</v>
      </c>
      <c r="I766">
        <v>5</v>
      </c>
      <c r="J766">
        <v>14</v>
      </c>
      <c r="K766" s="64">
        <f>IF(Tableau1[[#This Row],[Quantité (H)]]=0,0,Tableau1[[#This Row],[Gasoil (L)]]/Tableau1[[#This Row],[Quantité (H)]])</f>
        <v>13.492063492063492</v>
      </c>
      <c r="M766" s="23">
        <v>18628.599999999999</v>
      </c>
      <c r="N766" s="23">
        <v>12200</v>
      </c>
      <c r="O766" s="64">
        <f>Tableau1[[#This Row],[Productivité]]-Tableau1[[#This Row],[ les Charges]]</f>
        <v>-6428.5999999999985</v>
      </c>
      <c r="R766" s="23">
        <v>18628.599999999999</v>
      </c>
    </row>
    <row r="767" spans="1:20" x14ac:dyDescent="0.25">
      <c r="A767" s="66">
        <v>44500</v>
      </c>
      <c r="B767" t="s">
        <v>84</v>
      </c>
      <c r="C767" t="s">
        <v>40</v>
      </c>
      <c r="D767" t="s">
        <v>150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 s="64">
        <f>IF(Tableau1[[#This Row],[Quantité (H)]]=0,0,Tableau1[[#This Row],[Gasoil (L)]]/Tableau1[[#This Row],[Quantité (H)]])</f>
        <v>0</v>
      </c>
      <c r="M767" s="23">
        <v>400</v>
      </c>
      <c r="N767" s="23">
        <v>0</v>
      </c>
      <c r="O767" s="64">
        <f>Tableau1[[#This Row],[Productivité]]-Tableau1[[#This Row],[ les Charges]]</f>
        <v>-400</v>
      </c>
      <c r="R767" s="23">
        <v>400</v>
      </c>
    </row>
    <row r="768" spans="1:20" x14ac:dyDescent="0.25">
      <c r="A768" s="66">
        <v>44500</v>
      </c>
      <c r="B768" t="s">
        <v>116</v>
      </c>
      <c r="C768" t="s">
        <v>40</v>
      </c>
      <c r="D768" t="s">
        <v>156</v>
      </c>
      <c r="E768">
        <v>132</v>
      </c>
      <c r="F768">
        <v>1929</v>
      </c>
      <c r="G768">
        <v>0</v>
      </c>
      <c r="H768">
        <v>0</v>
      </c>
      <c r="I768">
        <v>0</v>
      </c>
      <c r="J768">
        <v>0</v>
      </c>
      <c r="K768" s="64">
        <f>IF(Tableau1[[#This Row],[Quantité (H)]]=0,0,Tableau1[[#This Row],[Gasoil (L)]]/Tableau1[[#This Row],[Quantité (H)]])</f>
        <v>14.613636363636363</v>
      </c>
      <c r="M768" s="23">
        <v>19290</v>
      </c>
      <c r="N768" s="23">
        <v>26400</v>
      </c>
      <c r="O768" s="64">
        <f>Tableau1[[#This Row],[Productivité]]-Tableau1[[#This Row],[ les Charges]]</f>
        <v>7110</v>
      </c>
      <c r="R768" s="23">
        <v>19290</v>
      </c>
    </row>
    <row r="769" spans="1:18" x14ac:dyDescent="0.25">
      <c r="A769" s="66">
        <v>44500</v>
      </c>
      <c r="B769" t="s">
        <v>84</v>
      </c>
      <c r="C769" t="s">
        <v>85</v>
      </c>
      <c r="D769" t="s">
        <v>44</v>
      </c>
      <c r="E769">
        <v>215</v>
      </c>
      <c r="F769">
        <v>846</v>
      </c>
      <c r="G769">
        <v>45</v>
      </c>
      <c r="H769">
        <v>0</v>
      </c>
      <c r="I769">
        <v>0</v>
      </c>
      <c r="J769">
        <v>0</v>
      </c>
      <c r="K769" s="64">
        <f>IF(Tableau1[[#This Row],[Quantité (H)]]=0,0,Tableau1[[#This Row],[Gasoil (L)]]/Tableau1[[#This Row],[Quantité (H)]])</f>
        <v>3.9348837209302325</v>
      </c>
      <c r="L769" s="23">
        <v>157.24907063197026</v>
      </c>
      <c r="M769" s="23">
        <v>34752.03</v>
      </c>
      <c r="N769" s="23">
        <v>60200</v>
      </c>
      <c r="O769" s="64">
        <f>Tableau1[[#This Row],[Productivité]]-Tableau1[[#This Row],[ les Charges]]</f>
        <v>25447.97</v>
      </c>
      <c r="R769" s="23">
        <v>34752.03</v>
      </c>
    </row>
    <row r="770" spans="1:18" x14ac:dyDescent="0.25">
      <c r="A770" s="66">
        <v>44500</v>
      </c>
      <c r="B770" t="s">
        <v>84</v>
      </c>
      <c r="C770" t="s">
        <v>85</v>
      </c>
      <c r="D770" t="s">
        <v>45</v>
      </c>
      <c r="E770">
        <v>203.5</v>
      </c>
      <c r="F770">
        <v>826</v>
      </c>
      <c r="G770">
        <v>0</v>
      </c>
      <c r="H770">
        <v>0</v>
      </c>
      <c r="I770">
        <v>0</v>
      </c>
      <c r="J770">
        <v>0</v>
      </c>
      <c r="K770" s="64">
        <f>IF(Tableau1[[#This Row],[Quantité (H)]]=0,0,Tableau1[[#This Row],[Gasoil (L)]]/Tableau1[[#This Row],[Quantité (H)]])</f>
        <v>4.058968058968059</v>
      </c>
      <c r="L770" s="23">
        <v>91.982182628062361</v>
      </c>
      <c r="M770" s="23">
        <v>29932.76</v>
      </c>
      <c r="N770" s="23">
        <v>56980</v>
      </c>
      <c r="O770" s="64">
        <f>Tableau1[[#This Row],[Productivité]]-Tableau1[[#This Row],[ les Charges]]</f>
        <v>27047.24</v>
      </c>
      <c r="R770" s="23">
        <v>29932.76</v>
      </c>
    </row>
    <row r="771" spans="1:18" x14ac:dyDescent="0.25">
      <c r="A771" s="66">
        <v>44500</v>
      </c>
      <c r="B771" t="s">
        <v>84</v>
      </c>
      <c r="C771" t="s">
        <v>85</v>
      </c>
      <c r="D771" t="s">
        <v>46</v>
      </c>
      <c r="E771">
        <v>222.5</v>
      </c>
      <c r="F771">
        <v>1306</v>
      </c>
      <c r="G771">
        <v>5</v>
      </c>
      <c r="H771">
        <v>0</v>
      </c>
      <c r="I771">
        <v>5</v>
      </c>
      <c r="J771">
        <v>0</v>
      </c>
      <c r="K771" s="64">
        <f>IF(Tableau1[[#This Row],[Quantité (H)]]=0,0,Tableau1[[#This Row],[Gasoil (L)]]/Tableau1[[#This Row],[Quantité (H)]])</f>
        <v>5.8696629213483149</v>
      </c>
      <c r="L771" s="23">
        <v>182.65734265734267</v>
      </c>
      <c r="M771" s="23">
        <v>13435</v>
      </c>
      <c r="N771" s="23">
        <v>62300</v>
      </c>
      <c r="O771" s="64">
        <f>Tableau1[[#This Row],[Productivité]]-Tableau1[[#This Row],[ les Charges]]</f>
        <v>48865</v>
      </c>
      <c r="R771" s="23">
        <v>13435</v>
      </c>
    </row>
    <row r="772" spans="1:18" x14ac:dyDescent="0.25">
      <c r="A772" s="66">
        <v>44500</v>
      </c>
      <c r="B772" t="s">
        <v>84</v>
      </c>
      <c r="C772" t="s">
        <v>85</v>
      </c>
      <c r="D772" t="s">
        <v>47</v>
      </c>
      <c r="E772">
        <v>214.5</v>
      </c>
      <c r="F772">
        <v>2688.15</v>
      </c>
      <c r="G772">
        <v>0</v>
      </c>
      <c r="H772">
        <v>0</v>
      </c>
      <c r="I772">
        <v>5</v>
      </c>
      <c r="J772">
        <v>0</v>
      </c>
      <c r="K772" s="64">
        <f>IF(Tableau1[[#This Row],[Quantité (H)]]=0,0,Tableau1[[#This Row],[Gasoil (L)]]/Tableau1[[#This Row],[Quantité (H)]])</f>
        <v>12.532167832167833</v>
      </c>
      <c r="L772" s="23">
        <v>130.42940320232896</v>
      </c>
      <c r="M772" s="23">
        <v>27057</v>
      </c>
      <c r="N772" s="23">
        <v>60060</v>
      </c>
      <c r="O772" s="64">
        <f>Tableau1[[#This Row],[Productivité]]-Tableau1[[#This Row],[ les Charges]]</f>
        <v>33003</v>
      </c>
      <c r="R772" s="23">
        <v>27057</v>
      </c>
    </row>
    <row r="773" spans="1:18" x14ac:dyDescent="0.25">
      <c r="A773" s="66">
        <v>44500</v>
      </c>
      <c r="B773" t="s">
        <v>116</v>
      </c>
      <c r="C773" t="s">
        <v>85</v>
      </c>
      <c r="D773" t="s">
        <v>48</v>
      </c>
      <c r="E773">
        <v>175</v>
      </c>
      <c r="F773">
        <v>919</v>
      </c>
      <c r="G773">
        <v>0</v>
      </c>
      <c r="H773">
        <v>0</v>
      </c>
      <c r="I773">
        <v>0</v>
      </c>
      <c r="J773">
        <v>0</v>
      </c>
      <c r="K773" s="64">
        <f>IF(Tableau1[[#This Row],[Quantité (H)]]=0,0,Tableau1[[#This Row],[Gasoil (L)]]/Tableau1[[#This Row],[Quantité (H)]])</f>
        <v>5.2514285714285718</v>
      </c>
      <c r="L773" s="23">
        <v>36.730615507593924</v>
      </c>
      <c r="M773" s="23">
        <v>20869.11</v>
      </c>
      <c r="N773" s="23">
        <v>25350</v>
      </c>
      <c r="O773" s="64">
        <f>Tableau1[[#This Row],[Productivité]]-Tableau1[[#This Row],[ les Charges]]</f>
        <v>4480.8899999999994</v>
      </c>
      <c r="R773" s="23">
        <v>20869.11</v>
      </c>
    </row>
    <row r="774" spans="1:18" x14ac:dyDescent="0.25">
      <c r="A774" s="66">
        <v>44500</v>
      </c>
      <c r="B774" t="s">
        <v>116</v>
      </c>
      <c r="C774" t="s">
        <v>85</v>
      </c>
      <c r="D774" t="s">
        <v>49</v>
      </c>
      <c r="E774">
        <v>86</v>
      </c>
      <c r="F774">
        <v>765</v>
      </c>
      <c r="G774">
        <v>0</v>
      </c>
      <c r="H774">
        <v>0</v>
      </c>
      <c r="I774">
        <v>25</v>
      </c>
      <c r="J774">
        <v>5</v>
      </c>
      <c r="K774" s="64">
        <f>IF(Tableau1[[#This Row],[Quantité (H)]]=0,0,Tableau1[[#This Row],[Gasoil (L)]]/Tableau1[[#This Row],[Quantité (H)]])</f>
        <v>8.895348837209303</v>
      </c>
      <c r="L774" s="23">
        <v>45.589988081048865</v>
      </c>
      <c r="M774" s="23">
        <v>18492.169999999998</v>
      </c>
      <c r="N774" s="23">
        <v>5700</v>
      </c>
      <c r="O774" s="64">
        <f>Tableau1[[#This Row],[Productivité]]-Tableau1[[#This Row],[ les Charges]]</f>
        <v>-12792.169999999998</v>
      </c>
      <c r="R774" s="23">
        <v>18492.169999999998</v>
      </c>
    </row>
    <row r="775" spans="1:18" x14ac:dyDescent="0.25">
      <c r="A775" s="66">
        <v>44500</v>
      </c>
      <c r="B775" t="s">
        <v>84</v>
      </c>
      <c r="C775" t="s">
        <v>85</v>
      </c>
      <c r="D775" t="s">
        <v>50</v>
      </c>
      <c r="E775">
        <v>72</v>
      </c>
      <c r="F775">
        <v>617</v>
      </c>
      <c r="G775">
        <v>20</v>
      </c>
      <c r="H775">
        <v>0</v>
      </c>
      <c r="I775">
        <v>0</v>
      </c>
      <c r="J775">
        <v>0</v>
      </c>
      <c r="K775" s="64">
        <f>IF(Tableau1[[#This Row],[Quantité (H)]]=0,0,Tableau1[[#This Row],[Gasoil (L)]]/Tableau1[[#This Row],[Quantité (H)]])</f>
        <v>8.5694444444444446</v>
      </c>
      <c r="L775" s="23">
        <v>46.460843373493979</v>
      </c>
      <c r="M775" s="23">
        <v>16937.169999999998</v>
      </c>
      <c r="N775" s="23">
        <v>9450</v>
      </c>
      <c r="O775" s="64">
        <f>Tableau1[[#This Row],[Productivité]]-Tableau1[[#This Row],[ les Charges]]</f>
        <v>-7487.1699999999983</v>
      </c>
      <c r="R775" s="23">
        <v>16937.169999999998</v>
      </c>
    </row>
    <row r="776" spans="1:18" x14ac:dyDescent="0.25">
      <c r="A776" s="66">
        <v>44500</v>
      </c>
      <c r="B776" t="s">
        <v>116</v>
      </c>
      <c r="C776" t="s">
        <v>85</v>
      </c>
      <c r="D776" t="s">
        <v>54</v>
      </c>
      <c r="E776">
        <v>97</v>
      </c>
      <c r="F776">
        <v>1102</v>
      </c>
      <c r="G776">
        <v>0</v>
      </c>
      <c r="H776">
        <v>0</v>
      </c>
      <c r="I776">
        <v>0</v>
      </c>
      <c r="J776">
        <v>3</v>
      </c>
      <c r="K776" s="64">
        <f>IF(Tableau1[[#This Row],[Quantité (H)]]=0,0,Tableau1[[#This Row],[Gasoil (L)]]/Tableau1[[#This Row],[Quantité (H)]])</f>
        <v>11.360824742268042</v>
      </c>
      <c r="L776" s="23">
        <v>208.71212121212119</v>
      </c>
      <c r="M776" s="23">
        <v>11020</v>
      </c>
      <c r="N776" s="23">
        <v>27160</v>
      </c>
      <c r="O776" s="64">
        <f>Tableau1[[#This Row],[Productivité]]-Tableau1[[#This Row],[ les Charges]]</f>
        <v>16140</v>
      </c>
      <c r="R776" s="23">
        <v>11020</v>
      </c>
    </row>
    <row r="777" spans="1:18" x14ac:dyDescent="0.25">
      <c r="A777" s="66">
        <v>44500</v>
      </c>
      <c r="B777" t="s">
        <v>84</v>
      </c>
      <c r="C777" t="s">
        <v>85</v>
      </c>
      <c r="D777" t="s">
        <v>56</v>
      </c>
      <c r="E777">
        <v>194.5</v>
      </c>
      <c r="F777">
        <v>3027</v>
      </c>
      <c r="G777">
        <v>0</v>
      </c>
      <c r="H777">
        <v>0</v>
      </c>
      <c r="I777">
        <v>0</v>
      </c>
      <c r="J777">
        <v>0</v>
      </c>
      <c r="K777" s="64">
        <f>IF(Tableau1[[#This Row],[Quantité (H)]]=0,0,Tableau1[[#This Row],[Gasoil (L)]]/Tableau1[[#This Row],[Quantité (H)]])</f>
        <v>15.562982005141388</v>
      </c>
      <c r="L777" s="23">
        <v>235.56420233463035</v>
      </c>
      <c r="M777" s="23">
        <v>37301.54</v>
      </c>
      <c r="N777" s="23">
        <v>58350</v>
      </c>
      <c r="O777" s="64">
        <f>Tableau1[[#This Row],[Productivité]]-Tableau1[[#This Row],[ les Charges]]</f>
        <v>21048.46</v>
      </c>
      <c r="R777" s="23">
        <v>37301.54</v>
      </c>
    </row>
    <row r="778" spans="1:18" x14ac:dyDescent="0.25">
      <c r="A778" s="66">
        <v>44500</v>
      </c>
      <c r="B778" t="s">
        <v>116</v>
      </c>
      <c r="C778" t="s">
        <v>85</v>
      </c>
      <c r="D778" t="s">
        <v>57</v>
      </c>
      <c r="E778">
        <v>160</v>
      </c>
      <c r="F778">
        <v>4688</v>
      </c>
      <c r="G778">
        <v>0</v>
      </c>
      <c r="H778">
        <v>0</v>
      </c>
      <c r="I778">
        <v>0</v>
      </c>
      <c r="J778">
        <v>1</v>
      </c>
      <c r="K778" s="64">
        <f>IF(Tableau1[[#This Row],[Quantité (H)]]=0,0,Tableau1[[#This Row],[Gasoil (L)]]/Tableau1[[#This Row],[Quantité (H)]])</f>
        <v>29.3</v>
      </c>
      <c r="L778" s="23">
        <v>53.891251868030807</v>
      </c>
      <c r="M778" s="23">
        <v>97377.63</v>
      </c>
      <c r="N778" s="23">
        <v>107600</v>
      </c>
      <c r="O778" s="64">
        <f>Tableau1[[#This Row],[Productivité]]-Tableau1[[#This Row],[ les Charges]]</f>
        <v>10222.369999999995</v>
      </c>
      <c r="R778" s="23">
        <v>97377.63</v>
      </c>
    </row>
    <row r="779" spans="1:18" x14ac:dyDescent="0.25">
      <c r="A779" s="66">
        <v>44500</v>
      </c>
      <c r="B779" t="s">
        <v>84</v>
      </c>
      <c r="C779" t="s">
        <v>85</v>
      </c>
      <c r="D779" t="s">
        <v>55</v>
      </c>
      <c r="E779">
        <v>199</v>
      </c>
      <c r="F779">
        <v>758.1</v>
      </c>
      <c r="G779">
        <v>3</v>
      </c>
      <c r="H779">
        <v>0</v>
      </c>
      <c r="I779">
        <v>20</v>
      </c>
      <c r="J779">
        <v>0</v>
      </c>
      <c r="K779" s="64">
        <f>IF(Tableau1[[#This Row],[Quantité (H)]]=0,0,Tableau1[[#This Row],[Gasoil (L)]]/Tableau1[[#This Row],[Quantité (H)]])</f>
        <v>3.8095477386934675</v>
      </c>
      <c r="L779" s="23">
        <v>128.92857142857144</v>
      </c>
      <c r="M779" s="23">
        <v>17227.39</v>
      </c>
      <c r="N779" s="23">
        <v>55720</v>
      </c>
      <c r="O779" s="64">
        <f>Tableau1[[#This Row],[Productivité]]-Tableau1[[#This Row],[ les Charges]]</f>
        <v>38492.61</v>
      </c>
      <c r="R779" s="23">
        <v>17227.39</v>
      </c>
    </row>
    <row r="780" spans="1:18" x14ac:dyDescent="0.25">
      <c r="A780" s="66">
        <v>44500</v>
      </c>
      <c r="B780" t="s">
        <v>116</v>
      </c>
      <c r="C780" t="s">
        <v>85</v>
      </c>
      <c r="D780" t="s">
        <v>134</v>
      </c>
      <c r="E780">
        <v>64</v>
      </c>
      <c r="F780">
        <v>356</v>
      </c>
      <c r="G780">
        <v>0</v>
      </c>
      <c r="H780">
        <v>0</v>
      </c>
      <c r="I780">
        <v>0</v>
      </c>
      <c r="J780">
        <v>5</v>
      </c>
      <c r="K780" s="64">
        <f>IF(Tableau1[[#This Row],[Quantité (H)]]=0,0,Tableau1[[#This Row],[Gasoil (L)]]/Tableau1[[#This Row],[Quantité (H)]])</f>
        <v>5.5625</v>
      </c>
      <c r="L780" s="23">
        <v>76.231263383297645</v>
      </c>
      <c r="M780" s="23">
        <v>4130</v>
      </c>
      <c r="N780" s="23">
        <v>9600</v>
      </c>
      <c r="O780" s="64">
        <f>Tableau1[[#This Row],[Productivité]]-Tableau1[[#This Row],[ les Charges]]</f>
        <v>5470</v>
      </c>
      <c r="R780" s="23">
        <v>4130</v>
      </c>
    </row>
    <row r="781" spans="1:18" x14ac:dyDescent="0.25">
      <c r="A781" s="66">
        <v>44500</v>
      </c>
      <c r="B781" t="s">
        <v>84</v>
      </c>
      <c r="C781" t="s">
        <v>85</v>
      </c>
      <c r="D781" t="s">
        <v>149</v>
      </c>
      <c r="E781">
        <v>148</v>
      </c>
      <c r="F781">
        <v>231</v>
      </c>
      <c r="G781">
        <v>0</v>
      </c>
      <c r="H781">
        <v>0</v>
      </c>
      <c r="I781">
        <v>0</v>
      </c>
      <c r="J781">
        <v>0</v>
      </c>
      <c r="K781" s="64">
        <f>IF(Tableau1[[#This Row],[Quantité (H)]]=0,0,Tableau1[[#This Row],[Gasoil (L)]]/Tableau1[[#This Row],[Quantité (H)]])</f>
        <v>1.5608108108108107</v>
      </c>
      <c r="M781" s="23">
        <v>2310</v>
      </c>
      <c r="N781" s="23">
        <v>22200</v>
      </c>
      <c r="O781" s="64">
        <f>Tableau1[[#This Row],[Productivité]]-Tableau1[[#This Row],[ les Charges]]</f>
        <v>19890</v>
      </c>
      <c r="R781" s="23">
        <v>2310</v>
      </c>
    </row>
    <row r="782" spans="1:18" x14ac:dyDescent="0.25">
      <c r="A782" s="66">
        <v>44500</v>
      </c>
      <c r="B782" t="s">
        <v>84</v>
      </c>
      <c r="C782" t="s">
        <v>85</v>
      </c>
      <c r="D782" t="s">
        <v>148</v>
      </c>
      <c r="E782">
        <v>114</v>
      </c>
      <c r="F782">
        <v>396</v>
      </c>
      <c r="G782">
        <v>0</v>
      </c>
      <c r="H782">
        <v>0</v>
      </c>
      <c r="I782">
        <v>0</v>
      </c>
      <c r="J782">
        <v>0</v>
      </c>
      <c r="K782" s="64">
        <f>IF(Tableau1[[#This Row],[Quantité (H)]]=0,0,Tableau1[[#This Row],[Gasoil (L)]]/Tableau1[[#This Row],[Quantité (H)]])</f>
        <v>3.4736842105263159</v>
      </c>
      <c r="L782" s="23">
        <v>20.722135007849293</v>
      </c>
      <c r="M782" s="23">
        <v>3960</v>
      </c>
      <c r="N782" s="23">
        <v>7070</v>
      </c>
      <c r="O782" s="64">
        <f>Tableau1[[#This Row],[Productivité]]-Tableau1[[#This Row],[ les Charges]]</f>
        <v>3110</v>
      </c>
      <c r="R782" s="23">
        <v>3960</v>
      </c>
    </row>
    <row r="783" spans="1:18" x14ac:dyDescent="0.25">
      <c r="A783" s="66">
        <v>44500</v>
      </c>
      <c r="B783" t="s">
        <v>160</v>
      </c>
      <c r="C783" t="s">
        <v>85</v>
      </c>
      <c r="D783" t="s">
        <v>151</v>
      </c>
      <c r="E783">
        <v>250</v>
      </c>
      <c r="F783">
        <v>3430</v>
      </c>
      <c r="G783">
        <v>0</v>
      </c>
      <c r="H783">
        <v>0</v>
      </c>
      <c r="I783">
        <v>0</v>
      </c>
      <c r="J783">
        <v>0</v>
      </c>
      <c r="K783" s="64">
        <f>IF(Tableau1[[#This Row],[Quantité (H)]]=0,0,Tableau1[[#This Row],[Gasoil (L)]]/Tableau1[[#This Row],[Quantité (H)]])</f>
        <v>13.72</v>
      </c>
      <c r="L783" s="23">
        <v>65.563116446211481</v>
      </c>
      <c r="M783" s="23">
        <v>74640.639999999999</v>
      </c>
      <c r="N783" s="23">
        <v>59850</v>
      </c>
      <c r="O783" s="64">
        <f>Tableau1[[#This Row],[Productivité]]-Tableau1[[#This Row],[ les Charges]]</f>
        <v>-14790.64</v>
      </c>
      <c r="R783" s="23">
        <v>74640.639999999999</v>
      </c>
    </row>
    <row r="784" spans="1:18" x14ac:dyDescent="0.25">
      <c r="A784" s="66">
        <v>44500</v>
      </c>
      <c r="B784" t="s">
        <v>160</v>
      </c>
      <c r="C784" t="s">
        <v>85</v>
      </c>
      <c r="D784" t="s">
        <v>52</v>
      </c>
      <c r="E784">
        <v>0</v>
      </c>
      <c r="F784">
        <v>468</v>
      </c>
      <c r="G784">
        <v>0</v>
      </c>
      <c r="H784">
        <v>0</v>
      </c>
      <c r="I784">
        <v>0</v>
      </c>
      <c r="J784">
        <v>0</v>
      </c>
      <c r="K784" s="64">
        <f>IF(Tableau1[[#This Row],[Quantité (H)]]=0,0,Tableau1[[#This Row],[Gasoil (L)]]/Tableau1[[#This Row],[Quantité (H)]])</f>
        <v>0</v>
      </c>
      <c r="L784" s="23">
        <v>176.60377358490567</v>
      </c>
      <c r="M784" s="23">
        <v>4680</v>
      </c>
      <c r="N784" s="23">
        <v>8625</v>
      </c>
      <c r="O784" s="64">
        <f>Tableau1[[#This Row],[Productivité]]-Tableau1[[#This Row],[ les Charges]]</f>
        <v>3945</v>
      </c>
      <c r="R784" s="23">
        <v>4680</v>
      </c>
    </row>
    <row r="785" spans="1:18" x14ac:dyDescent="0.25">
      <c r="A785" s="66">
        <v>44500</v>
      </c>
      <c r="D785" t="s">
        <v>53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 s="64">
        <f>IF(Tableau1[[#This Row],[Quantité (H)]]=0,0,Tableau1[[#This Row],[Gasoil (L)]]/Tableau1[[#This Row],[Quantité (H)]])</f>
        <v>0</v>
      </c>
      <c r="N785" s="23">
        <v>51625</v>
      </c>
      <c r="O785" s="64">
        <f>Tableau1[[#This Row],[Productivité]]-Tableau1[[#This Row],[ les Charges]]</f>
        <v>51625</v>
      </c>
    </row>
    <row r="786" spans="1:18" x14ac:dyDescent="0.25">
      <c r="A786" s="66">
        <v>44500</v>
      </c>
      <c r="B786" t="s">
        <v>158</v>
      </c>
      <c r="C786" t="s">
        <v>42</v>
      </c>
      <c r="D786" t="s">
        <v>28</v>
      </c>
      <c r="E786">
        <v>204</v>
      </c>
      <c r="F786">
        <v>2655</v>
      </c>
      <c r="G786">
        <v>5</v>
      </c>
      <c r="H786">
        <v>0</v>
      </c>
      <c r="I786">
        <v>5</v>
      </c>
      <c r="J786">
        <v>4</v>
      </c>
      <c r="K786" s="64">
        <f>IF(Tableau1[[#This Row],[Quantité (H)]]=0,0,Tableau1[[#This Row],[Gasoil (L)]]/Tableau1[[#This Row],[Quantité (H)]])</f>
        <v>13.014705882352942</v>
      </c>
      <c r="M786" s="23">
        <v>27065</v>
      </c>
      <c r="N786" s="23">
        <v>73440</v>
      </c>
      <c r="O786" s="64">
        <f>Tableau1[[#This Row],[Productivité]]-Tableau1[[#This Row],[ les Charges]]</f>
        <v>46375</v>
      </c>
      <c r="R786" s="23">
        <v>27065</v>
      </c>
    </row>
    <row r="787" spans="1:18" x14ac:dyDescent="0.25">
      <c r="A787" s="66">
        <v>44500</v>
      </c>
      <c r="B787" t="s">
        <v>84</v>
      </c>
      <c r="C787" t="s">
        <v>42</v>
      </c>
      <c r="D787" t="s">
        <v>29</v>
      </c>
      <c r="E787">
        <v>141</v>
      </c>
      <c r="F787">
        <v>1565.1100000000001</v>
      </c>
      <c r="G787">
        <v>0</v>
      </c>
      <c r="H787">
        <v>0</v>
      </c>
      <c r="I787">
        <v>0</v>
      </c>
      <c r="J787">
        <v>0</v>
      </c>
      <c r="K787" s="64">
        <f>IF(Tableau1[[#This Row],[Quantité (H)]]=0,0,Tableau1[[#This Row],[Gasoil (L)]]/Tableau1[[#This Row],[Quantité (H)]])</f>
        <v>11.100070921985816</v>
      </c>
      <c r="M787" s="23">
        <v>25434.28</v>
      </c>
      <c r="N787" s="23">
        <v>53580</v>
      </c>
      <c r="O787" s="64">
        <f>Tableau1[[#This Row],[Productivité]]-Tableau1[[#This Row],[ les Charges]]</f>
        <v>28145.72</v>
      </c>
      <c r="R787" s="23">
        <v>25434.28</v>
      </c>
    </row>
    <row r="788" spans="1:18" x14ac:dyDescent="0.25">
      <c r="A788" s="66">
        <v>44500</v>
      </c>
      <c r="B788" t="s">
        <v>84</v>
      </c>
      <c r="C788" t="s">
        <v>42</v>
      </c>
      <c r="D788" t="s">
        <v>94</v>
      </c>
      <c r="E788">
        <v>141.5</v>
      </c>
      <c r="F788">
        <v>1363</v>
      </c>
      <c r="G788">
        <v>10</v>
      </c>
      <c r="H788">
        <v>0</v>
      </c>
      <c r="I788">
        <v>5</v>
      </c>
      <c r="J788">
        <v>0</v>
      </c>
      <c r="K788" s="64">
        <f>IF(Tableau1[[#This Row],[Quantité (H)]]=0,0,Tableau1[[#This Row],[Gasoil (L)]]/Tableau1[[#This Row],[Quantité (H)]])</f>
        <v>9.6325088339222606</v>
      </c>
      <c r="M788" s="23">
        <v>14205</v>
      </c>
      <c r="N788" s="23">
        <v>53770</v>
      </c>
      <c r="O788" s="64">
        <f>Tableau1[[#This Row],[Productivité]]-Tableau1[[#This Row],[ les Charges]]</f>
        <v>39565</v>
      </c>
      <c r="R788" s="23">
        <v>14205</v>
      </c>
    </row>
    <row r="789" spans="1:18" x14ac:dyDescent="0.25">
      <c r="A789" s="66">
        <v>44500</v>
      </c>
      <c r="B789" t="s">
        <v>84</v>
      </c>
      <c r="C789" t="s">
        <v>42</v>
      </c>
      <c r="D789" t="s">
        <v>126</v>
      </c>
      <c r="E789">
        <v>220.5</v>
      </c>
      <c r="F789">
        <v>1794</v>
      </c>
      <c r="G789">
        <v>25</v>
      </c>
      <c r="H789">
        <v>0</v>
      </c>
      <c r="I789">
        <v>0</v>
      </c>
      <c r="J789">
        <v>0</v>
      </c>
      <c r="K789" s="64">
        <f>IF(Tableau1[[#This Row],[Quantité (H)]]=0,0,Tableau1[[#This Row],[Gasoil (L)]]/Tableau1[[#This Row],[Quantité (H)]])</f>
        <v>8.1360544217687067</v>
      </c>
      <c r="M789" s="23">
        <v>19210.830000000002</v>
      </c>
      <c r="N789" s="23">
        <v>76500</v>
      </c>
      <c r="O789" s="64">
        <f>Tableau1[[#This Row],[Productivité]]-Tableau1[[#This Row],[ les Charges]]</f>
        <v>57289.17</v>
      </c>
      <c r="R789" s="23">
        <v>19210.830000000002</v>
      </c>
    </row>
    <row r="790" spans="1:18" x14ac:dyDescent="0.25">
      <c r="A790" s="66">
        <v>44500</v>
      </c>
      <c r="B790" t="s">
        <v>158</v>
      </c>
      <c r="C790" t="s">
        <v>173</v>
      </c>
      <c r="D790" t="s">
        <v>36</v>
      </c>
      <c r="E790">
        <v>39</v>
      </c>
      <c r="F790">
        <v>1640</v>
      </c>
      <c r="G790">
        <v>5</v>
      </c>
      <c r="H790">
        <v>0</v>
      </c>
      <c r="I790">
        <v>0</v>
      </c>
      <c r="J790">
        <v>15</v>
      </c>
      <c r="K790" s="64">
        <f>IF(Tableau1[[#This Row],[Quantité (H)]]=0,0,Tableau1[[#This Row],[Gasoil (L)]]/Tableau1[[#This Row],[Quantité (H)]])</f>
        <v>42.051282051282051</v>
      </c>
      <c r="M790" s="23">
        <v>11935</v>
      </c>
      <c r="N790" s="23">
        <v>52650</v>
      </c>
      <c r="O790" s="64">
        <f>Tableau1[[#This Row],[Productivité]]-Tableau1[[#This Row],[ les Charges]]</f>
        <v>40715</v>
      </c>
      <c r="R790" s="23">
        <v>11935</v>
      </c>
    </row>
    <row r="791" spans="1:18" x14ac:dyDescent="0.25">
      <c r="A791" s="66">
        <v>44500</v>
      </c>
      <c r="B791" t="s">
        <v>159</v>
      </c>
      <c r="C791" t="s">
        <v>173</v>
      </c>
      <c r="D791" t="s">
        <v>37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 s="64">
        <f>IF(Tableau1[[#This Row],[Quantité (H)]]=0,0,Tableau1[[#This Row],[Gasoil (L)]]/Tableau1[[#This Row],[Quantité (H)]])</f>
        <v>0</v>
      </c>
      <c r="M791" s="23">
        <v>4334.67</v>
      </c>
      <c r="N791" s="23">
        <v>393205.03</v>
      </c>
      <c r="O791" s="64">
        <f>Tableau1[[#This Row],[Productivité]]-Tableau1[[#This Row],[ les Charges]]</f>
        <v>388870.36000000004</v>
      </c>
      <c r="R791" s="23">
        <v>4334.67</v>
      </c>
    </row>
    <row r="792" spans="1:18" x14ac:dyDescent="0.25">
      <c r="A792" s="66">
        <v>44500</v>
      </c>
      <c r="B792" t="s">
        <v>116</v>
      </c>
      <c r="C792" t="s">
        <v>85</v>
      </c>
      <c r="D792" t="s">
        <v>51</v>
      </c>
      <c r="E792">
        <v>84</v>
      </c>
      <c r="F792">
        <v>862</v>
      </c>
      <c r="G792">
        <v>5</v>
      </c>
      <c r="H792">
        <v>0</v>
      </c>
      <c r="I792">
        <v>0</v>
      </c>
      <c r="J792">
        <v>8</v>
      </c>
      <c r="K792" s="64">
        <f>IF(Tableau1[[#This Row],[Quantité (H)]]=0,0,Tableau1[[#This Row],[Gasoil (L)]]/Tableau1[[#This Row],[Quantité (H)]])</f>
        <v>10.261904761904763</v>
      </c>
      <c r="L792" s="23">
        <v>88.501026694045166</v>
      </c>
      <c r="M792" s="23">
        <v>8438.33</v>
      </c>
      <c r="N792" s="23">
        <v>23100</v>
      </c>
      <c r="O792" s="64">
        <f>Tableau1[[#This Row],[Productivité]]-Tableau1[[#This Row],[ les Charges]]</f>
        <v>14661.67</v>
      </c>
      <c r="R792" s="23">
        <v>8438.33</v>
      </c>
    </row>
    <row r="793" spans="1:18" x14ac:dyDescent="0.25">
      <c r="A793" s="66">
        <v>44500</v>
      </c>
      <c r="B793" t="s">
        <v>158</v>
      </c>
      <c r="C793" t="s">
        <v>175</v>
      </c>
      <c r="D793" t="s">
        <v>30</v>
      </c>
      <c r="E793">
        <v>112</v>
      </c>
      <c r="F793">
        <v>900</v>
      </c>
      <c r="G793">
        <v>70</v>
      </c>
      <c r="H793">
        <v>0</v>
      </c>
      <c r="I793">
        <v>0</v>
      </c>
      <c r="J793">
        <v>3</v>
      </c>
      <c r="K793" s="64">
        <f>IF(Tableau1[[#This Row],[Quantité (H)]]=0,0,Tableau1[[#This Row],[Gasoil (L)]]/Tableau1[[#This Row],[Quantité (H)]])</f>
        <v>8.0357142857142865</v>
      </c>
      <c r="M793" s="23">
        <v>2905</v>
      </c>
      <c r="N793" s="23">
        <v>81200</v>
      </c>
      <c r="O793" s="64">
        <f>Tableau1[[#This Row],[Productivité]]-Tableau1[[#This Row],[ les Charges]]</f>
        <v>78295</v>
      </c>
      <c r="R793" s="23">
        <v>2905</v>
      </c>
    </row>
    <row r="794" spans="1:18" x14ac:dyDescent="0.25">
      <c r="A794" s="66">
        <v>44500</v>
      </c>
      <c r="B794" t="s">
        <v>84</v>
      </c>
      <c r="C794" t="s">
        <v>195</v>
      </c>
      <c r="D794" t="s">
        <v>38</v>
      </c>
      <c r="E794">
        <v>109.5</v>
      </c>
      <c r="F794">
        <v>2407</v>
      </c>
      <c r="G794">
        <v>30</v>
      </c>
      <c r="H794">
        <v>60</v>
      </c>
      <c r="I794">
        <v>25</v>
      </c>
      <c r="J794">
        <v>0</v>
      </c>
      <c r="K794" s="64">
        <f>IF(Tableau1[[#This Row],[Quantité (H)]]=0,0,Tableau1[[#This Row],[Gasoil (L)]]/Tableau1[[#This Row],[Quantité (H)]])</f>
        <v>21.981735159817351</v>
      </c>
      <c r="M794" s="23">
        <v>30817.4</v>
      </c>
      <c r="N794" s="23">
        <v>125925</v>
      </c>
      <c r="O794" s="64">
        <f>Tableau1[[#This Row],[Productivité]]-Tableau1[[#This Row],[ les Charges]]</f>
        <v>95107.6</v>
      </c>
      <c r="R794" s="23">
        <v>30817.4</v>
      </c>
    </row>
    <row r="795" spans="1:18" x14ac:dyDescent="0.25">
      <c r="A795" s="66">
        <v>44500</v>
      </c>
      <c r="B795" t="s">
        <v>159</v>
      </c>
      <c r="C795" t="s">
        <v>92</v>
      </c>
      <c r="D795" t="s">
        <v>136</v>
      </c>
      <c r="E795">
        <v>5</v>
      </c>
      <c r="F795">
        <v>25</v>
      </c>
      <c r="G795">
        <v>5</v>
      </c>
      <c r="H795">
        <v>0</v>
      </c>
      <c r="I795">
        <v>0</v>
      </c>
      <c r="J795">
        <v>0</v>
      </c>
      <c r="K795" s="64">
        <f>IF(Tableau1[[#This Row],[Quantité (H)]]=0,0,Tableau1[[#This Row],[Gasoil (L)]]/Tableau1[[#This Row],[Quantité (H)]])</f>
        <v>5</v>
      </c>
      <c r="M795" s="23">
        <v>450</v>
      </c>
      <c r="N795" s="23">
        <v>650</v>
      </c>
      <c r="O795" s="64">
        <f>Tableau1[[#This Row],[Productivité]]-Tableau1[[#This Row],[ les Charges]]</f>
        <v>200</v>
      </c>
      <c r="R795" s="23">
        <v>450</v>
      </c>
    </row>
    <row r="796" spans="1:18" x14ac:dyDescent="0.25">
      <c r="A796" s="66">
        <v>44500</v>
      </c>
      <c r="B796" t="s">
        <v>160</v>
      </c>
      <c r="C796" t="s">
        <v>39</v>
      </c>
      <c r="D796" t="s">
        <v>11</v>
      </c>
      <c r="E796">
        <v>108</v>
      </c>
      <c r="F796">
        <v>1438</v>
      </c>
      <c r="G796">
        <v>5</v>
      </c>
      <c r="H796">
        <v>0</v>
      </c>
      <c r="I796">
        <v>10</v>
      </c>
      <c r="J796">
        <v>0</v>
      </c>
      <c r="K796" s="64">
        <f>IF(Tableau1[[#This Row],[Quantité (H)]]=0,0,Tableau1[[#This Row],[Gasoil (L)]]/Tableau1[[#This Row],[Quantité (H)]])</f>
        <v>13.314814814814815</v>
      </c>
      <c r="M796" s="23">
        <v>13280</v>
      </c>
      <c r="N796" s="23">
        <v>54000</v>
      </c>
      <c r="O796" s="64">
        <f>Tableau1[[#This Row],[Productivité]]-Tableau1[[#This Row],[ les Charges]]</f>
        <v>40720</v>
      </c>
      <c r="R796" s="23">
        <v>13280</v>
      </c>
    </row>
    <row r="797" spans="1:18" x14ac:dyDescent="0.25">
      <c r="A797" s="66">
        <v>44500</v>
      </c>
      <c r="B797" t="s">
        <v>84</v>
      </c>
      <c r="C797" t="s">
        <v>39</v>
      </c>
      <c r="D797" t="s">
        <v>12</v>
      </c>
      <c r="E797">
        <v>60</v>
      </c>
      <c r="F797">
        <v>1195</v>
      </c>
      <c r="G797">
        <v>0</v>
      </c>
      <c r="H797">
        <v>0</v>
      </c>
      <c r="I797">
        <v>35</v>
      </c>
      <c r="J797">
        <v>0</v>
      </c>
      <c r="K797" s="64">
        <f>IF(Tableau1[[#This Row],[Quantité (H)]]=0,0,Tableau1[[#This Row],[Gasoil (L)]]/Tableau1[[#This Row],[Quantité (H)]])</f>
        <v>19.916666666666668</v>
      </c>
      <c r="M797" s="23">
        <v>15437.8</v>
      </c>
      <c r="N797" s="23">
        <v>22800</v>
      </c>
      <c r="O797" s="64">
        <f>Tableau1[[#This Row],[Productivité]]-Tableau1[[#This Row],[ les Charges]]</f>
        <v>7362.2000000000007</v>
      </c>
      <c r="R797" s="23">
        <v>15437.8</v>
      </c>
    </row>
    <row r="798" spans="1:18" x14ac:dyDescent="0.25">
      <c r="A798" s="66">
        <v>44500</v>
      </c>
      <c r="B798" t="s">
        <v>116</v>
      </c>
      <c r="C798" t="s">
        <v>39</v>
      </c>
      <c r="D798" t="s">
        <v>13</v>
      </c>
      <c r="E798">
        <v>176.5</v>
      </c>
      <c r="F798">
        <v>2094</v>
      </c>
      <c r="G798">
        <v>35</v>
      </c>
      <c r="H798">
        <v>0</v>
      </c>
      <c r="I798">
        <v>15</v>
      </c>
      <c r="J798">
        <v>5</v>
      </c>
      <c r="K798" s="64">
        <f>IF(Tableau1[[#This Row],[Quantité (H)]]=0,0,Tableau1[[#This Row],[Gasoil (L)]]/Tableau1[[#This Row],[Quantité (H)]])</f>
        <v>11.864022662889518</v>
      </c>
      <c r="M798" s="23">
        <v>64651.53</v>
      </c>
      <c r="N798" s="23">
        <v>70600</v>
      </c>
      <c r="O798" s="64">
        <f>Tableau1[[#This Row],[Productivité]]-Tableau1[[#This Row],[ les Charges]]</f>
        <v>5948.4700000000012</v>
      </c>
      <c r="R798" s="23">
        <v>64651.53</v>
      </c>
    </row>
    <row r="799" spans="1:18" x14ac:dyDescent="0.25">
      <c r="A799" s="66">
        <v>44500</v>
      </c>
      <c r="B799" t="s">
        <v>116</v>
      </c>
      <c r="C799" t="s">
        <v>39</v>
      </c>
      <c r="D799" t="s">
        <v>14</v>
      </c>
      <c r="E799">
        <v>135</v>
      </c>
      <c r="F799">
        <v>2511</v>
      </c>
      <c r="G799">
        <v>0</v>
      </c>
      <c r="H799">
        <v>0</v>
      </c>
      <c r="I799">
        <v>80</v>
      </c>
      <c r="J799">
        <v>7</v>
      </c>
      <c r="K799" s="64">
        <f>IF(Tableau1[[#This Row],[Quantité (H)]]=0,0,Tableau1[[#This Row],[Gasoil (L)]]/Tableau1[[#This Row],[Quantité (H)]])</f>
        <v>18.600000000000001</v>
      </c>
      <c r="M799" s="23">
        <v>41111.269999999997</v>
      </c>
      <c r="N799" s="23">
        <v>67500</v>
      </c>
      <c r="O799" s="64">
        <f>Tableau1[[#This Row],[Productivité]]-Tableau1[[#This Row],[ les Charges]]</f>
        <v>26388.730000000003</v>
      </c>
      <c r="R799" s="23">
        <v>41111.269999999997</v>
      </c>
    </row>
    <row r="800" spans="1:18" x14ac:dyDescent="0.25">
      <c r="A800" s="66">
        <v>44500</v>
      </c>
      <c r="B800" t="s">
        <v>84</v>
      </c>
      <c r="C800" t="s">
        <v>39</v>
      </c>
      <c r="D800" t="s">
        <v>15</v>
      </c>
      <c r="E800">
        <v>85</v>
      </c>
      <c r="F800">
        <v>1009</v>
      </c>
      <c r="G800">
        <v>4</v>
      </c>
      <c r="H800">
        <v>40</v>
      </c>
      <c r="I800">
        <v>20</v>
      </c>
      <c r="J800">
        <v>0</v>
      </c>
      <c r="K800" s="64">
        <f>IF(Tableau1[[#This Row],[Quantité (H)]]=0,0,Tableau1[[#This Row],[Gasoil (L)]]/Tableau1[[#This Row],[Quantité (H)]])</f>
        <v>11.870588235294118</v>
      </c>
      <c r="M800" s="23">
        <v>28234.6</v>
      </c>
      <c r="N800" s="23">
        <v>42500</v>
      </c>
      <c r="O800" s="64">
        <f>Tableau1[[#This Row],[Productivité]]-Tableau1[[#This Row],[ les Charges]]</f>
        <v>14265.400000000001</v>
      </c>
      <c r="R800" s="23">
        <v>28234.6</v>
      </c>
    </row>
    <row r="801" spans="1:18" x14ac:dyDescent="0.25">
      <c r="A801" s="66">
        <v>44500</v>
      </c>
      <c r="B801" t="s">
        <v>84</v>
      </c>
      <c r="C801" t="s">
        <v>41</v>
      </c>
      <c r="D801" t="s">
        <v>20</v>
      </c>
      <c r="E801">
        <v>158</v>
      </c>
      <c r="F801">
        <v>1880</v>
      </c>
      <c r="G801">
        <v>0</v>
      </c>
      <c r="H801">
        <v>0</v>
      </c>
      <c r="I801">
        <v>40</v>
      </c>
      <c r="J801">
        <v>0</v>
      </c>
      <c r="K801" s="64">
        <f>IF(Tableau1[[#This Row],[Quantité (H)]]=0,0,Tableau1[[#This Row],[Gasoil (L)]]/Tableau1[[#This Row],[Quantité (H)]])</f>
        <v>11.898734177215189</v>
      </c>
      <c r="M801" s="23">
        <v>42513.94</v>
      </c>
      <c r="N801" s="23">
        <v>66360</v>
      </c>
      <c r="O801" s="64">
        <f>Tableau1[[#This Row],[Productivité]]-Tableau1[[#This Row],[ les Charges]]</f>
        <v>23846.059999999998</v>
      </c>
      <c r="R801" s="23">
        <v>42513.94</v>
      </c>
    </row>
    <row r="802" spans="1:18" x14ac:dyDescent="0.25">
      <c r="A802" s="66">
        <v>44500</v>
      </c>
      <c r="B802" t="s">
        <v>158</v>
      </c>
      <c r="C802" t="s">
        <v>41</v>
      </c>
      <c r="D802" t="s">
        <v>21</v>
      </c>
      <c r="E802">
        <v>189</v>
      </c>
      <c r="F802">
        <v>1776</v>
      </c>
      <c r="G802">
        <v>25</v>
      </c>
      <c r="H802">
        <v>0</v>
      </c>
      <c r="I802">
        <v>60</v>
      </c>
      <c r="J802">
        <v>4</v>
      </c>
      <c r="K802" s="64">
        <f>IF(Tableau1[[#This Row],[Quantité (H)]]=0,0,Tableau1[[#This Row],[Gasoil (L)]]/Tableau1[[#This Row],[Quantité (H)]])</f>
        <v>9.3968253968253972</v>
      </c>
      <c r="M802" s="23">
        <v>43130.64</v>
      </c>
      <c r="N802" s="23">
        <v>79380</v>
      </c>
      <c r="O802" s="64">
        <f>Tableau1[[#This Row],[Productivité]]-Tableau1[[#This Row],[ les Charges]]</f>
        <v>36249.360000000001</v>
      </c>
      <c r="R802" s="23">
        <v>43130.64</v>
      </c>
    </row>
    <row r="803" spans="1:18" x14ac:dyDescent="0.25">
      <c r="A803" s="66">
        <v>44500</v>
      </c>
      <c r="B803" t="s">
        <v>116</v>
      </c>
      <c r="C803" t="s">
        <v>41</v>
      </c>
      <c r="D803" t="s">
        <v>124</v>
      </c>
      <c r="E803">
        <v>204</v>
      </c>
      <c r="F803">
        <v>3288</v>
      </c>
      <c r="G803">
        <v>4</v>
      </c>
      <c r="H803">
        <v>0</v>
      </c>
      <c r="I803">
        <v>10</v>
      </c>
      <c r="J803">
        <v>6</v>
      </c>
      <c r="K803" s="64">
        <f>IF(Tableau1[[#This Row],[Quantité (H)]]=0,0,Tableau1[[#This Row],[Gasoil (L)]]/Tableau1[[#This Row],[Quantité (H)]])</f>
        <v>16.117647058823529</v>
      </c>
      <c r="M803" s="23">
        <v>33530</v>
      </c>
      <c r="N803" s="23">
        <v>85680</v>
      </c>
      <c r="O803" s="64">
        <f>Tableau1[[#This Row],[Productivité]]-Tableau1[[#This Row],[ les Charges]]</f>
        <v>52150</v>
      </c>
      <c r="R803" s="23">
        <v>33530</v>
      </c>
    </row>
    <row r="804" spans="1:18" x14ac:dyDescent="0.25">
      <c r="A804" s="66">
        <v>44500</v>
      </c>
      <c r="B804" t="s">
        <v>84</v>
      </c>
      <c r="C804" t="s">
        <v>41</v>
      </c>
      <c r="D804" t="s">
        <v>22</v>
      </c>
      <c r="E804">
        <v>198.5</v>
      </c>
      <c r="F804">
        <v>4674</v>
      </c>
      <c r="G804">
        <v>10</v>
      </c>
      <c r="H804">
        <v>0</v>
      </c>
      <c r="I804">
        <v>55</v>
      </c>
      <c r="J804">
        <v>45</v>
      </c>
      <c r="K804" s="64">
        <f>IF(Tableau1[[#This Row],[Quantité (H)]]=0,0,Tableau1[[#This Row],[Gasoil (L)]]/Tableau1[[#This Row],[Quantité (H)]])</f>
        <v>23.546599496221663</v>
      </c>
      <c r="M804" s="23">
        <v>74412.27</v>
      </c>
      <c r="N804" s="23">
        <v>83370</v>
      </c>
      <c r="O804" s="64">
        <f>Tableau1[[#This Row],[Productivité]]-Tableau1[[#This Row],[ les Charges]]</f>
        <v>8957.7299999999959</v>
      </c>
      <c r="R804" s="23">
        <v>74412.27</v>
      </c>
    </row>
    <row r="805" spans="1:18" x14ac:dyDescent="0.25">
      <c r="A805" s="66">
        <v>44500</v>
      </c>
      <c r="B805" t="s">
        <v>84</v>
      </c>
      <c r="C805" t="s">
        <v>41</v>
      </c>
      <c r="D805" t="s">
        <v>23</v>
      </c>
      <c r="E805">
        <v>194.5</v>
      </c>
      <c r="F805">
        <v>4840</v>
      </c>
      <c r="G805">
        <v>10</v>
      </c>
      <c r="H805">
        <v>0</v>
      </c>
      <c r="I805">
        <v>20</v>
      </c>
      <c r="J805">
        <v>45</v>
      </c>
      <c r="K805" s="64">
        <f>IF(Tableau1[[#This Row],[Quantité (H)]]=0,0,Tableau1[[#This Row],[Gasoil (L)]]/Tableau1[[#This Row],[Quantité (H)]])</f>
        <v>24.884318766066837</v>
      </c>
      <c r="M805" s="23">
        <v>73313.97</v>
      </c>
      <c r="N805" s="23">
        <v>81690</v>
      </c>
      <c r="O805" s="64">
        <f>Tableau1[[#This Row],[Productivité]]-Tableau1[[#This Row],[ les Charges]]</f>
        <v>8376.0299999999988</v>
      </c>
      <c r="R805" s="23">
        <v>73313.97</v>
      </c>
    </row>
    <row r="806" spans="1:18" x14ac:dyDescent="0.25">
      <c r="A806" s="66">
        <v>44500</v>
      </c>
      <c r="B806" t="s">
        <v>84</v>
      </c>
      <c r="C806" t="s">
        <v>41</v>
      </c>
      <c r="D806" t="s">
        <v>24</v>
      </c>
      <c r="E806">
        <v>208.5</v>
      </c>
      <c r="F806">
        <v>4704</v>
      </c>
      <c r="G806">
        <v>45</v>
      </c>
      <c r="H806">
        <v>0</v>
      </c>
      <c r="I806">
        <v>40</v>
      </c>
      <c r="J806">
        <v>25</v>
      </c>
      <c r="K806" s="64">
        <f>IF(Tableau1[[#This Row],[Quantité (H)]]=0,0,Tableau1[[#This Row],[Gasoil (L)]]/Tableau1[[#This Row],[Quantité (H)]])</f>
        <v>22.561151079136689</v>
      </c>
      <c r="M806" s="23">
        <v>416203.65</v>
      </c>
      <c r="N806" s="23">
        <v>87570</v>
      </c>
      <c r="O806" s="64">
        <f>Tableau1[[#This Row],[Productivité]]-Tableau1[[#This Row],[ les Charges]]</f>
        <v>-328633.65000000002</v>
      </c>
      <c r="R806" s="23">
        <v>416203.65</v>
      </c>
    </row>
    <row r="807" spans="1:18" x14ac:dyDescent="0.25">
      <c r="A807" s="66">
        <v>44500</v>
      </c>
      <c r="B807" t="s">
        <v>84</v>
      </c>
      <c r="C807" t="s">
        <v>41</v>
      </c>
      <c r="D807" t="s">
        <v>25</v>
      </c>
      <c r="E807">
        <v>167.5</v>
      </c>
      <c r="F807">
        <v>3310</v>
      </c>
      <c r="G807">
        <v>35</v>
      </c>
      <c r="H807">
        <v>0</v>
      </c>
      <c r="I807">
        <v>25</v>
      </c>
      <c r="J807">
        <v>25</v>
      </c>
      <c r="K807" s="64">
        <f>IF(Tableau1[[#This Row],[Quantité (H)]]=0,0,Tableau1[[#This Row],[Gasoil (L)]]/Tableau1[[#This Row],[Quantité (H)]])</f>
        <v>19.761194029850746</v>
      </c>
      <c r="M807" s="23">
        <v>59111.46</v>
      </c>
      <c r="N807" s="23">
        <v>70350</v>
      </c>
      <c r="O807" s="64">
        <f>Tableau1[[#This Row],[Productivité]]-Tableau1[[#This Row],[ les Charges]]</f>
        <v>11238.54</v>
      </c>
      <c r="R807" s="23">
        <v>59111.46</v>
      </c>
    </row>
    <row r="808" spans="1:18" x14ac:dyDescent="0.25">
      <c r="A808" s="66">
        <v>44500</v>
      </c>
      <c r="B808" t="s">
        <v>84</v>
      </c>
      <c r="C808" t="s">
        <v>41</v>
      </c>
      <c r="D808" t="s">
        <v>26</v>
      </c>
      <c r="E808">
        <v>142</v>
      </c>
      <c r="F808">
        <v>4882</v>
      </c>
      <c r="G808">
        <v>5</v>
      </c>
      <c r="H808">
        <v>0</v>
      </c>
      <c r="I808">
        <v>75</v>
      </c>
      <c r="J808">
        <v>20</v>
      </c>
      <c r="K808" s="64">
        <f>IF(Tableau1[[#This Row],[Quantité (H)]]=0,0,Tableau1[[#This Row],[Gasoil (L)]]/Tableau1[[#This Row],[Quantité (H)]])</f>
        <v>34.380281690140848</v>
      </c>
      <c r="M808" s="23">
        <v>73087.3</v>
      </c>
      <c r="N808" s="23">
        <v>59640</v>
      </c>
      <c r="O808" s="64">
        <f>Tableau1[[#This Row],[Productivité]]-Tableau1[[#This Row],[ les Charges]]</f>
        <v>-13447.300000000003</v>
      </c>
      <c r="R808" s="23">
        <v>73087.3</v>
      </c>
    </row>
    <row r="809" spans="1:18" x14ac:dyDescent="0.25">
      <c r="A809" s="66">
        <v>44500</v>
      </c>
      <c r="B809" t="s">
        <v>160</v>
      </c>
      <c r="C809" t="s">
        <v>41</v>
      </c>
      <c r="D809" t="s">
        <v>27</v>
      </c>
      <c r="E809">
        <v>71</v>
      </c>
      <c r="F809">
        <v>690</v>
      </c>
      <c r="G809">
        <v>0</v>
      </c>
      <c r="H809">
        <v>0</v>
      </c>
      <c r="I809">
        <v>75</v>
      </c>
      <c r="J809">
        <v>0</v>
      </c>
      <c r="K809" s="64">
        <f>IF(Tableau1[[#This Row],[Quantité (H)]]=0,0,Tableau1[[#This Row],[Gasoil (L)]]/Tableau1[[#This Row],[Quantité (H)]])</f>
        <v>9.71830985915493</v>
      </c>
      <c r="M809" s="23">
        <v>9525</v>
      </c>
      <c r="N809" s="23">
        <v>15620</v>
      </c>
      <c r="O809" s="64">
        <f>Tableau1[[#This Row],[Productivité]]-Tableau1[[#This Row],[ les Charges]]</f>
        <v>6095</v>
      </c>
      <c r="R809" s="23">
        <v>9525</v>
      </c>
    </row>
    <row r="810" spans="1:18" x14ac:dyDescent="0.25">
      <c r="A810" s="66">
        <v>44500</v>
      </c>
      <c r="B810" t="s">
        <v>84</v>
      </c>
      <c r="C810" t="s">
        <v>41</v>
      </c>
      <c r="D810" t="s">
        <v>130</v>
      </c>
      <c r="E810">
        <v>166.5</v>
      </c>
      <c r="F810">
        <v>3171</v>
      </c>
      <c r="G810">
        <v>5</v>
      </c>
      <c r="H810">
        <v>0</v>
      </c>
      <c r="I810">
        <v>10</v>
      </c>
      <c r="J810">
        <v>13</v>
      </c>
      <c r="K810" s="64">
        <f>IF(Tableau1[[#This Row],[Quantité (H)]]=0,0,Tableau1[[#This Row],[Gasoil (L)]]/Tableau1[[#This Row],[Quantité (H)]])</f>
        <v>19.045045045045047</v>
      </c>
      <c r="M810" s="23">
        <v>32715</v>
      </c>
      <c r="N810" s="23">
        <v>69930</v>
      </c>
      <c r="O810" s="64">
        <f>Tableau1[[#This Row],[Productivité]]-Tableau1[[#This Row],[ les Charges]]</f>
        <v>37215</v>
      </c>
      <c r="R810" s="23">
        <v>32715</v>
      </c>
    </row>
    <row r="811" spans="1:18" x14ac:dyDescent="0.25">
      <c r="A811" s="66">
        <v>44500</v>
      </c>
      <c r="B811" t="s">
        <v>84</v>
      </c>
      <c r="C811" t="s">
        <v>41</v>
      </c>
      <c r="D811" t="s">
        <v>137</v>
      </c>
      <c r="E811">
        <v>35</v>
      </c>
      <c r="F811">
        <v>429</v>
      </c>
      <c r="G811">
        <v>0</v>
      </c>
      <c r="H811">
        <v>0</v>
      </c>
      <c r="I811">
        <v>0</v>
      </c>
      <c r="J811">
        <v>5</v>
      </c>
      <c r="K811" s="64">
        <f>IF(Tableau1[[#This Row],[Quantité (H)]]=0,0,Tableau1[[#This Row],[Gasoil (L)]]/Tableau1[[#This Row],[Quantité (H)]])</f>
        <v>12.257142857142858</v>
      </c>
      <c r="M811" s="23">
        <v>9516.65</v>
      </c>
      <c r="N811" s="23">
        <v>7700</v>
      </c>
      <c r="O811" s="64">
        <f>Tableau1[[#This Row],[Productivité]]-Tableau1[[#This Row],[ les Charges]]</f>
        <v>-1816.6499999999996</v>
      </c>
      <c r="R811" s="23">
        <v>9516.65</v>
      </c>
    </row>
    <row r="812" spans="1:18" x14ac:dyDescent="0.25">
      <c r="A812" s="66">
        <v>44500</v>
      </c>
      <c r="B812" t="s">
        <v>116</v>
      </c>
      <c r="C812" t="s">
        <v>41</v>
      </c>
      <c r="D812" t="s">
        <v>123</v>
      </c>
      <c r="E812">
        <v>97</v>
      </c>
      <c r="F812">
        <v>1252</v>
      </c>
      <c r="G812">
        <v>5</v>
      </c>
      <c r="H812">
        <v>0</v>
      </c>
      <c r="I812">
        <v>15</v>
      </c>
      <c r="J812">
        <v>7</v>
      </c>
      <c r="K812" s="64">
        <f>IF(Tableau1[[#This Row],[Quantité (H)]]=0,0,Tableau1[[#This Row],[Gasoil (L)]]/Tableau1[[#This Row],[Quantité (H)]])</f>
        <v>12.907216494845361</v>
      </c>
      <c r="M812" s="23">
        <v>10595</v>
      </c>
      <c r="N812" s="23">
        <v>26620</v>
      </c>
      <c r="O812" s="64">
        <f>Tableau1[[#This Row],[Productivité]]-Tableau1[[#This Row],[ les Charges]]</f>
        <v>16025</v>
      </c>
      <c r="R812" s="23">
        <v>10595</v>
      </c>
    </row>
    <row r="813" spans="1:18" x14ac:dyDescent="0.25">
      <c r="A813" s="66">
        <v>44500</v>
      </c>
      <c r="B813" t="s">
        <v>84</v>
      </c>
      <c r="C813" t="s">
        <v>41</v>
      </c>
      <c r="D813" t="s">
        <v>128</v>
      </c>
      <c r="E813">
        <v>166</v>
      </c>
      <c r="F813">
        <v>3030</v>
      </c>
      <c r="G813">
        <v>5</v>
      </c>
      <c r="H813">
        <v>0</v>
      </c>
      <c r="I813">
        <v>0</v>
      </c>
      <c r="J813">
        <v>20</v>
      </c>
      <c r="K813" s="64">
        <f>IF(Tableau1[[#This Row],[Quantité (H)]]=0,0,Tableau1[[#This Row],[Gasoil (L)]]/Tableau1[[#This Row],[Quantité (H)]])</f>
        <v>18.253012048192772</v>
      </c>
      <c r="M813" s="23">
        <v>31200</v>
      </c>
      <c r="N813" s="23">
        <v>69720</v>
      </c>
      <c r="O813" s="64">
        <f>Tableau1[[#This Row],[Productivité]]-Tableau1[[#This Row],[ les Charges]]</f>
        <v>38520</v>
      </c>
      <c r="R813" s="23">
        <v>31200</v>
      </c>
    </row>
    <row r="814" spans="1:18" x14ac:dyDescent="0.25">
      <c r="A814" s="66">
        <v>44500</v>
      </c>
      <c r="B814" t="s">
        <v>84</v>
      </c>
      <c r="C814" t="s">
        <v>41</v>
      </c>
      <c r="D814" t="s">
        <v>127</v>
      </c>
      <c r="E814">
        <v>222.5</v>
      </c>
      <c r="F814">
        <v>3557</v>
      </c>
      <c r="G814">
        <v>25</v>
      </c>
      <c r="H814">
        <v>0</v>
      </c>
      <c r="I814">
        <v>5</v>
      </c>
      <c r="J814">
        <v>25</v>
      </c>
      <c r="K814" s="64">
        <f>IF(Tableau1[[#This Row],[Quantité (H)]]=0,0,Tableau1[[#This Row],[Gasoil (L)]]/Tableau1[[#This Row],[Quantité (H)]])</f>
        <v>15.986516853932585</v>
      </c>
      <c r="M814" s="23">
        <v>37620</v>
      </c>
      <c r="N814" s="23">
        <v>93450</v>
      </c>
      <c r="O814" s="64">
        <f>Tableau1[[#This Row],[Productivité]]-Tableau1[[#This Row],[ les Charges]]</f>
        <v>55830</v>
      </c>
      <c r="R814" s="23">
        <v>37620</v>
      </c>
    </row>
    <row r="815" spans="1:18" x14ac:dyDescent="0.25">
      <c r="A815" s="66">
        <v>44500</v>
      </c>
      <c r="B815" t="s">
        <v>84</v>
      </c>
      <c r="C815" t="s">
        <v>41</v>
      </c>
      <c r="D815" t="s">
        <v>129</v>
      </c>
      <c r="E815">
        <v>206</v>
      </c>
      <c r="F815">
        <v>2723</v>
      </c>
      <c r="G815">
        <v>10</v>
      </c>
      <c r="H815">
        <v>0</v>
      </c>
      <c r="I815">
        <v>0</v>
      </c>
      <c r="J815">
        <v>15</v>
      </c>
      <c r="K815" s="64">
        <f>IF(Tableau1[[#This Row],[Quantité (H)]]=0,0,Tableau1[[#This Row],[Gasoil (L)]]/Tableau1[[#This Row],[Quantité (H)]])</f>
        <v>13.218446601941748</v>
      </c>
      <c r="M815" s="23">
        <v>28521.65</v>
      </c>
      <c r="N815" s="23">
        <v>86520</v>
      </c>
      <c r="O815" s="64">
        <f>Tableau1[[#This Row],[Productivité]]-Tableau1[[#This Row],[ les Charges]]</f>
        <v>57998.35</v>
      </c>
      <c r="R815" s="23">
        <v>28521.65</v>
      </c>
    </row>
    <row r="816" spans="1:18" x14ac:dyDescent="0.25">
      <c r="A816" s="66">
        <v>44500</v>
      </c>
      <c r="B816" t="s">
        <v>158</v>
      </c>
      <c r="C816" t="s">
        <v>86</v>
      </c>
      <c r="D816" t="s">
        <v>58</v>
      </c>
      <c r="E816">
        <v>252</v>
      </c>
      <c r="F816">
        <v>380</v>
      </c>
      <c r="G816">
        <v>15</v>
      </c>
      <c r="H816">
        <v>0</v>
      </c>
      <c r="I816">
        <v>0</v>
      </c>
      <c r="J816">
        <v>0</v>
      </c>
      <c r="K816" s="64">
        <f>IF(Tableau1[[#This Row],[Quantité (H)]]=0,0,Tableau1[[#This Row],[Gasoil (L)]]/Tableau1[[#This Row],[Quantité (H)]])</f>
        <v>1.5079365079365079</v>
      </c>
      <c r="L816" s="23">
        <v>12.790306294177045</v>
      </c>
      <c r="M816" s="23">
        <v>4400</v>
      </c>
      <c r="N816" s="23">
        <v>16380</v>
      </c>
      <c r="O816" s="64">
        <f>Tableau1[[#This Row],[Productivité]]-Tableau1[[#This Row],[ les Charges]]</f>
        <v>11980</v>
      </c>
      <c r="R816" s="23">
        <v>4400</v>
      </c>
    </row>
    <row r="817" spans="1:18" x14ac:dyDescent="0.25">
      <c r="A817" s="66">
        <v>44500</v>
      </c>
      <c r="B817" t="s">
        <v>160</v>
      </c>
      <c r="C817" t="s">
        <v>86</v>
      </c>
      <c r="D817" t="s">
        <v>59</v>
      </c>
      <c r="E817">
        <v>144</v>
      </c>
      <c r="F817">
        <v>220</v>
      </c>
      <c r="G817">
        <v>0</v>
      </c>
      <c r="H817">
        <v>0</v>
      </c>
      <c r="I817">
        <v>0</v>
      </c>
      <c r="J817">
        <v>0</v>
      </c>
      <c r="K817" s="64">
        <f>IF(Tableau1[[#This Row],[Quantité (H)]]=0,0,Tableau1[[#This Row],[Gasoil (L)]]/Tableau1[[#This Row],[Quantité (H)]])</f>
        <v>1.5277777777777777</v>
      </c>
      <c r="M817" s="23">
        <v>2200</v>
      </c>
      <c r="N817" s="23">
        <v>9360</v>
      </c>
      <c r="O817" s="64">
        <f>Tableau1[[#This Row],[Productivité]]-Tableau1[[#This Row],[ les Charges]]</f>
        <v>7160</v>
      </c>
      <c r="R817" s="23">
        <v>2200</v>
      </c>
    </row>
    <row r="818" spans="1:18" x14ac:dyDescent="0.25">
      <c r="A818" s="66">
        <v>44500</v>
      </c>
      <c r="B818" t="s">
        <v>116</v>
      </c>
      <c r="C818" t="s">
        <v>86</v>
      </c>
      <c r="D818" t="s">
        <v>60</v>
      </c>
      <c r="E818">
        <v>261</v>
      </c>
      <c r="F818">
        <v>480</v>
      </c>
      <c r="G818">
        <v>0</v>
      </c>
      <c r="H818">
        <v>0</v>
      </c>
      <c r="I818">
        <v>0</v>
      </c>
      <c r="J818">
        <v>0</v>
      </c>
      <c r="K818" s="64">
        <f>IF(Tableau1[[#This Row],[Quantité (H)]]=0,0,Tableau1[[#This Row],[Gasoil (L)]]/Tableau1[[#This Row],[Quantité (H)]])</f>
        <v>1.8390804597701149</v>
      </c>
      <c r="M818" s="23">
        <v>4800</v>
      </c>
      <c r="N818" s="23">
        <v>16965</v>
      </c>
      <c r="O818" s="64">
        <f>Tableau1[[#This Row],[Productivité]]-Tableau1[[#This Row],[ les Charges]]</f>
        <v>12165</v>
      </c>
      <c r="R818" s="23">
        <v>4800</v>
      </c>
    </row>
    <row r="819" spans="1:18" x14ac:dyDescent="0.25">
      <c r="A819" s="66">
        <v>44500</v>
      </c>
      <c r="B819" t="s">
        <v>84</v>
      </c>
      <c r="C819" t="s">
        <v>86</v>
      </c>
      <c r="D819" t="s">
        <v>61</v>
      </c>
      <c r="E819">
        <v>125</v>
      </c>
      <c r="F819">
        <v>504.93</v>
      </c>
      <c r="G819">
        <v>0</v>
      </c>
      <c r="H819">
        <v>0</v>
      </c>
      <c r="I819">
        <v>0</v>
      </c>
      <c r="J819">
        <v>0</v>
      </c>
      <c r="K819" s="64">
        <f>IF(Tableau1[[#This Row],[Quantité (H)]]=0,0,Tableau1[[#This Row],[Gasoil (L)]]/Tableau1[[#This Row],[Quantité (H)]])</f>
        <v>4.0394399999999999</v>
      </c>
      <c r="L819" s="23">
        <v>10.406636438582028</v>
      </c>
      <c r="M819" s="23">
        <v>5049</v>
      </c>
      <c r="N819" s="23">
        <v>8125</v>
      </c>
      <c r="O819" s="64">
        <f>Tableau1[[#This Row],[Productivité]]-Tableau1[[#This Row],[ les Charges]]</f>
        <v>3076</v>
      </c>
      <c r="R819" s="23">
        <v>5049</v>
      </c>
    </row>
    <row r="820" spans="1:18" x14ac:dyDescent="0.25">
      <c r="A820" s="66">
        <v>44500</v>
      </c>
      <c r="B820" t="s">
        <v>84</v>
      </c>
      <c r="C820" t="s">
        <v>92</v>
      </c>
      <c r="D820" t="s">
        <v>133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 s="64">
        <f>IF(Tableau1[[#This Row],[Quantité (H)]]=0,0,Tableau1[[#This Row],[Gasoil (L)]]/Tableau1[[#This Row],[Quantité (H)]])</f>
        <v>0</v>
      </c>
      <c r="O820" s="64">
        <f>Tableau1[[#This Row],[Productivité]]-Tableau1[[#This Row],[ les Charges]]</f>
        <v>0</v>
      </c>
    </row>
    <row r="821" spans="1:18" x14ac:dyDescent="0.25">
      <c r="A821" s="66">
        <v>44500</v>
      </c>
      <c r="B821" t="s">
        <v>160</v>
      </c>
      <c r="C821" t="s">
        <v>43</v>
      </c>
      <c r="D821" t="s">
        <v>33</v>
      </c>
      <c r="E821">
        <v>76</v>
      </c>
      <c r="F821">
        <v>455</v>
      </c>
      <c r="G821">
        <v>0</v>
      </c>
      <c r="H821">
        <v>0</v>
      </c>
      <c r="I821">
        <v>0</v>
      </c>
      <c r="J821">
        <v>0</v>
      </c>
      <c r="K821" s="64">
        <f>IF(Tableau1[[#This Row],[Quantité (H)]]=0,0,Tableau1[[#This Row],[Gasoil (L)]]/Tableau1[[#This Row],[Quantité (H)]])</f>
        <v>5.9868421052631575</v>
      </c>
      <c r="M821" s="23">
        <v>4550</v>
      </c>
      <c r="N821" s="23">
        <v>13680</v>
      </c>
      <c r="O821" s="64">
        <f>Tableau1[[#This Row],[Productivité]]-Tableau1[[#This Row],[ les Charges]]</f>
        <v>9130</v>
      </c>
      <c r="R821" s="23">
        <v>4550</v>
      </c>
    </row>
    <row r="822" spans="1:18" x14ac:dyDescent="0.25">
      <c r="A822" s="66">
        <v>44500</v>
      </c>
      <c r="B822" t="s">
        <v>116</v>
      </c>
      <c r="C822" t="s">
        <v>43</v>
      </c>
      <c r="D822" t="s">
        <v>34</v>
      </c>
      <c r="E822">
        <v>52</v>
      </c>
      <c r="F822">
        <v>623</v>
      </c>
      <c r="G822">
        <v>20</v>
      </c>
      <c r="H822">
        <v>0</v>
      </c>
      <c r="I822">
        <v>20</v>
      </c>
      <c r="J822">
        <v>6</v>
      </c>
      <c r="K822" s="64">
        <f>IF(Tableau1[[#This Row],[Quantité (H)]]=0,0,Tableau1[[#This Row],[Gasoil (L)]]/Tableau1[[#This Row],[Quantité (H)]])</f>
        <v>11.98076923076923</v>
      </c>
      <c r="M822" s="23">
        <v>7530</v>
      </c>
      <c r="N822" s="23">
        <v>8370</v>
      </c>
      <c r="O822" s="64">
        <f>Tableau1[[#This Row],[Productivité]]-Tableau1[[#This Row],[ les Charges]]</f>
        <v>840</v>
      </c>
      <c r="R822" s="23">
        <v>7530</v>
      </c>
    </row>
    <row r="823" spans="1:18" x14ac:dyDescent="0.25">
      <c r="A823" s="66">
        <v>44500</v>
      </c>
      <c r="B823" t="s">
        <v>196</v>
      </c>
      <c r="C823" t="s">
        <v>43</v>
      </c>
      <c r="D823" t="s">
        <v>35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 s="64">
        <f>IF(Tableau1[[#This Row],[Quantité (H)]]=0,0,Tableau1[[#This Row],[Gasoil (L)]]/Tableau1[[#This Row],[Quantité (H)]])</f>
        <v>0</v>
      </c>
      <c r="M823" s="23">
        <v>1275</v>
      </c>
      <c r="N823" s="23">
        <v>21600</v>
      </c>
      <c r="O823" s="64">
        <f>Tableau1[[#This Row],[Productivité]]-Tableau1[[#This Row],[ les Charges]]</f>
        <v>20325</v>
      </c>
      <c r="R823" s="23">
        <v>1275</v>
      </c>
    </row>
    <row r="824" spans="1:18" x14ac:dyDescent="0.25">
      <c r="A824" s="66">
        <v>44500</v>
      </c>
      <c r="B824" t="s">
        <v>84</v>
      </c>
      <c r="C824" t="s">
        <v>87</v>
      </c>
      <c r="D824" t="s">
        <v>63</v>
      </c>
      <c r="E824">
        <v>150</v>
      </c>
      <c r="F824">
        <v>315</v>
      </c>
      <c r="G824">
        <v>15</v>
      </c>
      <c r="H824">
        <v>0</v>
      </c>
      <c r="I824">
        <v>0</v>
      </c>
      <c r="J824">
        <v>0</v>
      </c>
      <c r="K824" s="64">
        <f>IF(Tableau1[[#This Row],[Quantité (H)]]=0,0,Tableau1[[#This Row],[Gasoil (L)]]/Tableau1[[#This Row],[Quantité (H)]])</f>
        <v>2.1</v>
      </c>
      <c r="M824" s="23">
        <v>3941.66</v>
      </c>
      <c r="N824" s="23">
        <v>9750</v>
      </c>
      <c r="O824" s="64">
        <f>Tableau1[[#This Row],[Productivité]]-Tableau1[[#This Row],[ les Charges]]</f>
        <v>5808.34</v>
      </c>
      <c r="R824" s="23">
        <v>3941.66</v>
      </c>
    </row>
    <row r="825" spans="1:18" x14ac:dyDescent="0.25">
      <c r="A825" s="66">
        <v>44500</v>
      </c>
      <c r="B825" t="s">
        <v>84</v>
      </c>
      <c r="C825" t="s">
        <v>87</v>
      </c>
      <c r="D825" t="s">
        <v>105</v>
      </c>
      <c r="E825">
        <v>150</v>
      </c>
      <c r="F825">
        <v>89</v>
      </c>
      <c r="G825">
        <v>6</v>
      </c>
      <c r="H825">
        <v>0</v>
      </c>
      <c r="I825">
        <v>0</v>
      </c>
      <c r="J825">
        <v>0</v>
      </c>
      <c r="K825" s="64">
        <f>IF(Tableau1[[#This Row],[Quantité (H)]]=0,0,Tableau1[[#This Row],[Gasoil (L)]]/Tableau1[[#This Row],[Quantité (H)]])</f>
        <v>0.59333333333333338</v>
      </c>
      <c r="M825" s="23">
        <v>1396.66</v>
      </c>
      <c r="N825" s="23">
        <v>9750</v>
      </c>
      <c r="O825" s="64">
        <f>Tableau1[[#This Row],[Productivité]]-Tableau1[[#This Row],[ les Charges]]</f>
        <v>8353.34</v>
      </c>
      <c r="R825" s="23">
        <v>1396.66</v>
      </c>
    </row>
    <row r="826" spans="1:18" x14ac:dyDescent="0.25">
      <c r="A826" s="66">
        <v>44500</v>
      </c>
      <c r="B826" t="s">
        <v>116</v>
      </c>
      <c r="C826" t="s">
        <v>87</v>
      </c>
      <c r="D826" t="s">
        <v>174</v>
      </c>
      <c r="E826">
        <v>198</v>
      </c>
      <c r="F826">
        <v>289</v>
      </c>
      <c r="G826">
        <v>25</v>
      </c>
      <c r="H826">
        <v>0</v>
      </c>
      <c r="I826">
        <v>0</v>
      </c>
      <c r="J826">
        <v>0</v>
      </c>
      <c r="K826" s="64">
        <f>IF(Tableau1[[#This Row],[Quantité (H)]]=0,0,Tableau1[[#This Row],[Gasoil (L)]]/Tableau1[[#This Row],[Quantité (H)]])</f>
        <v>1.4595959595959596</v>
      </c>
      <c r="M826" s="23">
        <v>2890</v>
      </c>
      <c r="N826" s="23">
        <v>11700</v>
      </c>
      <c r="O826" s="64">
        <f>Tableau1[[#This Row],[Productivité]]-Tableau1[[#This Row],[ les Charges]]</f>
        <v>8810</v>
      </c>
      <c r="R826" s="23">
        <v>2890</v>
      </c>
    </row>
    <row r="827" spans="1:18" x14ac:dyDescent="0.25">
      <c r="A827" s="66">
        <v>44500</v>
      </c>
      <c r="B827" t="s">
        <v>84</v>
      </c>
      <c r="C827" t="s">
        <v>88</v>
      </c>
      <c r="D827" t="s">
        <v>64</v>
      </c>
      <c r="E827">
        <v>0</v>
      </c>
      <c r="F827">
        <v>87</v>
      </c>
      <c r="G827">
        <v>0</v>
      </c>
      <c r="H827">
        <v>0</v>
      </c>
      <c r="I827">
        <v>0</v>
      </c>
      <c r="J827">
        <v>0</v>
      </c>
      <c r="K827" s="64">
        <f>IF(Tableau1[[#This Row],[Quantité (H)]]=0,0,Tableau1[[#This Row],[Gasoil (L)]]/Tableau1[[#This Row],[Quantité (H)]])</f>
        <v>0</v>
      </c>
      <c r="M827" s="23">
        <v>870</v>
      </c>
      <c r="N827" s="23">
        <v>9600</v>
      </c>
      <c r="O827" s="64">
        <f>Tableau1[[#This Row],[Productivité]]-Tableau1[[#This Row],[ les Charges]]</f>
        <v>8730</v>
      </c>
      <c r="R827" s="23">
        <v>870</v>
      </c>
    </row>
    <row r="828" spans="1:18" x14ac:dyDescent="0.25">
      <c r="A828" s="66">
        <v>44500</v>
      </c>
      <c r="B828" t="s">
        <v>197</v>
      </c>
      <c r="C828" t="s">
        <v>88</v>
      </c>
      <c r="D828" t="s">
        <v>65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 s="64">
        <f>IF(Tableau1[[#This Row],[Quantité (H)]]=0,0,Tableau1[[#This Row],[Gasoil (L)]]/Tableau1[[#This Row],[Quantité (H)]])</f>
        <v>0</v>
      </c>
      <c r="M828" s="23">
        <v>7889.68</v>
      </c>
      <c r="N828" s="23">
        <v>9600</v>
      </c>
      <c r="O828" s="64">
        <f>Tableau1[[#This Row],[Productivité]]-Tableau1[[#This Row],[ les Charges]]</f>
        <v>1710.3199999999997</v>
      </c>
      <c r="R828" s="23">
        <v>7889.68</v>
      </c>
    </row>
    <row r="829" spans="1:18" x14ac:dyDescent="0.25">
      <c r="A829" s="66">
        <v>44500</v>
      </c>
      <c r="B829" t="s">
        <v>160</v>
      </c>
      <c r="C829" t="s">
        <v>88</v>
      </c>
      <c r="D829" t="s">
        <v>66</v>
      </c>
      <c r="E829">
        <v>0</v>
      </c>
      <c r="F829">
        <v>36</v>
      </c>
      <c r="G829">
        <v>0</v>
      </c>
      <c r="H829">
        <v>0</v>
      </c>
      <c r="I829">
        <v>0</v>
      </c>
      <c r="J829">
        <v>0</v>
      </c>
      <c r="K829" s="64">
        <f>IF(Tableau1[[#This Row],[Quantité (H)]]=0,0,Tableau1[[#This Row],[Gasoil (L)]]/Tableau1[[#This Row],[Quantité (H)]])</f>
        <v>0</v>
      </c>
      <c r="M829" s="23">
        <v>16937.32</v>
      </c>
      <c r="N829" s="23">
        <v>9600</v>
      </c>
      <c r="O829" s="64">
        <f>Tableau1[[#This Row],[Productivité]]-Tableau1[[#This Row],[ les Charges]]</f>
        <v>-7337.32</v>
      </c>
      <c r="R829" s="23">
        <v>16937.32</v>
      </c>
    </row>
    <row r="830" spans="1:18" x14ac:dyDescent="0.25">
      <c r="A830" s="66">
        <v>44500</v>
      </c>
      <c r="B830" t="s">
        <v>160</v>
      </c>
      <c r="C830" t="s">
        <v>88</v>
      </c>
      <c r="D830" t="s">
        <v>67</v>
      </c>
      <c r="E830">
        <v>180</v>
      </c>
      <c r="F830">
        <v>139</v>
      </c>
      <c r="G830">
        <v>0</v>
      </c>
      <c r="H830">
        <v>0</v>
      </c>
      <c r="I830">
        <v>0</v>
      </c>
      <c r="J830">
        <v>0</v>
      </c>
      <c r="K830" s="64">
        <f>IF(Tableau1[[#This Row],[Quantité (H)]]=0,0,Tableau1[[#This Row],[Gasoil (L)]]/Tableau1[[#This Row],[Quantité (H)]])</f>
        <v>0.77222222222222225</v>
      </c>
      <c r="L830" s="23">
        <v>7.808988764044944</v>
      </c>
      <c r="M830" s="23">
        <v>4291.82</v>
      </c>
      <c r="N830" s="23">
        <v>6000</v>
      </c>
      <c r="O830" s="64">
        <f>Tableau1[[#This Row],[Productivité]]-Tableau1[[#This Row],[ les Charges]]</f>
        <v>1708.1800000000003</v>
      </c>
      <c r="R830" s="23">
        <v>4291.82</v>
      </c>
    </row>
    <row r="831" spans="1:18" x14ac:dyDescent="0.25">
      <c r="A831" s="66">
        <v>44500</v>
      </c>
      <c r="B831" t="s">
        <v>197</v>
      </c>
      <c r="C831" t="s">
        <v>88</v>
      </c>
      <c r="D831" t="s">
        <v>68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 s="64">
        <f>IF(Tableau1[[#This Row],[Quantité (H)]]=0,0,Tableau1[[#This Row],[Gasoil (L)]]/Tableau1[[#This Row],[Quantité (H)]])</f>
        <v>0</v>
      </c>
      <c r="N831" s="23">
        <v>7200</v>
      </c>
      <c r="O831" s="64">
        <f>Tableau1[[#This Row],[Productivité]]-Tableau1[[#This Row],[ les Charges]]</f>
        <v>7200</v>
      </c>
    </row>
    <row r="832" spans="1:18" x14ac:dyDescent="0.25">
      <c r="A832" s="66">
        <v>44500</v>
      </c>
      <c r="B832" t="s">
        <v>116</v>
      </c>
      <c r="C832" t="s">
        <v>88</v>
      </c>
      <c r="D832" t="s">
        <v>69</v>
      </c>
      <c r="E832">
        <v>185</v>
      </c>
      <c r="F832">
        <v>278</v>
      </c>
      <c r="G832">
        <v>0</v>
      </c>
      <c r="H832">
        <v>0</v>
      </c>
      <c r="I832">
        <v>0</v>
      </c>
      <c r="J832">
        <v>0</v>
      </c>
      <c r="K832" s="64">
        <f>IF(Tableau1[[#This Row],[Quantité (H)]]=0,0,Tableau1[[#This Row],[Gasoil (L)]]/Tableau1[[#This Row],[Quantité (H)]])</f>
        <v>1.5027027027027027</v>
      </c>
      <c r="L832" s="23">
        <v>5.3328217916746592</v>
      </c>
      <c r="M832" s="23">
        <v>3394.26</v>
      </c>
      <c r="N832" s="23">
        <v>7362</v>
      </c>
      <c r="O832" s="64">
        <f>Tableau1[[#This Row],[Productivité]]-Tableau1[[#This Row],[ les Charges]]</f>
        <v>3967.74</v>
      </c>
      <c r="R832" s="23">
        <v>3394.26</v>
      </c>
    </row>
    <row r="833" spans="1:18" x14ac:dyDescent="0.25">
      <c r="A833" s="66">
        <v>44500</v>
      </c>
      <c r="B833" t="s">
        <v>84</v>
      </c>
      <c r="C833" t="s">
        <v>88</v>
      </c>
      <c r="D833" t="s">
        <v>70</v>
      </c>
      <c r="E833">
        <v>0</v>
      </c>
      <c r="F833">
        <v>325</v>
      </c>
      <c r="G833">
        <v>0</v>
      </c>
      <c r="H833">
        <v>0</v>
      </c>
      <c r="I833">
        <v>0</v>
      </c>
      <c r="J833">
        <v>0</v>
      </c>
      <c r="K833" s="64">
        <f>IF(Tableau1[[#This Row],[Quantité (H)]]=0,0,Tableau1[[#This Row],[Gasoil (L)]]/Tableau1[[#This Row],[Quantité (H)]])</f>
        <v>0</v>
      </c>
      <c r="L833" s="23">
        <v>6.9862424763542572</v>
      </c>
      <c r="M833" s="23">
        <v>3280.93</v>
      </c>
      <c r="N833" s="23">
        <v>7800</v>
      </c>
      <c r="O833" s="64">
        <f>Tableau1[[#This Row],[Productivité]]-Tableau1[[#This Row],[ les Charges]]</f>
        <v>4519.07</v>
      </c>
      <c r="R833" s="23">
        <v>3280.93</v>
      </c>
    </row>
    <row r="834" spans="1:18" x14ac:dyDescent="0.25">
      <c r="A834" s="66">
        <v>44500</v>
      </c>
      <c r="B834" t="s">
        <v>116</v>
      </c>
      <c r="C834" t="s">
        <v>88</v>
      </c>
      <c r="D834" t="s">
        <v>71</v>
      </c>
      <c r="E834">
        <v>189</v>
      </c>
      <c r="F834">
        <v>343</v>
      </c>
      <c r="G834">
        <v>0</v>
      </c>
      <c r="H834">
        <v>0</v>
      </c>
      <c r="I834">
        <v>0</v>
      </c>
      <c r="J834">
        <v>0</v>
      </c>
      <c r="K834" s="64">
        <f>IF(Tableau1[[#This Row],[Quantité (H)]]=0,0,Tableau1[[#This Row],[Gasoil (L)]]/Tableau1[[#This Row],[Quantité (H)]])</f>
        <v>1.8148148148148149</v>
      </c>
      <c r="M834" s="23">
        <v>3430</v>
      </c>
      <c r="N834" s="23">
        <v>7800</v>
      </c>
      <c r="O834" s="64">
        <f>Tableau1[[#This Row],[Productivité]]-Tableau1[[#This Row],[ les Charges]]</f>
        <v>4370</v>
      </c>
      <c r="R834" s="23">
        <v>3430</v>
      </c>
    </row>
    <row r="835" spans="1:18" x14ac:dyDescent="0.25">
      <c r="A835" s="66">
        <v>44500</v>
      </c>
      <c r="B835" t="s">
        <v>84</v>
      </c>
      <c r="C835" t="s">
        <v>88</v>
      </c>
      <c r="D835" t="s">
        <v>72</v>
      </c>
      <c r="E835">
        <v>0</v>
      </c>
      <c r="F835">
        <v>127</v>
      </c>
      <c r="G835">
        <v>0</v>
      </c>
      <c r="H835">
        <v>0</v>
      </c>
      <c r="I835">
        <v>0</v>
      </c>
      <c r="J835">
        <v>0</v>
      </c>
      <c r="K835" s="64">
        <f>IF(Tableau1[[#This Row],[Quantité (H)]]=0,0,Tableau1[[#This Row],[Gasoil (L)]]/Tableau1[[#This Row],[Quantité (H)]])</f>
        <v>0</v>
      </c>
      <c r="M835" s="23">
        <v>2398.3200000000002</v>
      </c>
      <c r="N835" s="23">
        <v>7500</v>
      </c>
      <c r="O835" s="64">
        <f>Tableau1[[#This Row],[Productivité]]-Tableau1[[#This Row],[ les Charges]]</f>
        <v>5101.68</v>
      </c>
      <c r="R835" s="23">
        <v>2398.3200000000002</v>
      </c>
    </row>
    <row r="836" spans="1:18" x14ac:dyDescent="0.25">
      <c r="A836" s="66">
        <v>44500</v>
      </c>
      <c r="B836" t="s">
        <v>159</v>
      </c>
      <c r="C836" t="s">
        <v>88</v>
      </c>
      <c r="D836" t="s">
        <v>176</v>
      </c>
      <c r="E836">
        <v>184</v>
      </c>
      <c r="F836">
        <v>144.97999999999999</v>
      </c>
      <c r="G836">
        <v>0</v>
      </c>
      <c r="H836">
        <v>0</v>
      </c>
      <c r="I836">
        <v>0</v>
      </c>
      <c r="J836">
        <v>0</v>
      </c>
      <c r="K836" s="64">
        <f>IF(Tableau1[[#This Row],[Quantité (H)]]=0,0,Tableau1[[#This Row],[Gasoil (L)]]/Tableau1[[#This Row],[Quantité (H)]])</f>
        <v>0.78793478260869565</v>
      </c>
      <c r="M836" s="23">
        <v>1450</v>
      </c>
      <c r="N836" s="23">
        <v>6072</v>
      </c>
      <c r="O836" s="64">
        <f>Tableau1[[#This Row],[Productivité]]-Tableau1[[#This Row],[ les Charges]]</f>
        <v>4622</v>
      </c>
      <c r="R836" s="23">
        <v>1450</v>
      </c>
    </row>
    <row r="837" spans="1:18" x14ac:dyDescent="0.25">
      <c r="A837" s="66">
        <v>44500</v>
      </c>
      <c r="B837" t="s">
        <v>116</v>
      </c>
      <c r="C837" t="s">
        <v>88</v>
      </c>
      <c r="D837" t="s">
        <v>74</v>
      </c>
      <c r="E837">
        <v>100</v>
      </c>
      <c r="F837">
        <v>188</v>
      </c>
      <c r="G837">
        <v>0</v>
      </c>
      <c r="H837">
        <v>0</v>
      </c>
      <c r="I837">
        <v>0</v>
      </c>
      <c r="J837">
        <v>0</v>
      </c>
      <c r="K837" s="64">
        <f>IF(Tableau1[[#This Row],[Quantité (H)]]=0,0,Tableau1[[#This Row],[Gasoil (L)]]/Tableau1[[#This Row],[Quantité (H)]])</f>
        <v>1.88</v>
      </c>
      <c r="M837" s="23">
        <v>1090</v>
      </c>
      <c r="N837" s="23">
        <v>3300</v>
      </c>
      <c r="O837" s="64">
        <f>Tableau1[[#This Row],[Productivité]]-Tableau1[[#This Row],[ les Charges]]</f>
        <v>2210</v>
      </c>
      <c r="R837" s="23">
        <v>1090</v>
      </c>
    </row>
    <row r="838" spans="1:18" x14ac:dyDescent="0.25">
      <c r="A838" s="66">
        <v>44500</v>
      </c>
      <c r="B838" t="s">
        <v>84</v>
      </c>
      <c r="C838" t="s">
        <v>88</v>
      </c>
      <c r="D838" t="s">
        <v>75</v>
      </c>
      <c r="E838">
        <v>204</v>
      </c>
      <c r="F838">
        <v>245</v>
      </c>
      <c r="G838">
        <v>0</v>
      </c>
      <c r="H838">
        <v>0</v>
      </c>
      <c r="I838">
        <v>0</v>
      </c>
      <c r="J838">
        <v>0</v>
      </c>
      <c r="K838" s="64">
        <f>IF(Tableau1[[#This Row],[Quantité (H)]]=0,0,Tableau1[[#This Row],[Gasoil (L)]]/Tableau1[[#This Row],[Quantité (H)]])</f>
        <v>1.2009803921568627</v>
      </c>
      <c r="L838" s="23">
        <v>6.0196560196560194</v>
      </c>
      <c r="M838" s="23">
        <v>2100</v>
      </c>
      <c r="N838" s="23">
        <v>6749.4</v>
      </c>
      <c r="O838" s="64">
        <f>Tableau1[[#This Row],[Productivité]]-Tableau1[[#This Row],[ les Charges]]</f>
        <v>4649.3999999999996</v>
      </c>
      <c r="R838" s="23">
        <v>2100</v>
      </c>
    </row>
    <row r="839" spans="1:18" x14ac:dyDescent="0.25">
      <c r="A839" s="66">
        <v>44500</v>
      </c>
      <c r="B839" t="s">
        <v>84</v>
      </c>
      <c r="C839" t="s">
        <v>88</v>
      </c>
      <c r="D839" t="s">
        <v>76</v>
      </c>
      <c r="E839">
        <v>184</v>
      </c>
      <c r="F839">
        <v>159.53</v>
      </c>
      <c r="G839">
        <v>0</v>
      </c>
      <c r="H839">
        <v>0</v>
      </c>
      <c r="I839">
        <v>0</v>
      </c>
      <c r="J839">
        <v>0</v>
      </c>
      <c r="K839" s="64">
        <f>IF(Tableau1[[#This Row],[Quantité (H)]]=0,0,Tableau1[[#This Row],[Gasoil (L)]]/Tableau1[[#This Row],[Quantité (H)]])</f>
        <v>0.86701086956521745</v>
      </c>
      <c r="L839" s="23">
        <v>8.004515805318615</v>
      </c>
      <c r="M839" s="23">
        <v>1781.66</v>
      </c>
      <c r="N839" s="23">
        <v>7800</v>
      </c>
      <c r="O839" s="64">
        <f>Tableau1[[#This Row],[Productivité]]-Tableau1[[#This Row],[ les Charges]]</f>
        <v>6018.34</v>
      </c>
      <c r="R839" s="23">
        <v>1781.66</v>
      </c>
    </row>
    <row r="840" spans="1:18" x14ac:dyDescent="0.25">
      <c r="A840" s="66">
        <v>44500</v>
      </c>
      <c r="B840" t="s">
        <v>84</v>
      </c>
      <c r="C840" t="s">
        <v>88</v>
      </c>
      <c r="D840" t="s">
        <v>77</v>
      </c>
      <c r="E840">
        <v>118</v>
      </c>
      <c r="F840">
        <v>159</v>
      </c>
      <c r="G840">
        <v>0</v>
      </c>
      <c r="H840">
        <v>0</v>
      </c>
      <c r="I840">
        <v>0</v>
      </c>
      <c r="J840">
        <v>0</v>
      </c>
      <c r="K840" s="64">
        <f>IF(Tableau1[[#This Row],[Quantité (H)]]=0,0,Tableau1[[#This Row],[Gasoil (L)]]/Tableau1[[#This Row],[Quantité (H)]])</f>
        <v>1.347457627118644</v>
      </c>
      <c r="L840" s="23">
        <v>5.6785714285714288</v>
      </c>
      <c r="M840" s="23">
        <v>4491.82</v>
      </c>
      <c r="N840" s="23">
        <v>11694</v>
      </c>
      <c r="O840" s="64">
        <f>Tableau1[[#This Row],[Productivité]]-Tableau1[[#This Row],[ les Charges]]</f>
        <v>7202.18</v>
      </c>
      <c r="R840" s="23">
        <v>4491.82</v>
      </c>
    </row>
    <row r="841" spans="1:18" x14ac:dyDescent="0.25">
      <c r="A841" s="66">
        <v>44500</v>
      </c>
      <c r="B841" t="s">
        <v>116</v>
      </c>
      <c r="C841" t="s">
        <v>88</v>
      </c>
      <c r="D841" t="s">
        <v>78</v>
      </c>
      <c r="E841">
        <v>154</v>
      </c>
      <c r="F841">
        <v>251</v>
      </c>
      <c r="G841">
        <v>0</v>
      </c>
      <c r="H841">
        <v>0</v>
      </c>
      <c r="I841">
        <v>0</v>
      </c>
      <c r="J841">
        <v>0</v>
      </c>
      <c r="K841" s="64">
        <f>IF(Tableau1[[#This Row],[Quantité (H)]]=0,0,Tableau1[[#This Row],[Gasoil (L)]]/Tableau1[[#This Row],[Quantité (H)]])</f>
        <v>1.6298701298701299</v>
      </c>
      <c r="L841" s="23">
        <v>7.0525428491149205</v>
      </c>
      <c r="M841" s="23">
        <v>5981.82</v>
      </c>
      <c r="N841" s="23">
        <v>5196</v>
      </c>
      <c r="O841" s="64">
        <f>Tableau1[[#This Row],[Productivité]]-Tableau1[[#This Row],[ les Charges]]</f>
        <v>-785.81999999999971</v>
      </c>
      <c r="R841" s="23">
        <v>5981.82</v>
      </c>
    </row>
    <row r="842" spans="1:18" x14ac:dyDescent="0.25">
      <c r="A842" s="66">
        <v>44500</v>
      </c>
      <c r="B842" t="s">
        <v>84</v>
      </c>
      <c r="C842" t="s">
        <v>88</v>
      </c>
      <c r="D842" t="s">
        <v>132</v>
      </c>
      <c r="E842">
        <v>0</v>
      </c>
      <c r="F842">
        <v>210</v>
      </c>
      <c r="G842">
        <v>0</v>
      </c>
      <c r="H842">
        <v>0</v>
      </c>
      <c r="I842">
        <v>0</v>
      </c>
      <c r="J842">
        <v>0</v>
      </c>
      <c r="K842" s="64">
        <f>IF(Tableau1[[#This Row],[Quantité (H)]]=0,0,Tableau1[[#This Row],[Gasoil (L)]]/Tableau1[[#This Row],[Quantité (H)]])</f>
        <v>0</v>
      </c>
      <c r="M842" s="23">
        <v>2383.33</v>
      </c>
      <c r="N842" s="23">
        <v>7800</v>
      </c>
      <c r="O842" s="64">
        <f>Tableau1[[#This Row],[Productivité]]-Tableau1[[#This Row],[ les Charges]]</f>
        <v>5416.67</v>
      </c>
      <c r="R842" s="23">
        <v>2383.33</v>
      </c>
    </row>
    <row r="843" spans="1:18" x14ac:dyDescent="0.25">
      <c r="A843" s="66">
        <v>44500</v>
      </c>
      <c r="B843" t="s">
        <v>160</v>
      </c>
      <c r="C843" t="s">
        <v>88</v>
      </c>
      <c r="D843" t="s">
        <v>165</v>
      </c>
      <c r="E843">
        <v>0</v>
      </c>
      <c r="F843">
        <v>247</v>
      </c>
      <c r="G843">
        <v>0</v>
      </c>
      <c r="H843">
        <v>0</v>
      </c>
      <c r="I843">
        <v>0</v>
      </c>
      <c r="J843">
        <v>0</v>
      </c>
      <c r="K843" s="64">
        <f>IF(Tableau1[[#This Row],[Quantité (H)]]=0,0,Tableau1[[#This Row],[Gasoil (L)]]/Tableau1[[#This Row],[Quantité (H)]])</f>
        <v>0</v>
      </c>
      <c r="L843" s="23">
        <v>5.6560567895580487</v>
      </c>
      <c r="M843" s="23">
        <v>2860</v>
      </c>
      <c r="N843" s="23">
        <v>7800</v>
      </c>
      <c r="O843" s="64">
        <f>Tableau1[[#This Row],[Productivité]]-Tableau1[[#This Row],[ les Charges]]</f>
        <v>4940</v>
      </c>
      <c r="R843" s="23">
        <v>2860</v>
      </c>
    </row>
    <row r="844" spans="1:18" x14ac:dyDescent="0.25">
      <c r="A844" s="66">
        <v>44500</v>
      </c>
      <c r="B844" t="s">
        <v>197</v>
      </c>
      <c r="C844" t="s">
        <v>88</v>
      </c>
      <c r="D844" t="s">
        <v>183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 s="64">
        <f>IF(Tableau1[[#This Row],[Quantité (H)]]=0,0,Tableau1[[#This Row],[Gasoil (L)]]/Tableau1[[#This Row],[Quantité (H)]])</f>
        <v>0</v>
      </c>
      <c r="N844" s="23">
        <v>7200</v>
      </c>
      <c r="O844" s="64">
        <f>Tableau1[[#This Row],[Productivité]]-Tableau1[[#This Row],[ les Charges]]</f>
        <v>7200</v>
      </c>
    </row>
    <row r="845" spans="1:18" x14ac:dyDescent="0.25">
      <c r="A845" s="66">
        <v>44500</v>
      </c>
      <c r="B845" t="s">
        <v>199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 s="64">
        <f>IF(Tableau1[[#This Row],[Quantité (H)]]=0,0,Tableau1[[#This Row],[Gasoil (L)]]/Tableau1[[#This Row],[Quantité (H)]])</f>
        <v>0</v>
      </c>
      <c r="M845" s="23">
        <v>1295.06</v>
      </c>
      <c r="N845" s="23">
        <v>1867.71</v>
      </c>
      <c r="O845" s="64">
        <f>Tableau1[[#This Row],[Productivité]]-Tableau1[[#This Row],[ les Charges]]</f>
        <v>572.65000000000009</v>
      </c>
      <c r="R845" s="23">
        <v>1295.06</v>
      </c>
    </row>
  </sheetData>
  <sortState xmlns:xlrd2="http://schemas.microsoft.com/office/spreadsheetml/2017/richdata2" ref="X687:Y729">
    <sortCondition ref="X687:X729"/>
  </sortState>
  <dataConsolidate function="var">
    <dataRefs count="1">
      <dataRef ref="X3:AC3" sheet="Détails"/>
    </dataRefs>
  </dataConsolidate>
  <phoneticPr fontId="9" type="noConversion"/>
  <conditionalFormatting sqref="A3:O845">
    <cfRule type="containsErrors" priority="1">
      <formula>ISERROR(A3)</formula>
    </cfRule>
  </conditionalFormatting>
  <dataValidations count="1">
    <dataValidation type="decimal" allowBlank="1" showInputMessage="1" showErrorMessage="1" sqref="O1 E1:N1048576" xr:uid="{3D8A3654-141D-43A9-833C-386788F09F52}">
      <formula1>0</formula1>
      <formula2>10000000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C6CF0-566F-446E-B6E8-2CD3480D526F}">
  <sheetPr codeName="Feuil3"/>
  <dimension ref="A1:S92"/>
  <sheetViews>
    <sheetView workbookViewId="0">
      <selection activeCell="Q29" sqref="Q29"/>
    </sheetView>
  </sheetViews>
  <sheetFormatPr baseColWidth="10" defaultRowHeight="15" x14ac:dyDescent="0.25"/>
  <cols>
    <col min="1" max="1" width="14.7109375" style="17" customWidth="1"/>
    <col min="2" max="4" width="14.7109375" customWidth="1"/>
    <col min="5" max="5" width="16.85546875" customWidth="1"/>
    <col min="6" max="6" width="14.7109375" style="23" customWidth="1"/>
    <col min="7" max="7" width="17" style="23" customWidth="1"/>
    <col min="8" max="8" width="14.7109375" customWidth="1"/>
    <col min="19" max="19" width="11.42578125" style="23"/>
  </cols>
  <sheetData>
    <row r="1" spans="1:19" x14ac:dyDescent="0.25">
      <c r="A1" s="15" t="s">
        <v>9</v>
      </c>
      <c r="B1" s="16" t="s">
        <v>2</v>
      </c>
      <c r="C1" s="14" t="s">
        <v>0</v>
      </c>
      <c r="D1" s="14" t="s">
        <v>171</v>
      </c>
      <c r="E1" s="11" t="s">
        <v>167</v>
      </c>
      <c r="F1" s="21" t="s">
        <v>168</v>
      </c>
      <c r="G1" s="21" t="s">
        <v>169</v>
      </c>
      <c r="H1" s="11" t="s">
        <v>170</v>
      </c>
    </row>
    <row r="2" spans="1:19" x14ac:dyDescent="0.25">
      <c r="B2" s="18"/>
      <c r="C2" s="18" t="s">
        <v>78</v>
      </c>
      <c r="D2" s="18">
        <f>+SUMIF($M$5:$M$92,Tableau2[[#This Row],[Materièl]],$N$5:$N$92)</f>
        <v>271</v>
      </c>
      <c r="E2" s="18">
        <v>31690</v>
      </c>
      <c r="F2" s="22"/>
      <c r="G2" s="22">
        <f>Tableau2[[#This Row],[km final]]-Tableau2[[#This Row],[km depart]]</f>
        <v>-31690</v>
      </c>
      <c r="H2" s="61">
        <f>Tableau2[[#This Row],[Gasoil]]/(Tableau2[[#This Row],[distace ]]*0.01)</f>
        <v>-0.85515935626380557</v>
      </c>
    </row>
    <row r="3" spans="1:19" x14ac:dyDescent="0.25">
      <c r="B3" s="29"/>
      <c r="C3" s="18" t="s">
        <v>76</v>
      </c>
      <c r="D3" s="18">
        <f>+SUMIF($M$5:$M$92,Tableau2[[#This Row],[Materièl]],$N$5:$N$92)</f>
        <v>237</v>
      </c>
      <c r="E3" s="18">
        <v>150630</v>
      </c>
      <c r="F3" s="24"/>
      <c r="G3" s="24">
        <f>Tableau2[[#This Row],[km final]]-Tableau2[[#This Row],[km depart]]</f>
        <v>-150630</v>
      </c>
      <c r="H3" s="62">
        <f>Tableau2[[#This Row],[Gasoil]]/(Tableau2[[#This Row],[distace ]]*0.01)</f>
        <v>-0.15733917546305518</v>
      </c>
      <c r="J3">
        <f>SUBTOTAL(9,Tableau2[km depart])</f>
        <v>1764613</v>
      </c>
    </row>
    <row r="4" spans="1:19" x14ac:dyDescent="0.25">
      <c r="B4" s="18"/>
      <c r="C4" s="18" t="s">
        <v>75</v>
      </c>
      <c r="D4" s="18">
        <f>+SUMIF($M$5:$M$92,Tableau2[[#This Row],[Materièl]],$N$5:$N$92)</f>
        <v>347</v>
      </c>
      <c r="E4" s="18">
        <v>83130</v>
      </c>
      <c r="F4" s="22">
        <v>88269</v>
      </c>
      <c r="G4" s="22">
        <f>Tableau2[[#This Row],[km final]]-Tableau2[[#This Row],[km depart]]</f>
        <v>5139</v>
      </c>
      <c r="H4" s="61">
        <f>Tableau2[[#This Row],[Gasoil]]/(Tableau2[[#This Row],[distace ]]*0.01)</f>
        <v>6.7522864370500093</v>
      </c>
    </row>
    <row r="5" spans="1:19" x14ac:dyDescent="0.25">
      <c r="B5" s="29"/>
      <c r="C5" s="18" t="s">
        <v>74</v>
      </c>
      <c r="D5" s="18">
        <f>+SUMIF($M$5:$M$92,Tableau2[[#This Row],[Materièl]],$N$5:$N$92)</f>
        <v>50.620000000000005</v>
      </c>
      <c r="E5" s="18"/>
      <c r="F5" s="24">
        <v>22040</v>
      </c>
      <c r="G5" s="24">
        <f>Tableau2[[#This Row],[km final]]-Tableau2[[#This Row],[km depart]]</f>
        <v>22040</v>
      </c>
      <c r="H5" s="62">
        <f>Tableau2[[#This Row],[Gasoil]]/(Tableau2[[#This Row],[distace ]]*0.01)</f>
        <v>0.22967332123411979</v>
      </c>
      <c r="M5" t="s">
        <v>165</v>
      </c>
      <c r="N5">
        <v>282</v>
      </c>
    </row>
    <row r="6" spans="1:19" x14ac:dyDescent="0.25">
      <c r="B6" s="18"/>
      <c r="C6" s="18" t="s">
        <v>71</v>
      </c>
      <c r="D6" s="18">
        <f>+SUMIF($M$5:$M$92,Tableau2[[#This Row],[Materièl]],$N$5:$N$92)</f>
        <v>428</v>
      </c>
      <c r="E6" s="18">
        <v>142863</v>
      </c>
      <c r="F6" s="22">
        <v>149146</v>
      </c>
      <c r="G6" s="22">
        <f>Tableau2[[#This Row],[km final]]-Tableau2[[#This Row],[km depart]]</f>
        <v>6283</v>
      </c>
      <c r="H6" s="61">
        <f>Tableau2[[#This Row],[Gasoil]]/(Tableau2[[#This Row],[distace ]]*0.01)</f>
        <v>6.8120324685659721</v>
      </c>
      <c r="M6" t="s">
        <v>132</v>
      </c>
      <c r="N6">
        <v>72</v>
      </c>
    </row>
    <row r="7" spans="1:19" x14ac:dyDescent="0.25">
      <c r="B7" s="18"/>
      <c r="C7" s="18" t="s">
        <v>70</v>
      </c>
      <c r="D7" s="18">
        <f>+SUMIF($M$5:$M$92,Tableau2[[#This Row],[Materièl]],$N$5:$N$92)</f>
        <v>309</v>
      </c>
      <c r="E7" s="18">
        <v>159046</v>
      </c>
      <c r="F7" s="22"/>
      <c r="G7" s="22">
        <f>Tableau2[[#This Row],[km final]]-Tableau2[[#This Row],[km depart]]</f>
        <v>-159046</v>
      </c>
      <c r="H7" s="61">
        <f>Tableau2[[#This Row],[Gasoil]]/(Tableau2[[#This Row],[distace ]]*0.01)</f>
        <v>-0.19428341486110937</v>
      </c>
      <c r="M7" t="s">
        <v>78</v>
      </c>
      <c r="N7">
        <v>271</v>
      </c>
    </row>
    <row r="8" spans="1:19" x14ac:dyDescent="0.25">
      <c r="B8" s="18"/>
      <c r="C8" s="18" t="s">
        <v>70</v>
      </c>
      <c r="D8" s="18">
        <f>+SUMIF($M$5:$M$92,Tableau2[[#This Row],[Materièl]],$N$5:$N$92)</f>
        <v>309</v>
      </c>
      <c r="E8" s="18">
        <v>159046</v>
      </c>
      <c r="F8" s="22">
        <v>165107</v>
      </c>
      <c r="G8" s="22">
        <f>Tableau2[[#This Row],[km final]]-Tableau2[[#This Row],[km depart]]</f>
        <v>6061</v>
      </c>
      <c r="H8" s="61">
        <f>Tableau2[[#This Row],[Gasoil]]/(Tableau2[[#This Row],[distace ]]*0.01)</f>
        <v>5.0981686190397628</v>
      </c>
      <c r="M8" t="s">
        <v>77</v>
      </c>
      <c r="N8">
        <v>79</v>
      </c>
    </row>
    <row r="9" spans="1:19" x14ac:dyDescent="0.25">
      <c r="B9" s="29"/>
      <c r="C9" s="18" t="s">
        <v>57</v>
      </c>
      <c r="D9" s="18">
        <f>+SUMIF($M$5:$M$92,Tableau2[[#This Row],[Materièl]],$N$5:$N$92)</f>
        <v>4368</v>
      </c>
      <c r="E9" s="18">
        <v>347240</v>
      </c>
      <c r="F9" s="24"/>
      <c r="G9" s="24">
        <f>Tableau2[[#This Row],[km final]]-Tableau2[[#This Row],[km depart]]</f>
        <v>-347240</v>
      </c>
      <c r="H9" s="62">
        <f>Tableau2[[#This Row],[Gasoil]]/(Tableau2[[#This Row],[distace ]]*0.01)</f>
        <v>-1.2579195945167607</v>
      </c>
      <c r="M9" t="s">
        <v>76</v>
      </c>
      <c r="N9">
        <v>237</v>
      </c>
    </row>
    <row r="10" spans="1:19" x14ac:dyDescent="0.25">
      <c r="B10" s="29"/>
      <c r="C10" s="18" t="s">
        <v>56</v>
      </c>
      <c r="D10" s="18">
        <f>+SUMIF($M$5:$M$92,Tableau2[[#This Row],[Materièl]],$N$5:$N$92)</f>
        <v>3413</v>
      </c>
      <c r="E10" s="18"/>
      <c r="F10" s="24"/>
      <c r="G10" s="24">
        <f>Tableau2[[#This Row],[km final]]-Tableau2[[#This Row],[km depart]]</f>
        <v>0</v>
      </c>
      <c r="H10" s="62" t="e">
        <f>Tableau2[[#This Row],[Gasoil]]/(Tableau2[[#This Row],[distace ]]*0.01)</f>
        <v>#DIV/0!</v>
      </c>
      <c r="M10" t="s">
        <v>75</v>
      </c>
      <c r="N10">
        <v>347</v>
      </c>
    </row>
    <row r="11" spans="1:19" x14ac:dyDescent="0.25">
      <c r="B11" s="29"/>
      <c r="C11" s="18" t="s">
        <v>54</v>
      </c>
      <c r="D11" s="18">
        <f>+SUMIF($M$5:$M$92,Tableau2[[#This Row],[Materièl]],$N$5:$N$92)</f>
        <v>1588</v>
      </c>
      <c r="E11" s="18">
        <v>418252</v>
      </c>
      <c r="F11" s="24">
        <v>420060</v>
      </c>
      <c r="G11" s="24">
        <f>Tableau2[[#This Row],[km final]]-Tableau2[[#This Row],[km depart]]</f>
        <v>1808</v>
      </c>
      <c r="H11" s="62">
        <f>Tableau2[[#This Row],[Gasoil]]/(Tableau2[[#This Row],[distace ]]*0.01)</f>
        <v>87.831858407079636</v>
      </c>
      <c r="M11" t="s">
        <v>74</v>
      </c>
      <c r="N11">
        <v>50.620000000000005</v>
      </c>
    </row>
    <row r="12" spans="1:19" x14ac:dyDescent="0.25">
      <c r="B12" s="29"/>
      <c r="C12" s="18" t="s">
        <v>49</v>
      </c>
      <c r="D12" s="18">
        <f>+SUMIF($M$5:$M$92,Tableau2[[#This Row],[Materièl]],$N$5:$N$92)</f>
        <v>736.3</v>
      </c>
      <c r="E12" s="18">
        <v>93718</v>
      </c>
      <c r="F12" s="24"/>
      <c r="G12" s="24">
        <f>Tableau2[[#This Row],[km final]]-Tableau2[[#This Row],[km depart]]</f>
        <v>-93718</v>
      </c>
      <c r="H12" s="62">
        <f>Tableau2[[#This Row],[Gasoil]]/(Tableau2[[#This Row],[distace ]]*0.01)</f>
        <v>-0.78565483685097837</v>
      </c>
      <c r="M12" t="s">
        <v>73</v>
      </c>
      <c r="N12">
        <v>394</v>
      </c>
      <c r="R12" t="s">
        <v>78</v>
      </c>
      <c r="S12" s="23">
        <v>-0.85515935626380557</v>
      </c>
    </row>
    <row r="13" spans="1:19" x14ac:dyDescent="0.25">
      <c r="B13" s="29"/>
      <c r="C13" s="18" t="s">
        <v>48</v>
      </c>
      <c r="D13" s="18">
        <f>+SUMIF($M$5:$M$92,Tableau2[[#This Row],[Materièl]],$N$5:$N$92)</f>
        <v>907</v>
      </c>
      <c r="E13" s="18">
        <v>178998</v>
      </c>
      <c r="F13" s="24">
        <v>180576</v>
      </c>
      <c r="G13" s="24">
        <f>Tableau2[[#This Row],[km final]]-Tableau2[[#This Row],[km depart]]</f>
        <v>1578</v>
      </c>
      <c r="H13" s="62">
        <f>Tableau2[[#This Row],[Gasoil]]/(Tableau2[[#This Row],[distace ]]*0.01)</f>
        <v>57.477820025348535</v>
      </c>
      <c r="M13" t="s">
        <v>72</v>
      </c>
      <c r="N13">
        <v>267.12</v>
      </c>
      <c r="R13" t="s">
        <v>76</v>
      </c>
      <c r="S13" s="23">
        <v>-0.15733917546305518</v>
      </c>
    </row>
    <row r="14" spans="1:19" x14ac:dyDescent="0.25">
      <c r="B14" s="29"/>
      <c r="C14" s="18"/>
      <c r="D14" s="18">
        <f>+SUMIF($M$5:$M$92,Tableau2[[#This Row],[Materièl]],$N$5:$N$92)</f>
        <v>0</v>
      </c>
      <c r="E14" s="18"/>
      <c r="F14" s="24"/>
      <c r="G14" s="24">
        <f>Tableau2[[#This Row],[km final]]-Tableau2[[#This Row],[km depart]]</f>
        <v>0</v>
      </c>
      <c r="H14" s="62" t="e">
        <f>Tableau2[[#This Row],[Gasoil]]/(Tableau2[[#This Row],[distace ]]*0.01)</f>
        <v>#DIV/0!</v>
      </c>
      <c r="M14" t="s">
        <v>71</v>
      </c>
      <c r="N14">
        <v>428</v>
      </c>
      <c r="R14" t="s">
        <v>75</v>
      </c>
      <c r="S14" s="23">
        <v>6.7522864370500093</v>
      </c>
    </row>
    <row r="15" spans="1:19" x14ac:dyDescent="0.25">
      <c r="B15" s="29"/>
      <c r="C15" s="18"/>
      <c r="D15" s="18">
        <f>+SUMIF($M$5:$M$92,Tableau2[[#This Row],[Materièl]],$N$5:$N$92)</f>
        <v>0</v>
      </c>
      <c r="E15" s="18"/>
      <c r="F15" s="24"/>
      <c r="G15" s="24">
        <f>Tableau2[[#This Row],[km final]]-Tableau2[[#This Row],[km depart]]</f>
        <v>0</v>
      </c>
      <c r="H15" s="62" t="e">
        <f>Tableau2[[#This Row],[Gasoil]]/(Tableau2[[#This Row],[distace ]]*0.01)</f>
        <v>#DIV/0!</v>
      </c>
      <c r="M15" t="s">
        <v>70</v>
      </c>
      <c r="N15">
        <v>309</v>
      </c>
      <c r="R15" t="s">
        <v>74</v>
      </c>
      <c r="S15" s="23">
        <v>0.22967332123411979</v>
      </c>
    </row>
    <row r="16" spans="1:19" x14ac:dyDescent="0.25">
      <c r="B16" s="29"/>
      <c r="C16" s="18"/>
      <c r="D16" s="18">
        <f>+SUMIF($M$5:$M$92,Tableau2[[#This Row],[Materièl]],$N$5:$N$92)</f>
        <v>0</v>
      </c>
      <c r="E16" s="18"/>
      <c r="F16" s="24"/>
      <c r="G16" s="24">
        <f>Tableau2[[#This Row],[km final]]-Tableau2[[#This Row],[km depart]]</f>
        <v>0</v>
      </c>
      <c r="H16" s="62" t="e">
        <f>Tableau2[[#This Row],[Gasoil]]/(Tableau2[[#This Row],[distace ]]*0.01)</f>
        <v>#DIV/0!</v>
      </c>
      <c r="M16" t="s">
        <v>69</v>
      </c>
      <c r="N16">
        <v>267.94</v>
      </c>
      <c r="R16" t="s">
        <v>71</v>
      </c>
      <c r="S16" s="23">
        <v>6.8120324685659721</v>
      </c>
    </row>
    <row r="17" spans="2:19" x14ac:dyDescent="0.25">
      <c r="B17" s="29"/>
      <c r="C17" s="18"/>
      <c r="D17" s="18">
        <f>+SUMIF($M$5:$M$92,Tableau2[[#This Row],[Materièl]],$N$5:$N$92)</f>
        <v>0</v>
      </c>
      <c r="E17" s="18"/>
      <c r="F17" s="24"/>
      <c r="G17" s="24">
        <f>Tableau2[[#This Row],[km final]]-Tableau2[[#This Row],[km depart]]</f>
        <v>0</v>
      </c>
      <c r="H17" s="62" t="e">
        <f>Tableau2[[#This Row],[Gasoil]]/(Tableau2[[#This Row],[distace ]]*0.01)</f>
        <v>#DIV/0!</v>
      </c>
      <c r="M17" t="s">
        <v>67</v>
      </c>
      <c r="N17">
        <v>105</v>
      </c>
      <c r="R17" t="s">
        <v>70</v>
      </c>
      <c r="S17" s="23">
        <v>-0.19428341486110937</v>
      </c>
    </row>
    <row r="18" spans="2:19" x14ac:dyDescent="0.25">
      <c r="B18" s="29"/>
      <c r="C18" s="18"/>
      <c r="D18" s="18">
        <f>+SUMIF($M$5:$M$92,Tableau2[[#This Row],[Materièl]],$N$5:$N$92)</f>
        <v>0</v>
      </c>
      <c r="E18" s="18"/>
      <c r="F18" s="24"/>
      <c r="G18" s="24">
        <f>Tableau2[[#This Row],[km final]]-Tableau2[[#This Row],[km depart]]</f>
        <v>0</v>
      </c>
      <c r="H18" s="62" t="e">
        <f>Tableau2[[#This Row],[Gasoil]]/(Tableau2[[#This Row],[distace ]]*0.01)</f>
        <v>#DIV/0!</v>
      </c>
      <c r="M18" t="s">
        <v>66</v>
      </c>
      <c r="N18">
        <v>0</v>
      </c>
      <c r="R18" t="s">
        <v>70</v>
      </c>
      <c r="S18" s="23">
        <v>5.0981686190397628</v>
      </c>
    </row>
    <row r="19" spans="2:19" x14ac:dyDescent="0.25">
      <c r="B19" s="29"/>
      <c r="C19" s="18"/>
      <c r="D19" s="18">
        <f>+SUMIF($M$5:$M$92,Tableau2[[#This Row],[Materièl]],$N$5:$N$92)</f>
        <v>0</v>
      </c>
      <c r="E19" s="18"/>
      <c r="F19" s="24"/>
      <c r="G19" s="24">
        <f>Tableau2[[#This Row],[km final]]-Tableau2[[#This Row],[km depart]]</f>
        <v>0</v>
      </c>
      <c r="H19" s="62" t="e">
        <f>Tableau2[[#This Row],[Gasoil]]/(Tableau2[[#This Row],[distace ]]*0.01)</f>
        <v>#DIV/0!</v>
      </c>
      <c r="M19" t="s">
        <v>65</v>
      </c>
      <c r="N19">
        <v>107</v>
      </c>
      <c r="R19" t="s">
        <v>57</v>
      </c>
      <c r="S19" s="23">
        <v>-1.2579195945167607</v>
      </c>
    </row>
    <row r="20" spans="2:19" x14ac:dyDescent="0.25">
      <c r="B20" s="18"/>
      <c r="C20" s="18"/>
      <c r="D20" s="18">
        <f>+SUMIF($M$5:$M$92,Tableau2[[#This Row],[Materièl]],$N$5:$N$92)</f>
        <v>0</v>
      </c>
      <c r="E20" s="18"/>
      <c r="F20" s="22"/>
      <c r="G20" s="22">
        <f>Tableau2[[#This Row],[km final]]-Tableau2[[#This Row],[km depart]]</f>
        <v>0</v>
      </c>
      <c r="H20" s="61" t="e">
        <f>Tableau2[[#This Row],[Gasoil]]/(Tableau2[[#This Row],[distace ]]*0.01)</f>
        <v>#DIV/0!</v>
      </c>
      <c r="M20" t="s">
        <v>64</v>
      </c>
      <c r="N20">
        <v>196</v>
      </c>
      <c r="R20" t="s">
        <v>56</v>
      </c>
      <c r="S20" s="23" t="e">
        <v>#DIV/0!</v>
      </c>
    </row>
    <row r="21" spans="2:19" x14ac:dyDescent="0.25">
      <c r="B21" s="18"/>
      <c r="C21" s="18"/>
      <c r="D21" s="18">
        <f>+SUMIF($M$5:$M$92,Tableau2[[#This Row],[Materièl]],$N$5:$N$92)</f>
        <v>0</v>
      </c>
      <c r="E21" s="18"/>
      <c r="F21" s="22"/>
      <c r="G21" s="22">
        <f>Tableau2[[#This Row],[km final]]-Tableau2[[#This Row],[km depart]]</f>
        <v>0</v>
      </c>
      <c r="H21" s="61" t="e">
        <f>Tableau2[[#This Row],[Gasoil]]/(Tableau2[[#This Row],[distace ]]*0.01)</f>
        <v>#DIV/0!</v>
      </c>
      <c r="M21" t="s">
        <v>105</v>
      </c>
      <c r="N21">
        <v>365</v>
      </c>
      <c r="R21" t="s">
        <v>54</v>
      </c>
      <c r="S21" s="23">
        <v>87.831858407079636</v>
      </c>
    </row>
    <row r="22" spans="2:19" x14ac:dyDescent="0.25">
      <c r="B22" s="18"/>
      <c r="C22" s="18"/>
      <c r="D22" s="18">
        <f>+SUMIF($M$5:$M$92,Tableau2[[#This Row],[Materièl]],$N$5:$N$92)</f>
        <v>0</v>
      </c>
      <c r="E22" s="18"/>
      <c r="F22" s="22"/>
      <c r="G22" s="22">
        <f>Tableau2[[#This Row],[km final]]-Tableau2[[#This Row],[km depart]]</f>
        <v>0</v>
      </c>
      <c r="H22" s="61" t="e">
        <f>Tableau2[[#This Row],[Gasoil]]/(Tableau2[[#This Row],[distace ]]*0.01)</f>
        <v>#DIV/0!</v>
      </c>
      <c r="M22" t="s">
        <v>63</v>
      </c>
      <c r="N22">
        <v>327</v>
      </c>
      <c r="R22" t="s">
        <v>49</v>
      </c>
      <c r="S22" s="23">
        <v>-0.78565483685097837</v>
      </c>
    </row>
    <row r="23" spans="2:19" x14ac:dyDescent="0.25">
      <c r="B23" s="18"/>
      <c r="C23" s="18"/>
      <c r="D23" s="18">
        <f>+SUMIF($M$5:$M$92,Tableau2[[#This Row],[Materièl]],$N$5:$N$92)</f>
        <v>0</v>
      </c>
      <c r="E23" s="18"/>
      <c r="F23" s="22"/>
      <c r="G23" s="22">
        <f>Tableau2[[#This Row],[km final]]-Tableau2[[#This Row],[km depart]]</f>
        <v>0</v>
      </c>
      <c r="H23" s="61" t="e">
        <f>Tableau2[[#This Row],[Gasoil]]/(Tableau2[[#This Row],[distace ]]*0.01)</f>
        <v>#DIV/0!</v>
      </c>
      <c r="M23" t="s">
        <v>35</v>
      </c>
      <c r="N23">
        <v>328</v>
      </c>
      <c r="R23" t="s">
        <v>48</v>
      </c>
      <c r="S23" s="23">
        <v>57.477820025348535</v>
      </c>
    </row>
    <row r="24" spans="2:19" x14ac:dyDescent="0.25">
      <c r="B24" s="29"/>
      <c r="C24" s="18"/>
      <c r="D24" s="18">
        <f>+SUMIF($M$5:$M$92,Tableau2[[#This Row],[Materièl]],$N$5:$N$92)</f>
        <v>0</v>
      </c>
      <c r="E24" s="18"/>
      <c r="F24" s="24"/>
      <c r="G24" s="24">
        <f>Tableau2[[#This Row],[km final]]-Tableau2[[#This Row],[km depart]]</f>
        <v>0</v>
      </c>
      <c r="H24" s="62" t="e">
        <f>Tableau2[[#This Row],[Gasoil]]/(Tableau2[[#This Row],[distace ]]*0.01)</f>
        <v>#DIV/0!</v>
      </c>
      <c r="M24" t="s">
        <v>34</v>
      </c>
      <c r="N24">
        <v>522.24</v>
      </c>
    </row>
    <row r="25" spans="2:19" x14ac:dyDescent="0.25">
      <c r="B25" s="18"/>
      <c r="C25" s="18"/>
      <c r="D25" s="18">
        <f>+SUMIF($M$5:$M$92,Tableau2[[#This Row],[Materièl]],$N$5:$N$92)</f>
        <v>0</v>
      </c>
      <c r="E25" s="18"/>
      <c r="F25" s="22"/>
      <c r="G25" s="22">
        <f>Tableau2[[#This Row],[km final]]-Tableau2[[#This Row],[km depart]]</f>
        <v>0</v>
      </c>
      <c r="H25" s="61" t="e">
        <f>Tableau2[[#This Row],[Gasoil]]/(Tableau2[[#This Row],[distace ]]*0.01)</f>
        <v>#DIV/0!</v>
      </c>
      <c r="M25" t="s">
        <v>33</v>
      </c>
      <c r="N25">
        <v>471</v>
      </c>
    </row>
    <row r="26" spans="2:19" x14ac:dyDescent="0.25">
      <c r="B26" s="18"/>
      <c r="C26" s="18"/>
      <c r="D26" s="18">
        <f>+SUMIF($M$5:$M$92,Tableau2[[#This Row],[Materièl]],$N$5:$N$92)</f>
        <v>0</v>
      </c>
      <c r="E26" s="18"/>
      <c r="F26" s="22"/>
      <c r="G26" s="22">
        <f>Tableau2[[#This Row],[km final]]-Tableau2[[#This Row],[km depart]]</f>
        <v>0</v>
      </c>
      <c r="H26" s="61" t="e">
        <f>Tableau2[[#This Row],[Gasoil]]/(Tableau2[[#This Row],[distace ]]*0.01)</f>
        <v>#DIV/0!</v>
      </c>
      <c r="M26" t="s">
        <v>61</v>
      </c>
      <c r="N26">
        <v>362</v>
      </c>
    </row>
    <row r="27" spans="2:19" x14ac:dyDescent="0.25">
      <c r="B27" s="18"/>
      <c r="C27" s="18"/>
      <c r="D27" s="18">
        <f>+SUMIF($M$5:$M$92,Tableau2[[#This Row],[Materièl]],$N$5:$N$92)</f>
        <v>0</v>
      </c>
      <c r="E27" s="18"/>
      <c r="F27" s="22"/>
      <c r="G27" s="22">
        <f>Tableau2[[#This Row],[km final]]-Tableau2[[#This Row],[km depart]]</f>
        <v>0</v>
      </c>
      <c r="H27" s="61" t="e">
        <f>Tableau2[[#This Row],[Gasoil]]/(Tableau2[[#This Row],[distace ]]*0.01)</f>
        <v>#DIV/0!</v>
      </c>
      <c r="M27" t="s">
        <v>60</v>
      </c>
      <c r="N27">
        <v>446</v>
      </c>
    </row>
    <row r="28" spans="2:19" x14ac:dyDescent="0.25">
      <c r="B28" s="18"/>
      <c r="C28" s="18"/>
      <c r="D28" s="18">
        <f>+SUMIF($M$5:$M$92,Tableau2[[#This Row],[Materièl]],$N$5:$N$92)</f>
        <v>0</v>
      </c>
      <c r="E28" s="18"/>
      <c r="F28" s="22"/>
      <c r="G28" s="22">
        <f>Tableau2[[#This Row],[km final]]-Tableau2[[#This Row],[km depart]]</f>
        <v>0</v>
      </c>
      <c r="H28" s="61" t="e">
        <f>Tableau2[[#This Row],[Gasoil]]/(Tableau2[[#This Row],[distace ]]*0.01)</f>
        <v>#DIV/0!</v>
      </c>
      <c r="M28" t="s">
        <v>59</v>
      </c>
      <c r="N28">
        <v>205.7</v>
      </c>
    </row>
    <row r="29" spans="2:19" x14ac:dyDescent="0.25">
      <c r="B29" s="18"/>
      <c r="C29" s="18"/>
      <c r="D29" s="18">
        <f>+SUMIF($M$5:$M$92,Tableau2[[#This Row],[Materièl]],$N$5:$N$92)</f>
        <v>0</v>
      </c>
      <c r="E29" s="18"/>
      <c r="F29" s="22"/>
      <c r="G29" s="22">
        <f>Tableau2[[#This Row],[km final]]-Tableau2[[#This Row],[km depart]]</f>
        <v>0</v>
      </c>
      <c r="H29" s="61" t="e">
        <f>Tableau2[[#This Row],[Gasoil]]/(Tableau2[[#This Row],[distace ]]*0.01)</f>
        <v>#DIV/0!</v>
      </c>
      <c r="M29" t="s">
        <v>58</v>
      </c>
      <c r="N29">
        <v>494</v>
      </c>
    </row>
    <row r="30" spans="2:19" x14ac:dyDescent="0.25">
      <c r="B30" s="18"/>
      <c r="C30" s="18"/>
      <c r="D30" s="18">
        <f>+SUMIF($M$5:$M$92,Tableau2[[#This Row],[Materièl]],$N$5:$N$92)</f>
        <v>0</v>
      </c>
      <c r="E30" s="18"/>
      <c r="F30" s="22"/>
      <c r="G30" s="22">
        <f>Tableau2[[#This Row],[km final]]-Tableau2[[#This Row],[km depart]]</f>
        <v>0</v>
      </c>
      <c r="H30" s="61" t="e">
        <f>Tableau2[[#This Row],[Gasoil]]/(Tableau2[[#This Row],[distace ]]*0.01)</f>
        <v>#DIV/0!</v>
      </c>
      <c r="M30" t="s">
        <v>122</v>
      </c>
      <c r="N30">
        <v>542</v>
      </c>
    </row>
    <row r="31" spans="2:19" x14ac:dyDescent="0.25">
      <c r="B31" s="18"/>
      <c r="C31" s="18"/>
      <c r="D31" s="18">
        <f>+SUMIF($M$5:$M$92,Tableau2[[#This Row],[Materièl]],$N$5:$N$92)</f>
        <v>0</v>
      </c>
      <c r="E31" s="18"/>
      <c r="F31" s="22"/>
      <c r="G31" s="22">
        <f>Tableau2[[#This Row],[km final]]-Tableau2[[#This Row],[km depart]]</f>
        <v>0</v>
      </c>
      <c r="H31" s="61" t="e">
        <f>Tableau2[[#This Row],[Gasoil]]/(Tableau2[[#This Row],[distace ]]*0.01)</f>
        <v>#DIV/0!</v>
      </c>
      <c r="M31" t="s">
        <v>129</v>
      </c>
      <c r="N31">
        <v>3763</v>
      </c>
    </row>
    <row r="32" spans="2:19" x14ac:dyDescent="0.25">
      <c r="B32" s="18"/>
      <c r="C32" s="18"/>
      <c r="D32" s="18">
        <f>+SUMIF($M$5:$M$92,Tableau2[[#This Row],[Materièl]],$N$5:$N$92)</f>
        <v>0</v>
      </c>
      <c r="E32" s="18"/>
      <c r="F32" s="22"/>
      <c r="G32" s="22">
        <f>Tableau2[[#This Row],[km final]]-Tableau2[[#This Row],[km depart]]</f>
        <v>0</v>
      </c>
      <c r="H32" s="61" t="e">
        <f>Tableau2[[#This Row],[Gasoil]]/(Tableau2[[#This Row],[distace ]]*0.01)</f>
        <v>#DIV/0!</v>
      </c>
      <c r="M32" t="s">
        <v>127</v>
      </c>
      <c r="N32">
        <v>3077</v>
      </c>
    </row>
    <row r="33" spans="2:14" x14ac:dyDescent="0.25">
      <c r="B33" s="18"/>
      <c r="C33" s="18"/>
      <c r="D33" s="18">
        <f>+SUMIF($M$5:$M$92,Tableau2[[#This Row],[Materièl]],$N$5:$N$92)</f>
        <v>0</v>
      </c>
      <c r="E33" s="18"/>
      <c r="F33" s="22"/>
      <c r="G33" s="22">
        <f>Tableau2[[#This Row],[km final]]-Tableau2[[#This Row],[km depart]]</f>
        <v>0</v>
      </c>
      <c r="H33" s="61" t="e">
        <f>Tableau2[[#This Row],[Gasoil]]/(Tableau2[[#This Row],[distace ]]*0.01)</f>
        <v>#DIV/0!</v>
      </c>
      <c r="M33" t="s">
        <v>128</v>
      </c>
      <c r="N33">
        <v>2794</v>
      </c>
    </row>
    <row r="34" spans="2:14" x14ac:dyDescent="0.25">
      <c r="B34" s="18"/>
      <c r="C34" s="18"/>
      <c r="D34" s="18">
        <f>+SUMIF($M$5:$M$92,Tableau2[[#This Row],[Materièl]],$N$5:$N$92)</f>
        <v>0</v>
      </c>
      <c r="E34" s="18"/>
      <c r="F34" s="22"/>
      <c r="G34" s="22">
        <f>Tableau2[[#This Row],[km final]]-Tableau2[[#This Row],[km depart]]</f>
        <v>0</v>
      </c>
      <c r="H34" s="61" t="e">
        <f>Tableau2[[#This Row],[Gasoil]]/(Tableau2[[#This Row],[distace ]]*0.01)</f>
        <v>#DIV/0!</v>
      </c>
      <c r="M34" t="s">
        <v>123</v>
      </c>
      <c r="N34">
        <v>1534</v>
      </c>
    </row>
    <row r="35" spans="2:14" x14ac:dyDescent="0.25">
      <c r="B35" s="18"/>
      <c r="C35" s="18"/>
      <c r="D35" s="18">
        <f>+SUMIF($M$5:$M$92,Tableau2[[#This Row],[Materièl]],$N$5:$N$92)</f>
        <v>0</v>
      </c>
      <c r="E35" s="18"/>
      <c r="F35" s="22"/>
      <c r="G35" s="22">
        <f>Tableau2[[#This Row],[km final]]-Tableau2[[#This Row],[km depart]]</f>
        <v>0</v>
      </c>
      <c r="H35" s="61" t="e">
        <f>Tableau2[[#This Row],[Gasoil]]/(Tableau2[[#This Row],[distace ]]*0.01)</f>
        <v>#DIV/0!</v>
      </c>
      <c r="M35" t="s">
        <v>137</v>
      </c>
      <c r="N35">
        <v>1375</v>
      </c>
    </row>
    <row r="36" spans="2:14" x14ac:dyDescent="0.25">
      <c r="B36" s="18"/>
      <c r="C36" s="18"/>
      <c r="D36" s="18">
        <f>+SUMIF($M$5:$M$92,Tableau2[[#This Row],[Materièl]],$N$5:$N$92)</f>
        <v>0</v>
      </c>
      <c r="E36" s="18"/>
      <c r="F36" s="22"/>
      <c r="G36" s="22">
        <f>Tableau2[[#This Row],[km final]]-Tableau2[[#This Row],[km depart]]</f>
        <v>0</v>
      </c>
      <c r="H36" s="61" t="e">
        <f>Tableau2[[#This Row],[Gasoil]]/(Tableau2[[#This Row],[distace ]]*0.01)</f>
        <v>#DIV/0!</v>
      </c>
      <c r="M36" t="s">
        <v>130</v>
      </c>
      <c r="N36">
        <v>3522</v>
      </c>
    </row>
    <row r="37" spans="2:14" x14ac:dyDescent="0.25">
      <c r="B37" s="18"/>
      <c r="C37" s="18"/>
      <c r="D37" s="18">
        <f>+SUMIF($M$5:$M$92,Tableau2[[#This Row],[Materièl]],$N$5:$N$92)</f>
        <v>0</v>
      </c>
      <c r="E37" s="18"/>
      <c r="F37" s="22"/>
      <c r="G37" s="22">
        <f>Tableau2[[#This Row],[km final]]-Tableau2[[#This Row],[km depart]]</f>
        <v>0</v>
      </c>
      <c r="H37" s="61" t="e">
        <f>Tableau2[[#This Row],[Gasoil]]/(Tableau2[[#This Row],[distace ]]*0.01)</f>
        <v>#DIV/0!</v>
      </c>
      <c r="M37" t="s">
        <v>27</v>
      </c>
      <c r="N37">
        <v>0</v>
      </c>
    </row>
    <row r="38" spans="2:14" x14ac:dyDescent="0.25">
      <c r="B38" s="18"/>
      <c r="C38" s="18"/>
      <c r="D38" s="18">
        <f>+SUMIF($M$5:$M$92,Tableau2[[#This Row],[Materièl]],$N$5:$N$92)</f>
        <v>0</v>
      </c>
      <c r="E38" s="18"/>
      <c r="F38" s="22"/>
      <c r="G38" s="22">
        <f>Tableau2[[#This Row],[km final]]-Tableau2[[#This Row],[km depart]]</f>
        <v>0</v>
      </c>
      <c r="H38" s="61" t="e">
        <f>Tableau2[[#This Row],[Gasoil]]/(Tableau2[[#This Row],[distace ]]*0.01)</f>
        <v>#DIV/0!</v>
      </c>
      <c r="M38" t="s">
        <v>26</v>
      </c>
      <c r="N38">
        <v>5185</v>
      </c>
    </row>
    <row r="39" spans="2:14" x14ac:dyDescent="0.25">
      <c r="B39" s="18"/>
      <c r="C39" s="18"/>
      <c r="D39" s="18">
        <f>+SUMIF($M$5:$M$92,Tableau2[[#This Row],[Materièl]],$N$5:$N$92)</f>
        <v>0</v>
      </c>
      <c r="E39" s="18"/>
      <c r="F39" s="22"/>
      <c r="G39" s="22">
        <f>Tableau2[[#This Row],[km final]]-Tableau2[[#This Row],[km depart]]</f>
        <v>0</v>
      </c>
      <c r="H39" s="61" t="e">
        <f>Tableau2[[#This Row],[Gasoil]]/(Tableau2[[#This Row],[distace ]]*0.01)</f>
        <v>#DIV/0!</v>
      </c>
      <c r="M39" t="s">
        <v>25</v>
      </c>
      <c r="N39">
        <v>4789</v>
      </c>
    </row>
    <row r="40" spans="2:14" x14ac:dyDescent="0.25">
      <c r="B40" s="29"/>
      <c r="C40" s="18"/>
      <c r="D40" s="18">
        <f>+SUMIF($M$5:$M$92,Tableau2[[#This Row],[Materièl]],$N$5:$N$92)</f>
        <v>0</v>
      </c>
      <c r="E40" s="18"/>
      <c r="F40" s="24"/>
      <c r="G40" s="24">
        <f>Tableau2[[#This Row],[km final]]-Tableau2[[#This Row],[km depart]]</f>
        <v>0</v>
      </c>
      <c r="H40" s="62" t="e">
        <f>Tableau2[[#This Row],[Gasoil]]/(Tableau2[[#This Row],[distace ]]*0.01)</f>
        <v>#DIV/0!</v>
      </c>
      <c r="M40" t="s">
        <v>24</v>
      </c>
      <c r="N40">
        <v>5435</v>
      </c>
    </row>
    <row r="41" spans="2:14" x14ac:dyDescent="0.25">
      <c r="B41" s="2"/>
      <c r="C41" s="18"/>
      <c r="D41" s="18">
        <f>+SUMIF($M$5:$M$92,Tableau2[[#This Row],[Materièl]],$N$5:$N$92)</f>
        <v>0</v>
      </c>
      <c r="E41" s="18"/>
      <c r="F41" s="24"/>
      <c r="G41" s="24">
        <f>Tableau2[[#This Row],[km final]]-Tableau2[[#This Row],[km depart]]</f>
        <v>0</v>
      </c>
      <c r="H41" s="62" t="e">
        <f>Tableau2[[#This Row],[Gasoil]]/(Tableau2[[#This Row],[distace ]]*0.01)</f>
        <v>#DIV/0!</v>
      </c>
      <c r="M41" t="s">
        <v>23</v>
      </c>
      <c r="N41">
        <v>5003</v>
      </c>
    </row>
    <row r="42" spans="2:14" x14ac:dyDescent="0.25">
      <c r="B42" s="29"/>
      <c r="C42" s="18"/>
      <c r="D42" s="18">
        <f>+SUMIF($M$5:$M$92,Tableau2[[#This Row],[Materièl]],$N$5:$N$92)</f>
        <v>0</v>
      </c>
      <c r="E42" s="18"/>
      <c r="F42" s="24"/>
      <c r="G42" s="24">
        <f>Tableau2[[#This Row],[km final]]-Tableau2[[#This Row],[km depart]]</f>
        <v>0</v>
      </c>
      <c r="H42" s="62" t="e">
        <f>Tableau2[[#This Row],[Gasoil]]/(Tableau2[[#This Row],[distace ]]*0.01)</f>
        <v>#DIV/0!</v>
      </c>
      <c r="M42" t="s">
        <v>22</v>
      </c>
      <c r="N42">
        <v>4599</v>
      </c>
    </row>
    <row r="43" spans="2:14" x14ac:dyDescent="0.25">
      <c r="B43" s="2"/>
      <c r="C43" s="18"/>
      <c r="D43" s="18">
        <f>+SUMIF($M$5:$M$92,Tableau2[[#This Row],[Materièl]],$N$5:$N$92)</f>
        <v>0</v>
      </c>
      <c r="E43" s="18"/>
      <c r="F43" s="24"/>
      <c r="G43" s="24">
        <f>Tableau2[[#This Row],[km final]]-Tableau2[[#This Row],[km depart]]</f>
        <v>0</v>
      </c>
      <c r="H43" s="62" t="e">
        <f>Tableau2[[#This Row],[Gasoil]]/(Tableau2[[#This Row],[distace ]]*0.01)</f>
        <v>#DIV/0!</v>
      </c>
      <c r="M43" t="s">
        <v>124</v>
      </c>
      <c r="N43">
        <v>2958</v>
      </c>
    </row>
    <row r="44" spans="2:14" x14ac:dyDescent="0.25">
      <c r="B44" s="29"/>
      <c r="C44" s="18"/>
      <c r="D44" s="18">
        <f>+SUMIF($M$5:$M$92,Tableau2[[#This Row],[Materièl]],$N$5:$N$92)</f>
        <v>0</v>
      </c>
      <c r="E44" s="18"/>
      <c r="F44" s="24"/>
      <c r="G44" s="24">
        <f>Tableau2[[#This Row],[km final]]-Tableau2[[#This Row],[km depart]]</f>
        <v>0</v>
      </c>
      <c r="H44" s="62" t="e">
        <f>Tableau2[[#This Row],[Gasoil]]/(Tableau2[[#This Row],[distace ]]*0.01)</f>
        <v>#DIV/0!</v>
      </c>
      <c r="M44" t="s">
        <v>21</v>
      </c>
      <c r="N44">
        <v>2077</v>
      </c>
    </row>
    <row r="45" spans="2:14" x14ac:dyDescent="0.25">
      <c r="B45" s="18"/>
      <c r="C45" s="18"/>
      <c r="D45" s="18">
        <f>+SUMIF($M$5:$M$92,Tableau2[[#This Row],[Materièl]],$N$5:$N$92)</f>
        <v>0</v>
      </c>
      <c r="E45" s="18"/>
      <c r="F45" s="22"/>
      <c r="G45" s="22">
        <f>Tableau2[[#This Row],[km final]]-Tableau2[[#This Row],[km depart]]</f>
        <v>0</v>
      </c>
      <c r="H45" s="61" t="e">
        <f>Tableau2[[#This Row],[Gasoil]]/(Tableau2[[#This Row],[distace ]]*0.01)</f>
        <v>#DIV/0!</v>
      </c>
      <c r="M45" t="s">
        <v>20</v>
      </c>
      <c r="N45">
        <v>2900</v>
      </c>
    </row>
    <row r="46" spans="2:14" x14ac:dyDescent="0.25">
      <c r="B46" s="18"/>
      <c r="C46" s="18"/>
      <c r="D46" s="18">
        <f>+SUMIF($M$5:$M$92,Tableau2[[#This Row],[Materièl]],$N$5:$N$92)</f>
        <v>0</v>
      </c>
      <c r="E46" s="18"/>
      <c r="F46" s="22"/>
      <c r="G46" s="22">
        <f>Tableau2[[#This Row],[km final]]-Tableau2[[#This Row],[km depart]]</f>
        <v>0</v>
      </c>
      <c r="H46" s="61" t="e">
        <f>Tableau2[[#This Row],[Gasoil]]/(Tableau2[[#This Row],[distace ]]*0.01)</f>
        <v>#DIV/0!</v>
      </c>
      <c r="M46" t="s">
        <v>135</v>
      </c>
      <c r="N46">
        <v>50</v>
      </c>
    </row>
    <row r="47" spans="2:14" x14ac:dyDescent="0.25">
      <c r="B47" s="18"/>
      <c r="C47" s="18"/>
      <c r="D47" s="18">
        <f>+SUMIF($M$5:$M$92,Tableau2[[#This Row],[Materièl]],$N$5:$N$92)</f>
        <v>0</v>
      </c>
      <c r="E47" s="18"/>
      <c r="F47" s="22"/>
      <c r="G47" s="22">
        <f>Tableau2[[#This Row],[km final]]-Tableau2[[#This Row],[km depart]]</f>
        <v>0</v>
      </c>
      <c r="H47" s="61" t="e">
        <f>Tableau2[[#This Row],[Gasoil]]/(Tableau2[[#This Row],[distace ]]*0.01)</f>
        <v>#DIV/0!</v>
      </c>
      <c r="M47" t="s">
        <v>135</v>
      </c>
      <c r="N47">
        <v>50</v>
      </c>
    </row>
    <row r="48" spans="2:14" x14ac:dyDescent="0.25">
      <c r="B48" s="29"/>
      <c r="C48" s="18"/>
      <c r="D48" s="18">
        <f>+SUMIF($M$5:$M$92,Tableau2[[#This Row],[Materièl]],$N$5:$N$92)</f>
        <v>0</v>
      </c>
      <c r="E48" s="18"/>
      <c r="F48" s="24"/>
      <c r="G48" s="24">
        <f>Tableau2[[#This Row],[km final]]-Tableau2[[#This Row],[km depart]]</f>
        <v>0</v>
      </c>
      <c r="H48" s="62" t="e">
        <f>Tableau2[[#This Row],[Gasoil]]/(Tableau2[[#This Row],[distace ]]*0.01)</f>
        <v>#DIV/0!</v>
      </c>
      <c r="M48" t="s">
        <v>121</v>
      </c>
      <c r="N48">
        <v>60</v>
      </c>
    </row>
    <row r="49" spans="2:14" x14ac:dyDescent="0.25">
      <c r="B49" s="2"/>
      <c r="C49" s="2"/>
      <c r="D49" s="29">
        <f>+SUMIF($M$5:$M$92,Tableau2[[#This Row],[Materièl]],$N$5:$N$92)</f>
        <v>0</v>
      </c>
      <c r="E49" s="2"/>
      <c r="F49" s="24"/>
      <c r="G49" s="24">
        <f>Tableau2[[#This Row],[km final]]-Tableau2[[#This Row],[km depart]]</f>
        <v>0</v>
      </c>
      <c r="H49" s="62" t="e">
        <f>Tableau2[[#This Row],[Gasoil]]/(Tableau2[[#This Row],[distace ]]*0.01)</f>
        <v>#DIV/0!</v>
      </c>
      <c r="M49" t="s">
        <v>125</v>
      </c>
      <c r="N49">
        <v>35</v>
      </c>
    </row>
    <row r="50" spans="2:14" x14ac:dyDescent="0.25">
      <c r="B50" s="29"/>
      <c r="C50" s="29"/>
      <c r="D50" s="29">
        <f>+SUMIF($M$5:$M$92,Tableau2[[#This Row],[Materièl]],$N$5:$N$92)</f>
        <v>0</v>
      </c>
      <c r="E50" s="29"/>
      <c r="F50" s="24"/>
      <c r="G50" s="24">
        <f>Tableau2[[#This Row],[km final]]-Tableau2[[#This Row],[km depart]]</f>
        <v>0</v>
      </c>
      <c r="H50" s="62" t="e">
        <f>Tableau2[[#This Row],[Gasoil]]/(Tableau2[[#This Row],[distace ]]*0.01)</f>
        <v>#DIV/0!</v>
      </c>
      <c r="M50" t="s">
        <v>107</v>
      </c>
      <c r="N50">
        <v>43</v>
      </c>
    </row>
    <row r="51" spans="2:14" x14ac:dyDescent="0.25">
      <c r="B51" s="2"/>
      <c r="C51" s="2"/>
      <c r="D51" s="29">
        <f>+SUMIF($M$5:$M$92,Tableau2[[#This Row],[Materièl]],$N$5:$N$92)</f>
        <v>0</v>
      </c>
      <c r="E51" s="2"/>
      <c r="F51" s="24"/>
      <c r="G51" s="24">
        <f>Tableau2[[#This Row],[km final]]-Tableau2[[#This Row],[km depart]]</f>
        <v>0</v>
      </c>
      <c r="H51" s="62" t="e">
        <f>Tableau2[[#This Row],[Gasoil]]/(Tableau2[[#This Row],[distace ]]*0.01)</f>
        <v>#DIV/0!</v>
      </c>
      <c r="M51" t="s">
        <v>102</v>
      </c>
      <c r="N51">
        <v>171</v>
      </c>
    </row>
    <row r="52" spans="2:14" x14ac:dyDescent="0.25">
      <c r="B52" s="29"/>
      <c r="C52" s="29"/>
      <c r="D52" s="29">
        <f>+SUMIF($M$5:$M$92,Tableau2[[#This Row],[Materièl]],$N$5:$N$92)</f>
        <v>0</v>
      </c>
      <c r="E52" s="29"/>
      <c r="F52" s="24"/>
      <c r="G52" s="24">
        <f>Tableau2[[#This Row],[km final]]-Tableau2[[#This Row],[km depart]]</f>
        <v>0</v>
      </c>
      <c r="H52" s="62" t="e">
        <f>Tableau2[[#This Row],[Gasoil]]/(Tableau2[[#This Row],[distace ]]*0.01)</f>
        <v>#DIV/0!</v>
      </c>
      <c r="M52" t="s">
        <v>101</v>
      </c>
      <c r="N52">
        <v>53</v>
      </c>
    </row>
    <row r="53" spans="2:14" x14ac:dyDescent="0.25">
      <c r="B53" s="2"/>
      <c r="C53" s="2"/>
      <c r="D53" s="29">
        <f>+SUMIF($M$5:$M$92,Tableau2[[#This Row],[Materièl]],$N$5:$N$92)</f>
        <v>0</v>
      </c>
      <c r="E53" s="2"/>
      <c r="F53" s="24"/>
      <c r="G53" s="24">
        <f>Tableau2[[#This Row],[km final]]-Tableau2[[#This Row],[km depart]]</f>
        <v>0</v>
      </c>
      <c r="H53" s="62" t="e">
        <f>Tableau2[[#This Row],[Gasoil]]/(Tableau2[[#This Row],[distace ]]*0.01)</f>
        <v>#DIV/0!</v>
      </c>
      <c r="M53" t="s">
        <v>99</v>
      </c>
      <c r="N53">
        <v>2569</v>
      </c>
    </row>
    <row r="54" spans="2:14" x14ac:dyDescent="0.25">
      <c r="B54" s="29"/>
      <c r="C54" s="29"/>
      <c r="D54" s="29">
        <f>+SUMIF($M$5:$M$92,Tableau2[[#This Row],[Materièl]],$N$5:$N$92)</f>
        <v>0</v>
      </c>
      <c r="E54" s="29"/>
      <c r="F54" s="24"/>
      <c r="G54" s="24">
        <f>Tableau2[[#This Row],[km final]]-Tableau2[[#This Row],[km depart]]</f>
        <v>0</v>
      </c>
      <c r="H54" s="62" t="e">
        <f>Tableau2[[#This Row],[Gasoil]]/(Tableau2[[#This Row],[distace ]]*0.01)</f>
        <v>#DIV/0!</v>
      </c>
      <c r="M54" t="s">
        <v>97</v>
      </c>
      <c r="N54">
        <v>24</v>
      </c>
    </row>
    <row r="55" spans="2:14" x14ac:dyDescent="0.25">
      <c r="B55" s="2"/>
      <c r="C55" s="2"/>
      <c r="D55" s="29">
        <f>+SUMIF($M$5:$M$92,Tableau2[[#This Row],[Materièl]],$N$5:$N$92)</f>
        <v>0</v>
      </c>
      <c r="E55" s="2"/>
      <c r="F55" s="24"/>
      <c r="G55" s="24">
        <f>Tableau2[[#This Row],[km final]]-Tableau2[[#This Row],[km depart]]</f>
        <v>0</v>
      </c>
      <c r="H55" s="62" t="e">
        <f>Tableau2[[#This Row],[Gasoil]]/(Tableau2[[#This Row],[distace ]]*0.01)</f>
        <v>#DIV/0!</v>
      </c>
      <c r="M55" t="s">
        <v>166</v>
      </c>
      <c r="N55">
        <v>0</v>
      </c>
    </row>
    <row r="56" spans="2:14" x14ac:dyDescent="0.25">
      <c r="B56" s="29"/>
      <c r="C56" s="29"/>
      <c r="D56" s="29">
        <f>+SUMIF($M$5:$M$92,Tableau2[[#This Row],[Materièl]],$N$5:$N$92)</f>
        <v>0</v>
      </c>
      <c r="E56" s="29"/>
      <c r="F56" s="24"/>
      <c r="G56" s="24">
        <f>Tableau2[[#This Row],[km final]]-Tableau2[[#This Row],[km depart]]</f>
        <v>0</v>
      </c>
      <c r="H56" s="62" t="e">
        <f>Tableau2[[#This Row],[Gasoil]]/(Tableau2[[#This Row],[distace ]]*0.01)</f>
        <v>#DIV/0!</v>
      </c>
      <c r="M56" t="s">
        <v>164</v>
      </c>
      <c r="N56">
        <v>0</v>
      </c>
    </row>
    <row r="57" spans="2:14" x14ac:dyDescent="0.25">
      <c r="B57" s="2"/>
      <c r="C57" s="2"/>
      <c r="D57" s="29">
        <f>+SUMIF($M$5:$M$92,Tableau2[[#This Row],[Materièl]],$N$5:$N$92)</f>
        <v>0</v>
      </c>
      <c r="E57" s="2"/>
      <c r="F57" s="24"/>
      <c r="G57" s="24">
        <f>Tableau2[[#This Row],[km final]]-Tableau2[[#This Row],[km depart]]</f>
        <v>0</v>
      </c>
      <c r="H57" s="62" t="e">
        <f>Tableau2[[#This Row],[Gasoil]]/(Tableau2[[#This Row],[distace ]]*0.01)</f>
        <v>#DIV/0!</v>
      </c>
      <c r="M57" t="s">
        <v>15</v>
      </c>
      <c r="N57">
        <v>849</v>
      </c>
    </row>
    <row r="58" spans="2:14" x14ac:dyDescent="0.25">
      <c r="B58" s="29"/>
      <c r="C58" s="29"/>
      <c r="D58" s="29">
        <f>+SUMIF($M$5:$M$92,Tableau2[[#This Row],[Materièl]],$N$5:$N$92)</f>
        <v>0</v>
      </c>
      <c r="E58" s="29"/>
      <c r="F58" s="24"/>
      <c r="G58" s="24">
        <f>Tableau2[[#This Row],[km final]]-Tableau2[[#This Row],[km depart]]</f>
        <v>0</v>
      </c>
      <c r="H58" s="62" t="e">
        <f>Tableau2[[#This Row],[Gasoil]]/(Tableau2[[#This Row],[distace ]]*0.01)</f>
        <v>#DIV/0!</v>
      </c>
      <c r="M58" t="s">
        <v>14</v>
      </c>
      <c r="N58">
        <v>1779.5</v>
      </c>
    </row>
    <row r="59" spans="2:14" x14ac:dyDescent="0.25">
      <c r="B59" s="2"/>
      <c r="C59" s="2"/>
      <c r="D59" s="29">
        <f>+SUMIF($M$5:$M$92,Tableau2[[#This Row],[Materièl]],$N$5:$N$92)</f>
        <v>0</v>
      </c>
      <c r="E59" s="2"/>
      <c r="F59" s="24"/>
      <c r="G59" s="24">
        <f>Tableau2[[#This Row],[km final]]-Tableau2[[#This Row],[km depart]]</f>
        <v>0</v>
      </c>
      <c r="H59" s="62" t="e">
        <f>Tableau2[[#This Row],[Gasoil]]/(Tableau2[[#This Row],[distace ]]*0.01)</f>
        <v>#DIV/0!</v>
      </c>
      <c r="M59" t="s">
        <v>13</v>
      </c>
      <c r="N59">
        <v>0</v>
      </c>
    </row>
    <row r="60" spans="2:14" x14ac:dyDescent="0.25">
      <c r="B60" s="29"/>
      <c r="C60" s="29"/>
      <c r="D60" s="29">
        <f>+SUMIF($M$5:$M$92,Tableau2[[#This Row],[Materièl]],$N$5:$N$92)</f>
        <v>0</v>
      </c>
      <c r="E60" s="29"/>
      <c r="F60" s="24"/>
      <c r="G60" s="24">
        <f>Tableau2[[#This Row],[km final]]-Tableau2[[#This Row],[km depart]]</f>
        <v>0</v>
      </c>
      <c r="H60" s="62" t="e">
        <f>Tableau2[[#This Row],[Gasoil]]/(Tableau2[[#This Row],[distace ]]*0.01)</f>
        <v>#DIV/0!</v>
      </c>
      <c r="M60" t="s">
        <v>12</v>
      </c>
      <c r="N60">
        <v>591</v>
      </c>
    </row>
    <row r="61" spans="2:14" x14ac:dyDescent="0.25">
      <c r="B61" s="2"/>
      <c r="C61" s="2"/>
      <c r="D61" s="29">
        <f>+SUMIF($M$5:$M$92,Tableau2[[#This Row],[Materièl]],$N$5:$N$92)</f>
        <v>0</v>
      </c>
      <c r="E61" s="2"/>
      <c r="F61" s="24"/>
      <c r="G61" s="24">
        <f>Tableau2[[#This Row],[km final]]-Tableau2[[#This Row],[km depart]]</f>
        <v>0</v>
      </c>
      <c r="H61" s="62" t="e">
        <f>Tableau2[[#This Row],[Gasoil]]/(Tableau2[[#This Row],[distace ]]*0.01)</f>
        <v>#DIV/0!</v>
      </c>
      <c r="M61" t="s">
        <v>11</v>
      </c>
      <c r="N61">
        <v>1485</v>
      </c>
    </row>
    <row r="62" spans="2:14" x14ac:dyDescent="0.25">
      <c r="B62" s="29"/>
      <c r="C62" s="29"/>
      <c r="D62" s="29">
        <f>+SUMIF($M$5:$M$92,Tableau2[[#This Row],[Materièl]],$N$5:$N$92)</f>
        <v>0</v>
      </c>
      <c r="E62" s="29"/>
      <c r="F62" s="24"/>
      <c r="G62" s="24">
        <f>Tableau2[[#This Row],[km final]]-Tableau2[[#This Row],[km depart]]</f>
        <v>0</v>
      </c>
      <c r="H62" s="62" t="e">
        <f>Tableau2[[#This Row],[Gasoil]]/(Tableau2[[#This Row],[distace ]]*0.01)</f>
        <v>#DIV/0!</v>
      </c>
      <c r="M62" t="s">
        <v>136</v>
      </c>
      <c r="N62">
        <v>1298</v>
      </c>
    </row>
    <row r="63" spans="2:14" x14ac:dyDescent="0.25">
      <c r="B63" s="2"/>
      <c r="C63" s="2"/>
      <c r="D63" s="29">
        <f>+SUMIF($M$5:$M$92,Tableau2[[#This Row],[Materièl]],$N$5:$N$92)</f>
        <v>0</v>
      </c>
      <c r="E63" s="2"/>
      <c r="F63" s="24"/>
      <c r="G63" s="24">
        <f>Tableau2[[#This Row],[km final]]-Tableau2[[#This Row],[km depart]]</f>
        <v>0</v>
      </c>
      <c r="H63" s="62" t="e">
        <f>Tableau2[[#This Row],[Gasoil]]/(Tableau2[[#This Row],[distace ]]*0.01)</f>
        <v>#DIV/0!</v>
      </c>
      <c r="M63" t="s">
        <v>38</v>
      </c>
      <c r="N63">
        <v>4212</v>
      </c>
    </row>
    <row r="64" spans="2:14" x14ac:dyDescent="0.25">
      <c r="B64" s="29"/>
      <c r="C64" s="29"/>
      <c r="D64" s="29">
        <f>+SUMIF($M$5:$M$92,Tableau2[[#This Row],[Materièl]],$N$5:$N$92)</f>
        <v>0</v>
      </c>
      <c r="E64" s="29"/>
      <c r="F64" s="24"/>
      <c r="G64" s="24">
        <f>Tableau2[[#This Row],[km final]]-Tableau2[[#This Row],[km depart]]</f>
        <v>0</v>
      </c>
      <c r="H64" s="62" t="e">
        <f>Tableau2[[#This Row],[Gasoil]]/(Tableau2[[#This Row],[distace ]]*0.01)</f>
        <v>#DIV/0!</v>
      </c>
      <c r="M64" t="s">
        <v>30</v>
      </c>
      <c r="N64">
        <v>208</v>
      </c>
    </row>
    <row r="65" spans="2:14" x14ac:dyDescent="0.25">
      <c r="B65" s="2"/>
      <c r="C65" s="2"/>
      <c r="D65" s="29">
        <f>+SUMIF($M$5:$M$92,Tableau2[[#This Row],[Materièl]],$N$5:$N$92)</f>
        <v>0</v>
      </c>
      <c r="E65" s="2"/>
      <c r="F65" s="24"/>
      <c r="G65" s="24">
        <f>Tableau2[[#This Row],[km final]]-Tableau2[[#This Row],[km depart]]</f>
        <v>0</v>
      </c>
      <c r="H65" s="62" t="e">
        <f>Tableau2[[#This Row],[Gasoil]]/(Tableau2[[#This Row],[distace ]]*0.01)</f>
        <v>#DIV/0!</v>
      </c>
      <c r="M65" t="s">
        <v>51</v>
      </c>
      <c r="N65">
        <v>918.2</v>
      </c>
    </row>
    <row r="66" spans="2:14" x14ac:dyDescent="0.25">
      <c r="B66" s="2"/>
      <c r="C66" s="29"/>
      <c r="D66" s="29">
        <f>+SUMIF($M$5:$M$92,Tableau2[[#This Row],[Materièl]],$N$5:$N$92)</f>
        <v>0</v>
      </c>
      <c r="E66" s="29"/>
      <c r="F66" s="24"/>
      <c r="G66" s="24">
        <f>Tableau2[[#This Row],[km final]]-Tableau2[[#This Row],[km depart]]</f>
        <v>0</v>
      </c>
      <c r="H66" s="62" t="e">
        <f>Tableau2[[#This Row],[Gasoil]]/(Tableau2[[#This Row],[distace ]]*0.01)</f>
        <v>#DIV/0!</v>
      </c>
      <c r="M66" t="s">
        <v>36</v>
      </c>
      <c r="N66">
        <v>3190</v>
      </c>
    </row>
    <row r="67" spans="2:14" x14ac:dyDescent="0.25">
      <c r="B67" s="2"/>
      <c r="C67" s="29"/>
      <c r="D67" s="29">
        <f>+SUMIF($M$5:$M$92,Tableau2[[#This Row],[Materièl]],$N$5:$N$92)</f>
        <v>0</v>
      </c>
      <c r="E67" s="29"/>
      <c r="F67" s="24"/>
      <c r="G67" s="24">
        <f>Tableau2[[#This Row],[km final]]-Tableau2[[#This Row],[km depart]]</f>
        <v>0</v>
      </c>
      <c r="H67" s="62" t="e">
        <f>Tableau2[[#This Row],[Gasoil]]/(Tableau2[[#This Row],[distace ]]*0.01)</f>
        <v>#DIV/0!</v>
      </c>
      <c r="M67" t="s">
        <v>126</v>
      </c>
      <c r="N67">
        <v>2072</v>
      </c>
    </row>
    <row r="68" spans="2:14" x14ac:dyDescent="0.25">
      <c r="B68" s="2"/>
      <c r="C68" s="29"/>
      <c r="D68" s="29">
        <f>+SUMIF($M$5:$M$92,Tableau2[[#This Row],[Materièl]],$N$5:$N$92)</f>
        <v>0</v>
      </c>
      <c r="E68" s="29"/>
      <c r="F68" s="24"/>
      <c r="G68" s="24">
        <f>Tableau2[[#This Row],[km final]]-Tableau2[[#This Row],[km depart]]</f>
        <v>0</v>
      </c>
      <c r="H68" s="62" t="e">
        <f>Tableau2[[#This Row],[Gasoil]]/(Tableau2[[#This Row],[distace ]]*0.01)</f>
        <v>#DIV/0!</v>
      </c>
      <c r="M68" t="s">
        <v>94</v>
      </c>
      <c r="N68">
        <v>1874</v>
      </c>
    </row>
    <row r="69" spans="2:14" x14ac:dyDescent="0.25">
      <c r="B69" s="2"/>
      <c r="C69" s="29"/>
      <c r="D69" s="29">
        <f>+SUMIF($M$5:$M$92,Tableau2[[#This Row],[Materièl]],$N$5:$N$92)</f>
        <v>0</v>
      </c>
      <c r="E69" s="29"/>
      <c r="F69" s="24"/>
      <c r="G69" s="24">
        <f>Tableau2[[#This Row],[km final]]-Tableau2[[#This Row],[km depart]]</f>
        <v>0</v>
      </c>
      <c r="H69" s="62" t="e">
        <f>Tableau2[[#This Row],[Gasoil]]/(Tableau2[[#This Row],[distace ]]*0.01)</f>
        <v>#DIV/0!</v>
      </c>
      <c r="M69" t="s">
        <v>29</v>
      </c>
      <c r="N69">
        <v>403</v>
      </c>
    </row>
    <row r="70" spans="2:14" x14ac:dyDescent="0.25">
      <c r="B70" s="2"/>
      <c r="C70" s="29"/>
      <c r="D70" s="29">
        <f>+SUMIF($M$5:$M$92,Tableau2[[#This Row],[Materièl]],$N$5:$N$92)</f>
        <v>0</v>
      </c>
      <c r="E70" s="29"/>
      <c r="F70" s="24"/>
      <c r="G70" s="24">
        <f>Tableau2[[#This Row],[km final]]-Tableau2[[#This Row],[km depart]]</f>
        <v>0</v>
      </c>
      <c r="H70" s="62" t="e">
        <f>Tableau2[[#This Row],[Gasoil]]/(Tableau2[[#This Row],[distace ]]*0.01)</f>
        <v>#DIV/0!</v>
      </c>
      <c r="M70" t="s">
        <v>28</v>
      </c>
      <c r="N70">
        <v>2361</v>
      </c>
    </row>
    <row r="71" spans="2:14" x14ac:dyDescent="0.25">
      <c r="B71" s="29"/>
      <c r="C71" s="29"/>
      <c r="D71" s="29">
        <f>+SUMIF($M$5:$M$92,Tableau2[[#This Row],[Materièl]],$N$5:$N$92)</f>
        <v>0</v>
      </c>
      <c r="E71" s="29"/>
      <c r="F71" s="24"/>
      <c r="G71" s="24">
        <f>Tableau2[[#This Row],[km final]]-Tableau2[[#This Row],[km depart]]</f>
        <v>0</v>
      </c>
      <c r="H71" s="62" t="e">
        <f>Tableau2[[#This Row],[Gasoil]]/(Tableau2[[#This Row],[distace ]]*0.01)</f>
        <v>#DIV/0!</v>
      </c>
      <c r="M71" t="s">
        <v>53</v>
      </c>
      <c r="N71">
        <v>917</v>
      </c>
    </row>
    <row r="72" spans="2:14" x14ac:dyDescent="0.25">
      <c r="B72" s="2"/>
      <c r="C72" s="2"/>
      <c r="D72" s="29">
        <f>+SUMIF($M$5:$M$92,Tableau2[[#This Row],[Materièl]],$N$5:$N$92)</f>
        <v>0</v>
      </c>
      <c r="E72" s="2"/>
      <c r="F72" s="24"/>
      <c r="G72" s="24">
        <f>Tableau2[[#This Row],[km final]]-Tableau2[[#This Row],[km depart]]</f>
        <v>0</v>
      </c>
      <c r="H72" s="62" t="e">
        <f>Tableau2[[#This Row],[Gasoil]]/(Tableau2[[#This Row],[distace ]]*0.01)</f>
        <v>#DIV/0!</v>
      </c>
      <c r="M72" t="s">
        <v>52</v>
      </c>
      <c r="N72">
        <v>280</v>
      </c>
    </row>
    <row r="73" spans="2:14" x14ac:dyDescent="0.25">
      <c r="B73" s="29"/>
      <c r="C73" s="29"/>
      <c r="D73" s="29">
        <f>+SUMIF($M$5:$M$92,Tableau2[[#This Row],[Materièl]],$N$5:$N$92)</f>
        <v>0</v>
      </c>
      <c r="E73" s="29"/>
      <c r="F73" s="24"/>
      <c r="G73" s="24">
        <f>Tableau2[[#This Row],[km final]]-Tableau2[[#This Row],[km depart]]</f>
        <v>0</v>
      </c>
      <c r="H73" s="62" t="e">
        <f>Tableau2[[#This Row],[Gasoil]]/(Tableau2[[#This Row],[distace ]]*0.01)</f>
        <v>#DIV/0!</v>
      </c>
      <c r="M73" t="s">
        <v>151</v>
      </c>
      <c r="N73">
        <v>2486</v>
      </c>
    </row>
    <row r="74" spans="2:14" x14ac:dyDescent="0.25">
      <c r="B74" s="2"/>
      <c r="C74" s="2"/>
      <c r="D74" s="29">
        <f>+SUMIF($M$5:$M$92,Tableau2[[#This Row],[Materièl]],$N$5:$N$92)</f>
        <v>0</v>
      </c>
      <c r="E74" s="2"/>
      <c r="F74" s="24"/>
      <c r="G74" s="24">
        <f>Tableau2[[#This Row],[km final]]-Tableau2[[#This Row],[km depart]]</f>
        <v>0</v>
      </c>
      <c r="H74" s="62" t="e">
        <f>Tableau2[[#This Row],[Gasoil]]/(Tableau2[[#This Row],[distace ]]*0.01)</f>
        <v>#DIV/0!</v>
      </c>
      <c r="M74" t="s">
        <v>148</v>
      </c>
      <c r="N74">
        <v>74</v>
      </c>
    </row>
    <row r="75" spans="2:14" x14ac:dyDescent="0.25">
      <c r="B75" s="29"/>
      <c r="C75" s="29"/>
      <c r="D75" s="29">
        <f>+SUMIF($M$5:$M$92,Tableau2[[#This Row],[Materièl]],$N$5:$N$92)</f>
        <v>0</v>
      </c>
      <c r="E75" s="29"/>
      <c r="F75" s="24"/>
      <c r="G75" s="24">
        <f>Tableau2[[#This Row],[km final]]-Tableau2[[#This Row],[km depart]]</f>
        <v>0</v>
      </c>
      <c r="H75" s="62" t="e">
        <f>Tableau2[[#This Row],[Gasoil]]/(Tableau2[[#This Row],[distace ]]*0.01)</f>
        <v>#DIV/0!</v>
      </c>
      <c r="M75" t="s">
        <v>149</v>
      </c>
      <c r="N75">
        <v>264</v>
      </c>
    </row>
    <row r="76" spans="2:14" x14ac:dyDescent="0.25">
      <c r="B76" s="2"/>
      <c r="C76" s="2"/>
      <c r="D76" s="29">
        <f>+SUMIF($M$5:$M$92,Tableau2[[#This Row],[Materièl]],$N$5:$N$92)</f>
        <v>0</v>
      </c>
      <c r="E76" s="2"/>
      <c r="F76" s="24"/>
      <c r="G76" s="24">
        <f>Tableau2[[#This Row],[km final]]-Tableau2[[#This Row],[km depart]]</f>
        <v>0</v>
      </c>
      <c r="H76" s="62" t="e">
        <f>Tableau2[[#This Row],[Gasoil]]/(Tableau2[[#This Row],[distace ]]*0.01)</f>
        <v>#DIV/0!</v>
      </c>
      <c r="M76" t="s">
        <v>134</v>
      </c>
      <c r="N76">
        <v>3222.1</v>
      </c>
    </row>
    <row r="77" spans="2:14" x14ac:dyDescent="0.25">
      <c r="B77" s="2"/>
      <c r="C77" s="29"/>
      <c r="D77" s="29">
        <f>+SUMIF($M$5:$M$92,Tableau2[[#This Row],[Materièl]],$N$5:$N$92)</f>
        <v>0</v>
      </c>
      <c r="E77" s="29"/>
      <c r="F77" s="24"/>
      <c r="G77" s="24">
        <f>Tableau2[[#This Row],[km final]]-Tableau2[[#This Row],[km depart]]</f>
        <v>0</v>
      </c>
      <c r="H77" s="62" t="e">
        <f>Tableau2[[#This Row],[Gasoil]]/(Tableau2[[#This Row],[distace ]]*0.01)</f>
        <v>#DIV/0!</v>
      </c>
      <c r="M77" t="s">
        <v>55</v>
      </c>
      <c r="N77">
        <v>1001</v>
      </c>
    </row>
    <row r="78" spans="2:14" x14ac:dyDescent="0.25">
      <c r="B78" s="2"/>
      <c r="C78" s="2"/>
      <c r="D78" s="29">
        <f>+SUMIF($M$5:$M$92,Tableau2[[#This Row],[Materièl]],$N$5:$N$92)</f>
        <v>0</v>
      </c>
      <c r="E78" s="2"/>
      <c r="F78" s="24"/>
      <c r="G78" s="24">
        <f>Tableau2[[#This Row],[km final]]-Tableau2[[#This Row],[km depart]]</f>
        <v>0</v>
      </c>
      <c r="H78" s="62" t="e">
        <f>Tableau2[[#This Row],[Gasoil]]/(Tableau2[[#This Row],[distace ]]*0.01)</f>
        <v>#DIV/0!</v>
      </c>
      <c r="M78" t="s">
        <v>57</v>
      </c>
      <c r="N78">
        <v>4368</v>
      </c>
    </row>
    <row r="79" spans="2:14" x14ac:dyDescent="0.25">
      <c r="B79" s="2"/>
      <c r="C79" s="2"/>
      <c r="D79" s="29">
        <f>+SUMIF($M$5:$M$92,Tableau2[[#This Row],[Materièl]],$N$5:$N$92)</f>
        <v>0</v>
      </c>
      <c r="E79" s="2"/>
      <c r="F79" s="24"/>
      <c r="G79" s="24">
        <f>Tableau2[[#This Row],[km final]]-Tableau2[[#This Row],[km depart]]</f>
        <v>0</v>
      </c>
      <c r="H79" s="62" t="e">
        <f>Tableau2[[#This Row],[Gasoil]]/(Tableau2[[#This Row],[distace ]]*0.01)</f>
        <v>#DIV/0!</v>
      </c>
      <c r="M79" t="s">
        <v>56</v>
      </c>
      <c r="N79">
        <v>3413</v>
      </c>
    </row>
    <row r="80" spans="2:14" x14ac:dyDescent="0.25">
      <c r="B80" s="2"/>
      <c r="C80" s="2"/>
      <c r="D80" s="29">
        <f>+SUMIF($M$5:$M$92,Tableau2[[#This Row],[Materièl]],$N$5:$N$92)</f>
        <v>0</v>
      </c>
      <c r="E80" s="2"/>
      <c r="F80" s="24"/>
      <c r="G80" s="24">
        <f>Tableau2[[#This Row],[km final]]-Tableau2[[#This Row],[km depart]]</f>
        <v>0</v>
      </c>
      <c r="H80" s="62" t="e">
        <f>Tableau2[[#This Row],[Gasoil]]/(Tableau2[[#This Row],[distace ]]*0.01)</f>
        <v>#DIV/0!</v>
      </c>
      <c r="M80" t="s">
        <v>54</v>
      </c>
      <c r="N80">
        <v>1588</v>
      </c>
    </row>
    <row r="81" spans="2:14" x14ac:dyDescent="0.25">
      <c r="B81" s="2"/>
      <c r="C81" s="2"/>
      <c r="D81" s="29">
        <f>+SUMIF($M$5:$M$92,Tableau2[[#This Row],[Materièl]],$N$5:$N$92)</f>
        <v>0</v>
      </c>
      <c r="E81" s="2"/>
      <c r="F81" s="24"/>
      <c r="G81" s="24">
        <f>Tableau2[[#This Row],[km final]]-Tableau2[[#This Row],[km depart]]</f>
        <v>0</v>
      </c>
      <c r="H81" s="62" t="e">
        <f>Tableau2[[#This Row],[Gasoil]]/(Tableau2[[#This Row],[distace ]]*0.01)</f>
        <v>#DIV/0!</v>
      </c>
      <c r="M81" t="s">
        <v>50</v>
      </c>
      <c r="N81">
        <v>95</v>
      </c>
    </row>
    <row r="82" spans="2:14" x14ac:dyDescent="0.25">
      <c r="B82" s="2"/>
      <c r="C82" s="2"/>
      <c r="D82" s="29">
        <f>+SUMIF($M$5:$M$92,Tableau2[[#This Row],[Materièl]],$N$5:$N$92)</f>
        <v>0</v>
      </c>
      <c r="E82" s="2"/>
      <c r="F82" s="24"/>
      <c r="G82" s="24">
        <f>Tableau2[[#This Row],[km final]]-Tableau2[[#This Row],[km depart]]</f>
        <v>0</v>
      </c>
      <c r="H82" s="62" t="e">
        <f>Tableau2[[#This Row],[Gasoil]]/(Tableau2[[#This Row],[distace ]]*0.01)</f>
        <v>#DIV/0!</v>
      </c>
      <c r="M82" t="s">
        <v>49</v>
      </c>
      <c r="N82">
        <v>736.3</v>
      </c>
    </row>
    <row r="83" spans="2:14" x14ac:dyDescent="0.25">
      <c r="B83" s="2"/>
      <c r="C83" s="2"/>
      <c r="D83" s="29">
        <f>+SUMIF($M$5:$M$92,Tableau2[[#This Row],[Materièl]],$N$5:$N$92)</f>
        <v>0</v>
      </c>
      <c r="E83" s="2"/>
      <c r="F83" s="24"/>
      <c r="G83" s="24">
        <f>Tableau2[[#This Row],[km final]]-Tableau2[[#This Row],[km depart]]</f>
        <v>0</v>
      </c>
      <c r="H83" s="62" t="e">
        <f>Tableau2[[#This Row],[Gasoil]]/(Tableau2[[#This Row],[distace ]]*0.01)</f>
        <v>#DIV/0!</v>
      </c>
      <c r="M83" t="s">
        <v>48</v>
      </c>
      <c r="N83">
        <v>907</v>
      </c>
    </row>
    <row r="84" spans="2:14" x14ac:dyDescent="0.25">
      <c r="B84" s="2"/>
      <c r="C84" s="2"/>
      <c r="D84" s="29">
        <f>+SUMIF($M$5:$M$92,Tableau2[[#This Row],[Materièl]],$N$5:$N$92)</f>
        <v>0</v>
      </c>
      <c r="E84" s="2"/>
      <c r="F84" s="24"/>
      <c r="G84" s="24">
        <f>Tableau2[[#This Row],[km final]]-Tableau2[[#This Row],[km depart]]</f>
        <v>0</v>
      </c>
      <c r="H84" s="62" t="e">
        <f>Tableau2[[#This Row],[Gasoil]]/(Tableau2[[#This Row],[distace ]]*0.01)</f>
        <v>#DIV/0!</v>
      </c>
      <c r="M84" t="s">
        <v>47</v>
      </c>
      <c r="N84">
        <v>1266</v>
      </c>
    </row>
    <row r="85" spans="2:14" x14ac:dyDescent="0.25">
      <c r="B85" s="2"/>
      <c r="C85" s="2"/>
      <c r="D85" s="29">
        <f>+SUMIF($M$5:$M$92,Tableau2[[#This Row],[Materièl]],$N$5:$N$92)</f>
        <v>0</v>
      </c>
      <c r="E85" s="2"/>
      <c r="F85" s="24"/>
      <c r="G85" s="24">
        <f>Tableau2[[#This Row],[km final]]-Tableau2[[#This Row],[km depart]]</f>
        <v>0</v>
      </c>
      <c r="H85" s="62" t="e">
        <f>Tableau2[[#This Row],[Gasoil]]/(Tableau2[[#This Row],[distace ]]*0.01)</f>
        <v>#DIV/0!</v>
      </c>
      <c r="M85" t="s">
        <v>46</v>
      </c>
      <c r="N85">
        <v>1722</v>
      </c>
    </row>
    <row r="86" spans="2:14" x14ac:dyDescent="0.25">
      <c r="B86" s="2"/>
      <c r="C86" s="2"/>
      <c r="D86" s="29">
        <f>+SUMIF($M$5:$M$92,Tableau2[[#This Row],[Materièl]],$N$5:$N$92)</f>
        <v>0</v>
      </c>
      <c r="E86" s="2"/>
      <c r="F86" s="24"/>
      <c r="G86" s="24">
        <f>Tableau2[[#This Row],[km final]]-Tableau2[[#This Row],[km depart]]</f>
        <v>0</v>
      </c>
      <c r="H86" s="62" t="e">
        <f>Tableau2[[#This Row],[Gasoil]]/(Tableau2[[#This Row],[distace ]]*0.01)</f>
        <v>#DIV/0!</v>
      </c>
      <c r="M86" t="s">
        <v>45</v>
      </c>
      <c r="N86">
        <v>1392</v>
      </c>
    </row>
    <row r="87" spans="2:14" x14ac:dyDescent="0.25">
      <c r="B87" s="2"/>
      <c r="C87" s="2"/>
      <c r="D87" s="29">
        <f>+SUMIF($M$5:$M$92,Tableau2[[#This Row],[Materièl]],$N$5:$N$92)</f>
        <v>0</v>
      </c>
      <c r="E87" s="2"/>
      <c r="F87" s="24"/>
      <c r="G87" s="24">
        <f>Tableau2[[#This Row],[km final]]-Tableau2[[#This Row],[km depart]]</f>
        <v>0</v>
      </c>
      <c r="H87" s="62" t="e">
        <f>Tableau2[[#This Row],[Gasoil]]/(Tableau2[[#This Row],[distace ]]*0.01)</f>
        <v>#DIV/0!</v>
      </c>
      <c r="M87" t="s">
        <v>44</v>
      </c>
      <c r="N87">
        <v>1176</v>
      </c>
    </row>
    <row r="88" spans="2:14" x14ac:dyDescent="0.25">
      <c r="B88" s="2"/>
      <c r="C88" s="2"/>
      <c r="D88" s="29">
        <f>+SUMIF($M$5:$M$92,Tableau2[[#This Row],[Materièl]],$N$5:$N$92)</f>
        <v>0</v>
      </c>
      <c r="E88" s="2"/>
      <c r="F88" s="24"/>
      <c r="G88" s="24">
        <f>Tableau2[[#This Row],[km final]]-Tableau2[[#This Row],[km depart]]</f>
        <v>0</v>
      </c>
      <c r="H88" s="62" t="e">
        <f>Tableau2[[#This Row],[Gasoil]]/(Tableau2[[#This Row],[distace ]]*0.01)</f>
        <v>#DIV/0!</v>
      </c>
      <c r="M88" t="s">
        <v>156</v>
      </c>
      <c r="N88">
        <v>446</v>
      </c>
    </row>
    <row r="89" spans="2:14" x14ac:dyDescent="0.25">
      <c r="B89" s="2"/>
      <c r="C89" s="2"/>
      <c r="D89" s="29">
        <f>+SUMIF($M$5:$M$92,Tableau2[[#This Row],[Materièl]],$N$5:$N$92)</f>
        <v>0</v>
      </c>
      <c r="E89" s="2"/>
      <c r="F89" s="24"/>
      <c r="G89" s="24">
        <f>Tableau2[[#This Row],[km final]]-Tableau2[[#This Row],[km depart]]</f>
        <v>0</v>
      </c>
      <c r="H89" s="62" t="e">
        <f>Tableau2[[#This Row],[Gasoil]]/(Tableau2[[#This Row],[distace ]]*0.01)</f>
        <v>#DIV/0!</v>
      </c>
      <c r="M89" t="s">
        <v>150</v>
      </c>
      <c r="N89">
        <v>10</v>
      </c>
    </row>
    <row r="90" spans="2:14" x14ac:dyDescent="0.25">
      <c r="B90" s="2"/>
      <c r="C90" s="2"/>
      <c r="D90" s="29">
        <f>+SUMIF($M$5:$M$92,Tableau2[[#This Row],[Materièl]],$N$5:$N$92)</f>
        <v>0</v>
      </c>
      <c r="E90" s="2"/>
      <c r="F90" s="24"/>
      <c r="G90" s="24">
        <f>Tableau2[[#This Row],[km final]]-Tableau2[[#This Row],[km depart]]</f>
        <v>0</v>
      </c>
      <c r="H90" s="62" t="e">
        <f>Tableau2[[#This Row],[Gasoil]]/(Tableau2[[#This Row],[distace ]]*0.01)</f>
        <v>#DIV/0!</v>
      </c>
      <c r="M90" t="s">
        <v>19</v>
      </c>
      <c r="N90">
        <v>758</v>
      </c>
    </row>
    <row r="91" spans="2:14" x14ac:dyDescent="0.25">
      <c r="B91" s="2"/>
      <c r="C91" s="2"/>
      <c r="D91" s="29">
        <f>+SUMIF($M$5:$M$92,Tableau2[[#This Row],[Materièl]],$N$5:$N$92)</f>
        <v>0</v>
      </c>
      <c r="E91" s="2"/>
      <c r="F91" s="24"/>
      <c r="G91" s="24">
        <f>Tableau2[[#This Row],[km final]]-Tableau2[[#This Row],[km depart]]</f>
        <v>0</v>
      </c>
      <c r="H91" s="62" t="e">
        <f>Tableau2[[#This Row],[Gasoil]]/(Tableau2[[#This Row],[distace ]]*0.01)</f>
        <v>#DIV/0!</v>
      </c>
      <c r="M91" t="s">
        <v>18</v>
      </c>
      <c r="N91">
        <v>287</v>
      </c>
    </row>
    <row r="92" spans="2:14" x14ac:dyDescent="0.25">
      <c r="B92" s="2"/>
      <c r="C92" s="2"/>
      <c r="D92" s="29">
        <f>+SUMIF($M$5:$M$92,Tableau2[[#This Row],[Materièl]],$N$5:$N$92)</f>
        <v>0</v>
      </c>
      <c r="E92" s="2"/>
      <c r="F92" s="24"/>
      <c r="G92" s="24">
        <f>Tableau2[[#This Row],[km final]]-Tableau2[[#This Row],[km depart]]</f>
        <v>0</v>
      </c>
      <c r="H92" s="62" t="e">
        <f>Tableau2[[#This Row],[Gasoil]]/(Tableau2[[#This Row],[distace ]]*0.01)</f>
        <v>#DIV/0!</v>
      </c>
      <c r="M92" t="s">
        <v>17</v>
      </c>
      <c r="N92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00320-A781-4D45-B1BF-A1A71AF0F1CA}">
  <sheetPr codeName="Feuil1">
    <tabColor theme="7" tint="0.39997558519241921"/>
  </sheetPr>
  <dimension ref="B1:AD111"/>
  <sheetViews>
    <sheetView showGridLines="0" tabSelected="1" topLeftCell="B1" zoomScale="90" zoomScaleNormal="90" workbookViewId="0">
      <pane ySplit="17" topLeftCell="A18" activePane="bottomLeft" state="frozen"/>
      <selection pane="bottomLeft" activeCell="AA22" sqref="AA22:AD22"/>
    </sheetView>
  </sheetViews>
  <sheetFormatPr baseColWidth="10" defaultRowHeight="15" x14ac:dyDescent="0.25"/>
  <cols>
    <col min="1" max="1" width="1.42578125" customWidth="1"/>
    <col min="4" max="4" width="3.140625" customWidth="1"/>
    <col min="7" max="7" width="3.140625" customWidth="1"/>
    <col min="10" max="10" width="3.140625" customWidth="1"/>
    <col min="13" max="13" width="3.140625" customWidth="1"/>
    <col min="16" max="16" width="3.140625" customWidth="1"/>
    <col min="19" max="19" width="3.140625" customWidth="1"/>
    <col min="23" max="23" width="3.140625" customWidth="1"/>
    <col min="27" max="27" width="3.140625" customWidth="1"/>
  </cols>
  <sheetData>
    <row r="1" spans="2:30" ht="12.75" customHeight="1" x14ac:dyDescent="0.25"/>
    <row r="2" spans="2:30" ht="12.75" customHeight="1" x14ac:dyDescent="0.25"/>
    <row r="3" spans="2:30" ht="12.75" customHeight="1" x14ac:dyDescent="0.25"/>
    <row r="4" spans="2:30" ht="12.75" customHeight="1" x14ac:dyDescent="0.25">
      <c r="T4" s="72">
        <f>GETPIVOTDATA("Somme de  les Charges",Feuil1!$T$3)</f>
        <v>13433152.14666667</v>
      </c>
      <c r="U4" s="72"/>
      <c r="V4" s="72"/>
      <c r="X4" s="72">
        <f>GETPIVOTDATA("Somme de Productivité",Feuil1!$T$3)</f>
        <v>26049341.658888891</v>
      </c>
      <c r="Y4" s="72"/>
      <c r="Z4" s="72"/>
      <c r="AB4" s="73">
        <f>GETPIVOTDATA("Somme de Marge",Feuil1!$T$3)</f>
        <v>12616189.512222217</v>
      </c>
      <c r="AC4" s="73"/>
      <c r="AD4" s="73"/>
    </row>
    <row r="5" spans="2:30" ht="12.75" customHeight="1" x14ac:dyDescent="0.25">
      <c r="T5" s="72"/>
      <c r="U5" s="72"/>
      <c r="V5" s="72"/>
      <c r="X5" s="72"/>
      <c r="Y5" s="72"/>
      <c r="Z5" s="72"/>
      <c r="AB5" s="73"/>
      <c r="AC5" s="73"/>
      <c r="AD5" s="73"/>
    </row>
    <row r="6" spans="2:30" ht="12.75" customHeight="1" x14ac:dyDescent="0.25">
      <c r="T6" s="72"/>
      <c r="U6" s="72"/>
      <c r="V6" s="72"/>
      <c r="X6" s="72"/>
      <c r="Y6" s="72"/>
      <c r="Z6" s="72"/>
      <c r="AB6" s="73"/>
      <c r="AC6" s="73"/>
      <c r="AD6" s="73"/>
    </row>
    <row r="7" spans="2:30" ht="12.75" customHeight="1" x14ac:dyDescent="0.25">
      <c r="B7" s="74">
        <f>GETPIVOTDATA("Somme de Gasoil (L)",Feuil1!$T$3)*10</f>
        <v>8803653.6999999993</v>
      </c>
      <c r="C7" s="74"/>
      <c r="E7" s="74">
        <f>GETPIVOTDATA("Somme de Huile 15/40(L)",Feuil1!$T$3)*40</f>
        <v>261120</v>
      </c>
      <c r="F7" s="74"/>
      <c r="H7" s="74">
        <f>GETPIVOTDATA("Somme de Huile 10 (L)",Feuil1!$T$3)*35</f>
        <v>219205</v>
      </c>
      <c r="I7" s="74"/>
      <c r="K7" s="74">
        <f>GETPIVOTDATA("Somme de Graisse (kg)",Feuil1!$T$3)*30</f>
        <v>95868.299999999988</v>
      </c>
      <c r="L7" s="74"/>
      <c r="M7" s="1"/>
      <c r="N7" s="75"/>
      <c r="O7" s="75"/>
      <c r="Q7" s="75"/>
      <c r="R7" s="75"/>
      <c r="T7" s="72"/>
      <c r="U7" s="72"/>
      <c r="V7" s="72"/>
      <c r="X7" s="72"/>
      <c r="Y7" s="72"/>
      <c r="Z7" s="72"/>
      <c r="AB7" s="73"/>
      <c r="AC7" s="73"/>
      <c r="AD7" s="73"/>
    </row>
    <row r="8" spans="2:30" ht="12.75" customHeight="1" x14ac:dyDescent="0.25">
      <c r="B8" s="74"/>
      <c r="C8" s="74"/>
      <c r="E8" s="74"/>
      <c r="F8" s="74"/>
      <c r="H8" s="74"/>
      <c r="I8" s="74"/>
      <c r="K8" s="74"/>
      <c r="L8" s="74"/>
      <c r="M8" s="1"/>
      <c r="N8" s="75"/>
      <c r="O8" s="75"/>
      <c r="Q8" s="75"/>
      <c r="R8" s="75"/>
      <c r="T8" s="72"/>
      <c r="U8" s="72"/>
      <c r="V8" s="72"/>
      <c r="X8" s="72"/>
      <c r="Y8" s="72"/>
      <c r="Z8" s="72"/>
      <c r="AB8" s="73"/>
      <c r="AC8" s="73"/>
      <c r="AD8" s="73"/>
    </row>
    <row r="9" spans="2:30" ht="15" customHeight="1" x14ac:dyDescent="0.25"/>
    <row r="10" spans="2:30" s="3" customFormat="1" x14ac:dyDescent="0.25"/>
    <row r="11" spans="2:30" s="3" customFormat="1" x14ac:dyDescent="0.25"/>
    <row r="12" spans="2:30" s="3" customFormat="1" x14ac:dyDescent="0.25"/>
    <row r="13" spans="2:30" s="3" customFormat="1" x14ac:dyDescent="0.25"/>
    <row r="14" spans="2:30" s="3" customFormat="1" ht="30.75" customHeight="1" x14ac:dyDescent="0.25"/>
    <row r="15" spans="2:30" s="3" customFormat="1" ht="30.75" customHeight="1" x14ac:dyDescent="0.25"/>
    <row r="16" spans="2:30" s="3" customFormat="1" ht="20.25" customHeight="1" thickBot="1" x14ac:dyDescent="0.3"/>
    <row r="17" spans="2:30" ht="27.75" customHeight="1" thickBot="1" x14ac:dyDescent="0.3">
      <c r="B17" s="50" t="s">
        <v>1</v>
      </c>
      <c r="C17" s="79" t="s">
        <v>3</v>
      </c>
      <c r="D17" s="79"/>
      <c r="E17" s="79"/>
      <c r="F17" s="80"/>
      <c r="I17" s="81" t="s">
        <v>163</v>
      </c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3"/>
      <c r="Z17" s="49" t="s">
        <v>1</v>
      </c>
      <c r="AA17" s="76" t="s">
        <v>91</v>
      </c>
      <c r="AB17" s="76"/>
      <c r="AC17" s="76"/>
      <c r="AD17" s="77"/>
    </row>
    <row r="18" spans="2:30" ht="15.75" x14ac:dyDescent="0.25">
      <c r="B18" s="51" t="str">
        <f>INDEX(Feuil1!$T$4:$V$96,1,1)</f>
        <v>AU001</v>
      </c>
      <c r="C18" s="78">
        <f>IF(B18="Total général"," ",INDEX(Feuil1!$T$4:$V$96,1,3))</f>
        <v>598</v>
      </c>
      <c r="D18" s="78"/>
      <c r="E18" s="78"/>
      <c r="F18" s="78"/>
      <c r="Z18" s="46" t="str">
        <f>INDEX(Feuil1!$T$4:$V$96,1,1)</f>
        <v>AU001</v>
      </c>
      <c r="AA18" s="71">
        <f>IF(B18="Total général"," ",INDEX(Feuil1!$T$4:$AA$96,1,8))</f>
        <v>13469.485555555555</v>
      </c>
      <c r="AB18" s="71"/>
      <c r="AC18" s="71"/>
      <c r="AD18" s="71"/>
    </row>
    <row r="19" spans="2:30" ht="15.75" x14ac:dyDescent="0.25">
      <c r="B19" s="52" t="str">
        <f>INDEX(Feuil1!$T$4:$V$96,2,1)</f>
        <v>AU002</v>
      </c>
      <c r="C19" s="78">
        <f>IF(B19="Total général"," ",INDEX(Feuil1!$T$4:$V$96,2,3))</f>
        <v>40</v>
      </c>
      <c r="D19" s="78"/>
      <c r="E19" s="78"/>
      <c r="F19" s="78"/>
      <c r="Z19" s="47" t="str">
        <f>INDEX(Feuil1!$T$4:$V$96,2,1)</f>
        <v>AU002</v>
      </c>
      <c r="AA19" s="71">
        <f>IF(B19="Total général"," ",INDEX(Feuil1!$T$4:$AA$96,2,8))</f>
        <v>0</v>
      </c>
      <c r="AB19" s="71"/>
      <c r="AC19" s="71"/>
      <c r="AD19" s="71"/>
    </row>
    <row r="20" spans="2:30" ht="15.75" x14ac:dyDescent="0.25">
      <c r="B20" s="52" t="str">
        <f>INDEX(Feuil1!$T$4:$V$96,3,1)</f>
        <v>AU003</v>
      </c>
      <c r="C20" s="78">
        <f>IF(B20="Total général"," ",INDEX(Feuil1!$T$4:$V$96,3,3))</f>
        <v>20</v>
      </c>
      <c r="D20" s="78"/>
      <c r="E20" s="78"/>
      <c r="F20" s="78"/>
      <c r="Z20" s="47" t="str">
        <f>INDEX(Feuil1!$T$4:$V$96,3,1)</f>
        <v>AU003</v>
      </c>
      <c r="AA20" s="71">
        <f>IF(B20="Total général"," ",INDEX(Feuil1!$T$4:$AA$96,3,8))</f>
        <v>0</v>
      </c>
      <c r="AB20" s="71"/>
      <c r="AC20" s="71"/>
      <c r="AD20" s="71"/>
    </row>
    <row r="21" spans="2:30" ht="15.75" x14ac:dyDescent="0.25">
      <c r="B21" s="52" t="str">
        <f>INDEX(Feuil1!$T$4:$V$96,4,1)</f>
        <v>C001</v>
      </c>
      <c r="C21" s="78">
        <f>IF(B21="Total général"," ",INDEX(Feuil1!$T$4:$V$96,4,3))</f>
        <v>4199</v>
      </c>
      <c r="D21" s="78"/>
      <c r="E21" s="78"/>
      <c r="F21" s="78"/>
      <c r="Z21" s="47" t="str">
        <f>INDEX(Feuil1!$T$4:$V$96,4,1)</f>
        <v>C001</v>
      </c>
      <c r="AA21" s="71">
        <f>IF(B21="Total général"," ",INDEX(Feuil1!$T$4:$AA$96,4,8))</f>
        <v>39875.56</v>
      </c>
      <c r="AB21" s="71"/>
      <c r="AC21" s="71"/>
      <c r="AD21" s="71"/>
    </row>
    <row r="22" spans="2:30" ht="15.75" x14ac:dyDescent="0.25">
      <c r="B22" s="52" t="str">
        <f>INDEX(Feuil1!$T$4:$V$96,5,1)</f>
        <v>C002</v>
      </c>
      <c r="C22" s="78">
        <f>IF(B22="Total général"," ",INDEX(Feuil1!$T$4:$V$96,5,3))</f>
        <v>3815</v>
      </c>
      <c r="D22" s="78"/>
      <c r="E22" s="78"/>
      <c r="F22" s="78"/>
      <c r="Z22" s="47" t="str">
        <f>INDEX(Feuil1!$T$4:$V$96,5,1)</f>
        <v>C002</v>
      </c>
      <c r="AA22" s="71">
        <f>IF(B22="Total général"," ",INDEX(Feuil1!$T$4:$AA$96,5,8))</f>
        <v>56505.921111111107</v>
      </c>
      <c r="AB22" s="71"/>
      <c r="AC22" s="71"/>
      <c r="AD22" s="71"/>
    </row>
    <row r="23" spans="2:30" ht="15.75" x14ac:dyDescent="0.25">
      <c r="B23" s="52" t="str">
        <f>INDEX(Feuil1!$T$4:$V$96,6,1)</f>
        <v>C003</v>
      </c>
      <c r="C23" s="78">
        <f>IF(B23="Total général"," ",INDEX(Feuil1!$T$4:$V$96,6,3))</f>
        <v>1805</v>
      </c>
      <c r="D23" s="78"/>
      <c r="E23" s="78"/>
      <c r="F23" s="78"/>
      <c r="Z23" s="47" t="str">
        <f>INDEX(Feuil1!$T$4:$V$96,6,1)</f>
        <v>C003</v>
      </c>
      <c r="AA23" s="71">
        <f>IF(B23="Total général"," ",INDEX(Feuil1!$T$4:$AA$96,6,8))</f>
        <v>47908.92</v>
      </c>
      <c r="AB23" s="71"/>
      <c r="AC23" s="71"/>
      <c r="AD23" s="71"/>
    </row>
    <row r="24" spans="2:30" ht="15.75" x14ac:dyDescent="0.25">
      <c r="B24" s="52" t="str">
        <f>INDEX(Feuil1!$T$4:$V$96,7,1)</f>
        <v>C004</v>
      </c>
      <c r="C24" s="78">
        <f>IF(B24="Total général"," ",INDEX(Feuil1!$T$4:$V$96,7,3))</f>
        <v>7481</v>
      </c>
      <c r="D24" s="78"/>
      <c r="E24" s="78"/>
      <c r="F24" s="78"/>
      <c r="Z24" s="47" t="str">
        <f>INDEX(Feuil1!$T$4:$V$96,7,1)</f>
        <v>C004</v>
      </c>
      <c r="AA24" s="71">
        <f>IF(B24="Total général"," ",INDEX(Feuil1!$T$4:$AA$96,7,8))</f>
        <v>22178.796666666669</v>
      </c>
      <c r="AB24" s="71"/>
      <c r="AC24" s="71"/>
      <c r="AD24" s="71"/>
    </row>
    <row r="25" spans="2:30" ht="15.75" x14ac:dyDescent="0.25">
      <c r="B25" s="52" t="str">
        <f>INDEX(Feuil1!$T$4:$V$96,8,1)</f>
        <v>C005</v>
      </c>
      <c r="C25" s="78">
        <f>IF(B25="Total général"," ",INDEX(Feuil1!$T$4:$V$96,8,3))</f>
        <v>10</v>
      </c>
      <c r="D25" s="78"/>
      <c r="E25" s="78"/>
      <c r="F25" s="78"/>
      <c r="Z25" s="47" t="str">
        <f>INDEX(Feuil1!$T$4:$V$96,8,1)</f>
        <v>C005</v>
      </c>
      <c r="AA25" s="71">
        <f>IF(B25="Total général"," ",INDEX(Feuil1!$T$4:$AA$96,8,8))</f>
        <v>-1297.75</v>
      </c>
      <c r="AB25" s="71"/>
      <c r="AC25" s="71"/>
      <c r="AD25" s="71"/>
    </row>
    <row r="26" spans="2:30" ht="15.75" x14ac:dyDescent="0.25">
      <c r="B26" s="52" t="str">
        <f>INDEX(Feuil1!$T$4:$V$96,9,1)</f>
        <v>C006</v>
      </c>
      <c r="C26" s="78">
        <f>IF(B26="Total général"," ",INDEX(Feuil1!$T$4:$V$96,9,3))</f>
        <v>4240</v>
      </c>
      <c r="D26" s="78"/>
      <c r="E26" s="78"/>
      <c r="F26" s="78"/>
      <c r="Z26" s="47" t="str">
        <f>INDEX(Feuil1!$T$4:$V$96,9,1)</f>
        <v>C006</v>
      </c>
      <c r="AA26" s="71">
        <f>IF(B26="Total général"," ",INDEX(Feuil1!$T$4:$AA$96,9,8))</f>
        <v>20259.900000000001</v>
      </c>
      <c r="AB26" s="71"/>
      <c r="AC26" s="71"/>
      <c r="AD26" s="71"/>
    </row>
    <row r="27" spans="2:30" ht="15.75" x14ac:dyDescent="0.25">
      <c r="B27" s="52" t="str">
        <f>INDEX(Feuil1!$T$4:$V$96,10,1)</f>
        <v>CA001</v>
      </c>
      <c r="C27" s="78">
        <f>IF(B27="Total général"," ",INDEX(Feuil1!$T$4:$V$96,10,3))</f>
        <v>10184</v>
      </c>
      <c r="D27" s="78"/>
      <c r="E27" s="78"/>
      <c r="F27" s="78"/>
      <c r="Z27" s="47" t="str">
        <f>INDEX(Feuil1!$T$4:$V$96,10,1)</f>
        <v>CA001</v>
      </c>
      <c r="AA27" s="71">
        <f>IF(B27="Total général"," ",INDEX(Feuil1!$T$4:$AA$96,10,8))</f>
        <v>281244.34000000003</v>
      </c>
      <c r="AB27" s="71"/>
      <c r="AC27" s="71"/>
      <c r="AD27" s="71"/>
    </row>
    <row r="28" spans="2:30" ht="15.75" x14ac:dyDescent="0.25">
      <c r="B28" s="52" t="str">
        <f>INDEX(Feuil1!$T$4:$V$96,11,1)</f>
        <v>CA002</v>
      </c>
      <c r="C28" s="78">
        <f>IF(B28="Total général"," ",INDEX(Feuil1!$T$4:$V$96,11,3))</f>
        <v>10691</v>
      </c>
      <c r="D28" s="78"/>
      <c r="E28" s="78"/>
      <c r="F28" s="78"/>
      <c r="Z28" s="47" t="str">
        <f>INDEX(Feuil1!$T$4:$V$96,11,1)</f>
        <v>CA002</v>
      </c>
      <c r="AA28" s="71">
        <f>IF(B28="Total général"," ",INDEX(Feuil1!$T$4:$AA$96,11,8))</f>
        <v>370083.94666666666</v>
      </c>
      <c r="AB28" s="71"/>
      <c r="AC28" s="71"/>
      <c r="AD28" s="71"/>
    </row>
    <row r="29" spans="2:30" ht="15.75" x14ac:dyDescent="0.25">
      <c r="B29" s="52" t="str">
        <f>INDEX(Feuil1!$T$4:$V$96,12,1)</f>
        <v>CA003</v>
      </c>
      <c r="C29" s="78">
        <f>IF(B29="Total général"," ",INDEX(Feuil1!$T$4:$V$96,12,3))</f>
        <v>17647</v>
      </c>
      <c r="D29" s="78"/>
      <c r="E29" s="78"/>
      <c r="F29" s="78"/>
      <c r="Z29" s="47" t="str">
        <f>INDEX(Feuil1!$T$4:$V$96,12,1)</f>
        <v>CA003</v>
      </c>
      <c r="AA29" s="71">
        <f>IF(B29="Total général"," ",INDEX(Feuil1!$T$4:$AA$96,12,8))</f>
        <v>330428.63555555558</v>
      </c>
      <c r="AB29" s="71"/>
      <c r="AC29" s="71"/>
      <c r="AD29" s="71"/>
    </row>
    <row r="30" spans="2:30" ht="15.75" x14ac:dyDescent="0.25">
      <c r="B30" s="52" t="str">
        <f>INDEX(Feuil1!$T$4:$V$96,13,1)</f>
        <v>CA004</v>
      </c>
      <c r="C30" s="78">
        <f>IF(B30="Total général"," ",INDEX(Feuil1!$T$4:$V$96,13,3))</f>
        <v>14454.37</v>
      </c>
      <c r="D30" s="78"/>
      <c r="E30" s="78"/>
      <c r="F30" s="78"/>
      <c r="Z30" s="47" t="str">
        <f>INDEX(Feuil1!$T$4:$V$96,13,1)</f>
        <v>CA004</v>
      </c>
      <c r="AA30" s="71">
        <f>IF(B30="Total général"," ",INDEX(Feuil1!$T$4:$AA$96,13,8))</f>
        <v>458644.68</v>
      </c>
      <c r="AB30" s="71"/>
      <c r="AC30" s="71"/>
      <c r="AD30" s="71"/>
    </row>
    <row r="31" spans="2:30" ht="15.75" x14ac:dyDescent="0.25">
      <c r="B31" s="52" t="str">
        <f>INDEX(Feuil1!$T$4:$V$96,14,1)</f>
        <v>CA005</v>
      </c>
      <c r="C31" s="78">
        <f>IF(B31="Total général"," ",INDEX(Feuil1!$T$4:$V$96,14,3))</f>
        <v>6394.49</v>
      </c>
      <c r="D31" s="78"/>
      <c r="E31" s="78"/>
      <c r="F31" s="78"/>
      <c r="Z31" s="47" t="str">
        <f>INDEX(Feuil1!$T$4:$V$96,14,1)</f>
        <v>CA005</v>
      </c>
      <c r="AA31" s="71">
        <f>IF(B31="Total général"," ",INDEX(Feuil1!$T$4:$AA$96,14,8))</f>
        <v>116232.83888888887</v>
      </c>
      <c r="AB31" s="71"/>
      <c r="AC31" s="71"/>
      <c r="AD31" s="71"/>
    </row>
    <row r="32" spans="2:30" ht="15.75" x14ac:dyDescent="0.25">
      <c r="B32" s="52" t="str">
        <f>INDEX(Feuil1!$T$4:$V$96,15,1)</f>
        <v>CA006</v>
      </c>
      <c r="C32" s="78">
        <f>IF(B32="Total général"," ",INDEX(Feuil1!$T$4:$V$96,15,3))</f>
        <v>6854.3</v>
      </c>
      <c r="D32" s="78"/>
      <c r="E32" s="78"/>
      <c r="F32" s="78"/>
      <c r="Z32" s="47" t="str">
        <f>INDEX(Feuil1!$T$4:$V$96,15,1)</f>
        <v>CA006</v>
      </c>
      <c r="AA32" s="71">
        <f>IF(B32="Total général"," ",INDEX(Feuil1!$T$4:$AA$96,15,8))</f>
        <v>-37541.17555555555</v>
      </c>
      <c r="AB32" s="71"/>
      <c r="AC32" s="71"/>
      <c r="AD32" s="71"/>
    </row>
    <row r="33" spans="2:30" ht="15.75" x14ac:dyDescent="0.25">
      <c r="B33" s="52" t="str">
        <f>INDEX(Feuil1!$T$4:$V$96,16,1)</f>
        <v>CA007</v>
      </c>
      <c r="C33" s="78">
        <f>IF(B33="Total général"," ",INDEX(Feuil1!$T$4:$V$96,16,3))</f>
        <v>4487</v>
      </c>
      <c r="D33" s="78"/>
      <c r="E33" s="78"/>
      <c r="F33" s="78"/>
      <c r="Z33" s="47" t="str">
        <f>INDEX(Feuil1!$T$4:$V$96,16,1)</f>
        <v>CA007</v>
      </c>
      <c r="AA33" s="71">
        <f>IF(B33="Total général"," ",INDEX(Feuil1!$T$4:$AA$96,16,8))</f>
        <v>102093.26999999999</v>
      </c>
      <c r="AB33" s="71"/>
      <c r="AC33" s="71"/>
      <c r="AD33" s="71"/>
    </row>
    <row r="34" spans="2:30" ht="15.75" x14ac:dyDescent="0.25">
      <c r="B34" s="52" t="str">
        <f>INDEX(Feuil1!$T$4:$V$96,17,1)</f>
        <v>CA008</v>
      </c>
      <c r="C34" s="78">
        <f>IF(B34="Total général"," ",INDEX(Feuil1!$T$4:$V$96,17,3))</f>
        <v>9680.39</v>
      </c>
      <c r="D34" s="78"/>
      <c r="E34" s="78"/>
      <c r="F34" s="78"/>
      <c r="Z34" s="47" t="str">
        <f>INDEX(Feuil1!$T$4:$V$96,17,1)</f>
        <v>CA008</v>
      </c>
      <c r="AA34" s="71">
        <f>IF(B34="Total général"," ",INDEX(Feuil1!$T$4:$AA$96,17,8))</f>
        <v>253051.33333333331</v>
      </c>
      <c r="AB34" s="71"/>
      <c r="AC34" s="71"/>
      <c r="AD34" s="71"/>
    </row>
    <row r="35" spans="2:30" ht="15.75" x14ac:dyDescent="0.25">
      <c r="B35" s="52" t="str">
        <f>INDEX(Feuil1!$T$4:$V$96,18,1)</f>
        <v>CA009</v>
      </c>
      <c r="C35" s="78">
        <f>IF(B35="Total général"," ",INDEX(Feuil1!$T$4:$V$96,18,3))</f>
        <v>25119.3</v>
      </c>
      <c r="D35" s="78"/>
      <c r="E35" s="78"/>
      <c r="F35" s="78"/>
      <c r="Z35" s="47" t="str">
        <f>INDEX(Feuil1!$T$4:$V$96,18,1)</f>
        <v>CA009</v>
      </c>
      <c r="AA35" s="71">
        <f>IF(B35="Total général"," ",INDEX(Feuil1!$T$4:$AA$96,18,8))</f>
        <v>73419.385555555549</v>
      </c>
      <c r="AB35" s="71"/>
      <c r="AC35" s="71"/>
      <c r="AD35" s="71"/>
    </row>
    <row r="36" spans="2:30" ht="15.75" x14ac:dyDescent="0.25">
      <c r="B36" s="52" t="str">
        <f>INDEX(Feuil1!$T$4:$V$96,19,1)</f>
        <v>CA010</v>
      </c>
      <c r="C36" s="78">
        <f>IF(B36="Total général"," ",INDEX(Feuil1!$T$4:$V$96,19,3))</f>
        <v>35712.699999999997</v>
      </c>
      <c r="D36" s="78"/>
      <c r="E36" s="78"/>
      <c r="F36" s="78"/>
      <c r="Z36" s="47" t="str">
        <f>INDEX(Feuil1!$T$4:$V$96,19,1)</f>
        <v>CA010</v>
      </c>
      <c r="AA36" s="71">
        <f>IF(B36="Total général"," ",INDEX(Feuil1!$T$4:$AA$96,19,8))</f>
        <v>-179461.3444444444</v>
      </c>
      <c r="AB36" s="71"/>
      <c r="AC36" s="71"/>
      <c r="AD36" s="71"/>
    </row>
    <row r="37" spans="2:30" ht="16.5" thickBot="1" x14ac:dyDescent="0.3">
      <c r="B37" s="52" t="str">
        <f>INDEX(Feuil1!$T$4:$V$96,20,1)</f>
        <v>CA011</v>
      </c>
      <c r="C37" s="78">
        <f>IF(B37="Total général"," ",INDEX(Feuil1!$T$4:$V$96,20,3))</f>
        <v>10850.7</v>
      </c>
      <c r="D37" s="78"/>
      <c r="E37" s="78"/>
      <c r="F37" s="78"/>
      <c r="Z37" s="47" t="str">
        <f>INDEX(Feuil1!$T$4:$V$96,20,1)</f>
        <v>CA011</v>
      </c>
      <c r="AA37" s="71">
        <f>IF(B37="Total général"," ",INDEX(Feuil1!$T$4:$AA$96,20,8))</f>
        <v>422831.79888888885</v>
      </c>
      <c r="AB37" s="71"/>
      <c r="AC37" s="71"/>
      <c r="AD37" s="71"/>
    </row>
    <row r="38" spans="2:30" ht="19.5" customHeight="1" x14ac:dyDescent="0.25">
      <c r="B38" s="52" t="str">
        <f>INDEX(Feuil1!$T$4:$V$96,21,1)</f>
        <v>CA012</v>
      </c>
      <c r="C38" s="78">
        <f>IF(B38="Total général"," ",INDEX(Feuil1!$T$4:$V$96,21,3))</f>
        <v>5234.1000000000004</v>
      </c>
      <c r="D38" s="78"/>
      <c r="E38" s="78"/>
      <c r="F38" s="78"/>
      <c r="I38" s="84" t="s">
        <v>140</v>
      </c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6"/>
      <c r="Z38" s="47" t="str">
        <f>INDEX(Feuil1!$T$4:$V$96,21,1)</f>
        <v>CA012</v>
      </c>
      <c r="AA38" s="71">
        <f>IF(B38="Total général"," ",INDEX(Feuil1!$T$4:$AA$96,21,8))</f>
        <v>40504.020000000004</v>
      </c>
      <c r="AB38" s="71"/>
      <c r="AC38" s="71"/>
      <c r="AD38" s="71"/>
    </row>
    <row r="39" spans="2:30" ht="16.5" thickBot="1" x14ac:dyDescent="0.3">
      <c r="B39" s="52" t="str">
        <f>INDEX(Feuil1!$T$4:$V$96,22,1)</f>
        <v>CA013</v>
      </c>
      <c r="C39" s="78">
        <f>IF(B39="Total général"," ",INDEX(Feuil1!$T$4:$V$96,22,3))</f>
        <v>1080</v>
      </c>
      <c r="D39" s="78"/>
      <c r="E39" s="78"/>
      <c r="F39" s="78"/>
      <c r="I39" s="87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9"/>
      <c r="Z39" s="47" t="str">
        <f>INDEX(Feuil1!$T$4:$V$96,22,1)</f>
        <v>CA013</v>
      </c>
      <c r="AA39" s="71">
        <f>IF(B39="Total général"," ",INDEX(Feuil1!$T$4:$AA$96,22,8))</f>
        <v>83085.570000000007</v>
      </c>
      <c r="AB39" s="71"/>
      <c r="AC39" s="71"/>
      <c r="AD39" s="71"/>
    </row>
    <row r="40" spans="2:30" ht="15.75" x14ac:dyDescent="0.25">
      <c r="B40" s="52" t="str">
        <f>INDEX(Feuil1!$T$4:$V$96,23,1)</f>
        <v>CA014</v>
      </c>
      <c r="C40" s="78">
        <f>IF(B40="Total général"," ",INDEX(Feuil1!$T$4:$V$96,23,3))</f>
        <v>1054</v>
      </c>
      <c r="D40" s="78"/>
      <c r="E40" s="78"/>
      <c r="F40" s="78"/>
      <c r="Z40" s="47" t="str">
        <f>INDEX(Feuil1!$T$4:$V$96,23,1)</f>
        <v>CA014</v>
      </c>
      <c r="AA40" s="71">
        <f>IF(B40="Total général"," ",INDEX(Feuil1!$T$4:$AA$96,23,8))</f>
        <v>25180</v>
      </c>
      <c r="AB40" s="71"/>
      <c r="AC40" s="71"/>
      <c r="AD40" s="71"/>
    </row>
    <row r="41" spans="2:30" ht="15.75" x14ac:dyDescent="0.25">
      <c r="B41" s="52" t="str">
        <f>INDEX(Feuil1!$T$4:$V$96,24,1)</f>
        <v>CA015</v>
      </c>
      <c r="C41" s="78">
        <f>IF(B41="Total général"," ",INDEX(Feuil1!$T$4:$V$96,24,3))</f>
        <v>9862</v>
      </c>
      <c r="D41" s="78"/>
      <c r="E41" s="78"/>
      <c r="F41" s="78"/>
      <c r="Z41" s="47" t="str">
        <f>INDEX(Feuil1!$T$4:$V$96,24,1)</f>
        <v>CA015</v>
      </c>
      <c r="AA41" s="71">
        <f>IF(B41="Total général"," ",INDEX(Feuil1!$T$4:$AA$96,24,8))</f>
        <v>-42668.36</v>
      </c>
      <c r="AB41" s="71"/>
      <c r="AC41" s="71"/>
      <c r="AD41" s="71"/>
    </row>
    <row r="42" spans="2:30" ht="15.75" x14ac:dyDescent="0.25">
      <c r="B42" s="52" t="str">
        <f>INDEX(Feuil1!$T$4:$V$96,25,1)</f>
        <v>CB001</v>
      </c>
      <c r="C42" s="78">
        <f>IF(B42="Total général"," ",INDEX(Feuil1!$T$4:$V$96,25,3))</f>
        <v>3940</v>
      </c>
      <c r="D42" s="78"/>
      <c r="E42" s="78"/>
      <c r="F42" s="78"/>
      <c r="Z42" s="47" t="str">
        <f>INDEX(Feuil1!$T$4:$V$96,25,1)</f>
        <v>CB001</v>
      </c>
      <c r="AA42" s="71">
        <f>IF(B42="Total général"," ",INDEX(Feuil1!$T$4:$AA$96,25,8))</f>
        <v>71383.812222222215</v>
      </c>
      <c r="AB42" s="71"/>
      <c r="AC42" s="71"/>
      <c r="AD42" s="71"/>
    </row>
    <row r="43" spans="2:30" ht="15.75" x14ac:dyDescent="0.25">
      <c r="B43" s="52" t="str">
        <f>INDEX(Feuil1!$T$4:$V$96,26,1)</f>
        <v>CB002</v>
      </c>
      <c r="C43" s="78">
        <f>IF(B43="Total général"," ",INDEX(Feuil1!$T$4:$V$96,26,3))</f>
        <v>917</v>
      </c>
      <c r="D43" s="78"/>
      <c r="E43" s="78"/>
      <c r="F43" s="78"/>
      <c r="Z43" s="47" t="str">
        <f>INDEX(Feuil1!$T$4:$V$96,26,1)</f>
        <v>CB002</v>
      </c>
      <c r="AA43" s="71">
        <f>IF(B43="Total général"," ",INDEX(Feuil1!$T$4:$AA$96,26,8))</f>
        <v>72920</v>
      </c>
      <c r="AB43" s="71"/>
      <c r="AC43" s="71"/>
      <c r="AD43" s="71"/>
    </row>
    <row r="44" spans="2:30" ht="15.75" x14ac:dyDescent="0.25">
      <c r="B44" s="52" t="str">
        <f>INDEX(Feuil1!$T$4:$V$96,27,1)</f>
        <v>CH001</v>
      </c>
      <c r="C44" s="78">
        <f>IF(B44="Total général"," ",INDEX(Feuil1!$T$4:$V$96,27,3))</f>
        <v>18571</v>
      </c>
      <c r="D44" s="78"/>
      <c r="E44" s="78"/>
      <c r="F44" s="78"/>
      <c r="Z44" s="47" t="str">
        <f>INDEX(Feuil1!$T$4:$V$96,27,1)</f>
        <v>CH001</v>
      </c>
      <c r="AA44" s="71">
        <f>IF(B44="Total général"," ",INDEX(Feuil1!$T$4:$AA$96,27,8))</f>
        <v>313463.41111111111</v>
      </c>
      <c r="AB44" s="71"/>
      <c r="AC44" s="71"/>
      <c r="AD44" s="71"/>
    </row>
    <row r="45" spans="2:30" ht="15.75" x14ac:dyDescent="0.25">
      <c r="B45" s="52" t="str">
        <f>INDEX(Feuil1!$T$4:$V$96,28,1)</f>
        <v>CH002</v>
      </c>
      <c r="C45" s="78">
        <f>IF(B45="Total général"," ",INDEX(Feuil1!$T$4:$V$96,28,3))</f>
        <v>13595.33</v>
      </c>
      <c r="D45" s="78"/>
      <c r="E45" s="78"/>
      <c r="F45" s="78"/>
      <c r="Z45" s="47" t="str">
        <f>INDEX(Feuil1!$T$4:$V$96,28,1)</f>
        <v>CH002</v>
      </c>
      <c r="AA45" s="71">
        <f>IF(B45="Total général"," ",INDEX(Feuil1!$T$4:$AA$96,28,8))</f>
        <v>459674.59777777782</v>
      </c>
      <c r="AB45" s="71"/>
      <c r="AC45" s="71"/>
      <c r="AD45" s="71"/>
    </row>
    <row r="46" spans="2:30" ht="15.75" x14ac:dyDescent="0.25">
      <c r="B46" s="52" t="str">
        <f>INDEX(Feuil1!$T$4:$V$96,29,1)</f>
        <v>CH003</v>
      </c>
      <c r="C46" s="78">
        <f>IF(B46="Total général"," ",INDEX(Feuil1!$T$4:$V$96,29,3))</f>
        <v>14370</v>
      </c>
      <c r="D46" s="78"/>
      <c r="E46" s="78"/>
      <c r="F46" s="78"/>
      <c r="Z46" s="47" t="str">
        <f>INDEX(Feuil1!$T$4:$V$96,29,1)</f>
        <v>CH003</v>
      </c>
      <c r="AA46" s="71">
        <f>IF(B46="Total général"," ",INDEX(Feuil1!$T$4:$AA$96,29,8))</f>
        <v>402858.77</v>
      </c>
      <c r="AB46" s="71"/>
      <c r="AC46" s="71"/>
      <c r="AD46" s="71"/>
    </row>
    <row r="47" spans="2:30" ht="15.75" x14ac:dyDescent="0.25">
      <c r="B47" s="52" t="str">
        <f>INDEX(Feuil1!$T$4:$V$96,30,1)</f>
        <v>CH004</v>
      </c>
      <c r="C47" s="78">
        <f>IF(B47="Total général"," ",INDEX(Feuil1!$T$4:$V$96,30,3))</f>
        <v>13349</v>
      </c>
      <c r="D47" s="78"/>
      <c r="E47" s="78"/>
      <c r="F47" s="78"/>
      <c r="Z47" s="47" t="str">
        <f>INDEX(Feuil1!$T$4:$V$96,30,1)</f>
        <v>CH004</v>
      </c>
      <c r="AA47" s="71">
        <f>IF(B47="Total général"," ",INDEX(Feuil1!$T$4:$AA$96,30,8))</f>
        <v>370947.52999999997</v>
      </c>
      <c r="AB47" s="71"/>
      <c r="AC47" s="71"/>
      <c r="AD47" s="71"/>
    </row>
    <row r="48" spans="2:30" ht="15.75" x14ac:dyDescent="0.25">
      <c r="B48" s="52" t="str">
        <f>INDEX(Feuil1!$T$4:$V$96,31,1)</f>
        <v>CONC001</v>
      </c>
      <c r="C48" s="78">
        <f>IF(B48="Total général"," ",INDEX(Feuil1!$T$4:$V$96,31,3))</f>
        <v>32034</v>
      </c>
      <c r="D48" s="78"/>
      <c r="E48" s="78"/>
      <c r="F48" s="78"/>
      <c r="Z48" s="47" t="str">
        <f>INDEX(Feuil1!$T$4:$V$96,31,1)</f>
        <v>CONC001</v>
      </c>
      <c r="AA48" s="71">
        <f>IF(B48="Total général"," ",INDEX(Feuil1!$T$4:$AA$96,31,8))</f>
        <v>816297.48999999987</v>
      </c>
      <c r="AB48" s="71"/>
      <c r="AC48" s="71"/>
      <c r="AD48" s="71"/>
    </row>
    <row r="49" spans="2:30" ht="15.75" x14ac:dyDescent="0.25">
      <c r="B49" s="52" t="str">
        <f>INDEX(Feuil1!$T$4:$V$96,32,1)</f>
        <v>CONC002</v>
      </c>
      <c r="C49" s="78">
        <f>IF(B49="Total général"," ",INDEX(Feuil1!$T$4:$V$96,32,3))</f>
        <v>15</v>
      </c>
      <c r="D49" s="78"/>
      <c r="E49" s="78"/>
      <c r="F49" s="78"/>
      <c r="Z49" s="47" t="str">
        <f>INDEX(Feuil1!$T$4:$V$96,32,1)</f>
        <v>CONC002</v>
      </c>
      <c r="AA49" s="71">
        <f>IF(B49="Total général"," ",INDEX(Feuil1!$T$4:$AA$96,32,8))</f>
        <v>981723.73000000021</v>
      </c>
      <c r="AB49" s="71"/>
      <c r="AC49" s="71"/>
      <c r="AD49" s="71"/>
    </row>
    <row r="50" spans="2:30" ht="15.75" x14ac:dyDescent="0.25">
      <c r="B50" s="52" t="str">
        <f>INDEX(Feuil1!$T$4:$V$96,33,1)</f>
        <v>CR001</v>
      </c>
      <c r="C50" s="78">
        <f>IF(B50="Total général"," ",INDEX(Feuil1!$T$4:$V$96,33,3))</f>
        <v>6402.2</v>
      </c>
      <c r="D50" s="78"/>
      <c r="E50" s="78"/>
      <c r="F50" s="78"/>
      <c r="Z50" s="47" t="str">
        <f>INDEX(Feuil1!$T$4:$V$96,33,1)</f>
        <v>CR001</v>
      </c>
      <c r="AA50" s="71">
        <f>IF(B50="Total général"," ",INDEX(Feuil1!$T$4:$AA$96,33,8))</f>
        <v>117220.07555555557</v>
      </c>
      <c r="AB50" s="71"/>
      <c r="AC50" s="71"/>
      <c r="AD50" s="71"/>
    </row>
    <row r="51" spans="2:30" ht="15.75" x14ac:dyDescent="0.25">
      <c r="B51" s="52" t="str">
        <f>INDEX(Feuil1!$T$4:$V$96,34,1)</f>
        <v>CRI001</v>
      </c>
      <c r="C51" s="78">
        <f>IF(B51="Total général"," ",INDEX(Feuil1!$T$4:$V$96,34,3))</f>
        <v>5521</v>
      </c>
      <c r="D51" s="78"/>
      <c r="E51" s="78"/>
      <c r="F51" s="78"/>
      <c r="Z51" s="47" t="str">
        <f>INDEX(Feuil1!$T$4:$V$96,34,1)</f>
        <v>CRI001</v>
      </c>
      <c r="AA51" s="71">
        <f>IF(B51="Total général"," ",INDEX(Feuil1!$T$4:$AA$96,34,8))</f>
        <v>501065.80777777778</v>
      </c>
      <c r="AB51" s="71"/>
      <c r="AC51" s="71"/>
      <c r="AD51" s="71"/>
    </row>
    <row r="52" spans="2:30" ht="15.75" x14ac:dyDescent="0.25">
      <c r="B52" s="52" t="str">
        <f>INDEX(Feuil1!$T$4:$V$96,35,1)</f>
        <v>D8</v>
      </c>
      <c r="C52" s="78">
        <f>IF(B52="Total général"," ",INDEX(Feuil1!$T$4:$V$96,35,3))</f>
        <v>29372</v>
      </c>
      <c r="D52" s="78"/>
      <c r="E52" s="78"/>
      <c r="F52" s="78"/>
      <c r="Z52" s="47" t="str">
        <f>INDEX(Feuil1!$T$4:$V$96,35,1)</f>
        <v>D8</v>
      </c>
      <c r="AA52" s="71">
        <f>IF(B52="Total général"," ",INDEX(Feuil1!$T$4:$AA$96,35,8))</f>
        <v>1032057.29</v>
      </c>
      <c r="AB52" s="71"/>
      <c r="AC52" s="71"/>
      <c r="AD52" s="71"/>
    </row>
    <row r="53" spans="2:30" ht="15.75" x14ac:dyDescent="0.25">
      <c r="B53" s="52" t="str">
        <f>INDEX(Feuil1!$T$4:$V$96,36,1)</f>
        <v>GR001</v>
      </c>
      <c r="C53" s="78">
        <f>IF(B53="Total général"," ",INDEX(Feuil1!$T$4:$V$96,36,3))</f>
        <v>1719</v>
      </c>
      <c r="D53" s="78"/>
      <c r="E53" s="78"/>
      <c r="F53" s="78"/>
      <c r="Z53" s="47" t="str">
        <f>INDEX(Feuil1!$T$4:$V$96,36,1)</f>
        <v>GR001</v>
      </c>
      <c r="AA53" s="71">
        <f>IF(B53="Total général"," ",INDEX(Feuil1!$T$4:$AA$96,36,8))</f>
        <v>25116.690000000002</v>
      </c>
      <c r="AB53" s="71"/>
      <c r="AC53" s="71"/>
      <c r="AD53" s="71"/>
    </row>
    <row r="54" spans="2:30" ht="15.75" x14ac:dyDescent="0.25">
      <c r="B54" s="52" t="str">
        <f>INDEX(Feuil1!$T$4:$V$96,37,1)</f>
        <v>N001</v>
      </c>
      <c r="C54" s="78">
        <f>IF(B54="Total général"," ",INDEX(Feuil1!$T$4:$V$96,37,3))</f>
        <v>11683.58</v>
      </c>
      <c r="D54" s="78"/>
      <c r="E54" s="78"/>
      <c r="F54" s="78"/>
      <c r="Z54" s="47" t="str">
        <f>INDEX(Feuil1!$T$4:$V$96,37,1)</f>
        <v>N001</v>
      </c>
      <c r="AA54" s="71">
        <f>IF(B54="Total général"," ",INDEX(Feuil1!$T$4:$AA$96,37,8))</f>
        <v>401403.67000000004</v>
      </c>
      <c r="AB54" s="71"/>
      <c r="AC54" s="71"/>
      <c r="AD54" s="71"/>
    </row>
    <row r="55" spans="2:30" ht="15.75" x14ac:dyDescent="0.25">
      <c r="B55" s="52" t="str">
        <f>INDEX(Feuil1!$T$4:$V$96,38,1)</f>
        <v>N002</v>
      </c>
      <c r="C55" s="78">
        <f>IF(B55="Total général"," ",INDEX(Feuil1!$T$4:$V$96,38,3))</f>
        <v>2298</v>
      </c>
      <c r="D55" s="78"/>
      <c r="E55" s="78"/>
      <c r="F55" s="78"/>
      <c r="Z55" s="47" t="str">
        <f>INDEX(Feuil1!$T$4:$V$96,38,1)</f>
        <v>N002</v>
      </c>
      <c r="AA55" s="71">
        <f>IF(B55="Total général"," ",INDEX(Feuil1!$T$4:$AA$96,38,8))</f>
        <v>-8041.7899999999991</v>
      </c>
      <c r="AB55" s="71"/>
      <c r="AC55" s="71"/>
      <c r="AD55" s="71"/>
    </row>
    <row r="56" spans="2:30" ht="15.75" x14ac:dyDescent="0.25">
      <c r="B56" s="52" t="str">
        <f>INDEX(Feuil1!$T$4:$V$96,39,1)</f>
        <v>N003</v>
      </c>
      <c r="C56" s="78">
        <f>IF(B56="Total général"," ",INDEX(Feuil1!$T$4:$V$96,39,3))</f>
        <v>18570</v>
      </c>
      <c r="D56" s="78"/>
      <c r="E56" s="78"/>
      <c r="F56" s="78"/>
      <c r="Z56" s="47" t="str">
        <f>INDEX(Feuil1!$T$4:$V$96,39,1)</f>
        <v>N003</v>
      </c>
      <c r="AA56" s="71">
        <f>IF(B56="Total général"," ",INDEX(Feuil1!$T$4:$AA$96,39,8))</f>
        <v>336289.45333333337</v>
      </c>
      <c r="AB56" s="71"/>
      <c r="AC56" s="71"/>
      <c r="AD56" s="71"/>
    </row>
    <row r="57" spans="2:30" ht="15.75" x14ac:dyDescent="0.25">
      <c r="B57" s="52" t="str">
        <f>INDEX(Feuil1!$T$4:$V$96,40,1)</f>
        <v>N004</v>
      </c>
      <c r="C57" s="78">
        <f>IF(B57="Total général"," ",INDEX(Feuil1!$T$4:$V$96,40,3))</f>
        <v>29397.279999999999</v>
      </c>
      <c r="D57" s="78"/>
      <c r="E57" s="78"/>
      <c r="F57" s="78"/>
      <c r="Z57" s="47" t="str">
        <f>INDEX(Feuil1!$T$4:$V$96,40,1)</f>
        <v>N004</v>
      </c>
      <c r="AA57" s="71">
        <f>IF(B57="Total général"," ",INDEX(Feuil1!$T$4:$AA$96,40,8))</f>
        <v>247447.70888888891</v>
      </c>
      <c r="AB57" s="71"/>
      <c r="AC57" s="71"/>
      <c r="AD57" s="71"/>
    </row>
    <row r="58" spans="2:30" ht="15.75" x14ac:dyDescent="0.25">
      <c r="B58" s="52" t="str">
        <f>INDEX(Feuil1!$T$4:$V$96,41,1)</f>
        <v>N005</v>
      </c>
      <c r="C58" s="78">
        <f>IF(B58="Total général"," ",INDEX(Feuil1!$T$4:$V$96,41,3))</f>
        <v>8883</v>
      </c>
      <c r="D58" s="78"/>
      <c r="E58" s="78"/>
      <c r="F58" s="78"/>
      <c r="Z58" s="47" t="str">
        <f>INDEX(Feuil1!$T$4:$V$96,41,1)</f>
        <v>N005</v>
      </c>
      <c r="AA58" s="71">
        <f>IF(B58="Total général"," ",INDEX(Feuil1!$T$4:$AA$96,41,8))</f>
        <v>256915.11</v>
      </c>
      <c r="AB58" s="71"/>
      <c r="AC58" s="71"/>
      <c r="AD58" s="71"/>
    </row>
    <row r="59" spans="2:30" ht="15.75" x14ac:dyDescent="0.25">
      <c r="B59" s="52" t="str">
        <f>INDEX(Feuil1!$T$4:$V$96,42,1)</f>
        <v>OUT0001</v>
      </c>
      <c r="C59" s="78">
        <f>IF(B59="Total général"," ",INDEX(Feuil1!$T$4:$V$96,42,3))</f>
        <v>69</v>
      </c>
      <c r="D59" s="78"/>
      <c r="E59" s="78"/>
      <c r="F59" s="78"/>
      <c r="Z59" s="47" t="str">
        <f>INDEX(Feuil1!$T$4:$V$96,42,1)</f>
        <v>OUT0001</v>
      </c>
      <c r="AA59" s="71">
        <f>IF(B59="Total général"," ",INDEX(Feuil1!$T$4:$AA$96,42,8))</f>
        <v>-283.12</v>
      </c>
      <c r="AB59" s="71"/>
      <c r="AC59" s="71"/>
      <c r="AD59" s="71"/>
    </row>
    <row r="60" spans="2:30" ht="15.75" x14ac:dyDescent="0.25">
      <c r="B60" s="52" t="str">
        <f>INDEX(Feuil1!$T$4:$V$96,43,1)</f>
        <v>OUT0002</v>
      </c>
      <c r="C60" s="78">
        <f>IF(B60="Total général"," ",INDEX(Feuil1!$T$4:$V$96,43,3))</f>
        <v>110</v>
      </c>
      <c r="D60" s="78"/>
      <c r="E60" s="78"/>
      <c r="F60" s="78"/>
      <c r="Z60" s="47" t="str">
        <f>INDEX(Feuil1!$T$4:$V$96,43,1)</f>
        <v>OUT0002</v>
      </c>
      <c r="AA60" s="71">
        <f>IF(B60="Total général"," ",INDEX(Feuil1!$T$4:$AA$96,43,8))</f>
        <v>-40</v>
      </c>
      <c r="AB60" s="71"/>
      <c r="AC60" s="71"/>
      <c r="AD60" s="71"/>
    </row>
    <row r="61" spans="2:30" ht="15.75" x14ac:dyDescent="0.25">
      <c r="B61" s="52" t="str">
        <f>INDEX(Feuil1!$T$4:$V$96,44,1)</f>
        <v>OUT0003</v>
      </c>
      <c r="C61" s="78">
        <f>IF(B61="Total général"," ",INDEX(Feuil1!$T$4:$V$96,44,3))</f>
        <v>204</v>
      </c>
      <c r="D61" s="78"/>
      <c r="E61" s="78"/>
      <c r="F61" s="78"/>
      <c r="Z61" s="47" t="str">
        <f>INDEX(Feuil1!$T$4:$V$96,44,1)</f>
        <v>OUT0003</v>
      </c>
      <c r="AA61" s="71">
        <f>IF(B61="Total général"," ",INDEX(Feuil1!$T$4:$AA$96,44,8))</f>
        <v>-543.5</v>
      </c>
      <c r="AB61" s="71"/>
      <c r="AC61" s="71"/>
      <c r="AD61" s="71"/>
    </row>
    <row r="62" spans="2:30" ht="15.75" x14ac:dyDescent="0.25">
      <c r="B62" s="52" t="str">
        <f>INDEX(Feuil1!$T$4:$V$96,45,1)</f>
        <v>OUT0004</v>
      </c>
      <c r="C62" s="78">
        <f>IF(B62="Total général"," ",INDEX(Feuil1!$T$4:$V$96,45,3))</f>
        <v>19018.47</v>
      </c>
      <c r="D62" s="78"/>
      <c r="E62" s="78"/>
      <c r="F62" s="78"/>
      <c r="Z62" s="47" t="str">
        <f>INDEX(Feuil1!$T$4:$V$96,45,1)</f>
        <v>OUT0004</v>
      </c>
      <c r="AA62" s="71">
        <f>IF(B62="Total général"," ",INDEX(Feuil1!$T$4:$AA$96,45,8))</f>
        <v>-74597.17</v>
      </c>
      <c r="AB62" s="71"/>
      <c r="AC62" s="71"/>
      <c r="AD62" s="71"/>
    </row>
    <row r="63" spans="2:30" ht="15.75" x14ac:dyDescent="0.25">
      <c r="B63" s="52" t="str">
        <f>INDEX(Feuil1!$T$4:$V$96,46,1)</f>
        <v>OUT0005</v>
      </c>
      <c r="C63" s="78">
        <f>IF(B63="Total général"," ",INDEX(Feuil1!$T$4:$V$96,46,3))</f>
        <v>187</v>
      </c>
      <c r="D63" s="78"/>
      <c r="E63" s="78"/>
      <c r="F63" s="78"/>
      <c r="Z63" s="47" t="str">
        <f>INDEX(Feuil1!$T$4:$V$96,46,1)</f>
        <v>OUT0005</v>
      </c>
      <c r="AA63" s="71">
        <f>IF(B63="Total général"," ",INDEX(Feuil1!$T$4:$AA$96,46,8))</f>
        <v>-80</v>
      </c>
      <c r="AB63" s="71"/>
      <c r="AC63" s="71"/>
      <c r="AD63" s="71"/>
    </row>
    <row r="64" spans="2:30" ht="15.75" x14ac:dyDescent="0.25">
      <c r="B64" s="52" t="str">
        <f>INDEX(Feuil1!$T$4:$V$96,47,1)</f>
        <v>OUT0006</v>
      </c>
      <c r="C64" s="78">
        <f>IF(B64="Total général"," ",INDEX(Feuil1!$T$4:$V$96,47,3))</f>
        <v>332</v>
      </c>
      <c r="D64" s="78"/>
      <c r="E64" s="78"/>
      <c r="F64" s="78"/>
      <c r="Z64" s="47" t="str">
        <f>INDEX(Feuil1!$T$4:$V$96,47,1)</f>
        <v>OUT0006</v>
      </c>
      <c r="AA64" s="71">
        <f>IF(B64="Total général"," ",INDEX(Feuil1!$T$4:$AA$96,47,8))</f>
        <v>-2853.16</v>
      </c>
      <c r="AB64" s="71"/>
      <c r="AC64" s="71"/>
      <c r="AD64" s="71"/>
    </row>
    <row r="65" spans="2:30" ht="15.75" x14ac:dyDescent="0.25">
      <c r="B65" s="52" t="str">
        <f>INDEX(Feuil1!$T$4:$V$96,48,1)</f>
        <v>OUT0007</v>
      </c>
      <c r="C65" s="78">
        <f>IF(B65="Total général"," ",INDEX(Feuil1!$T$4:$V$96,48,3))</f>
        <v>422.5</v>
      </c>
      <c r="D65" s="78"/>
      <c r="E65" s="78"/>
      <c r="F65" s="78"/>
      <c r="Z65" s="47" t="str">
        <f>INDEX(Feuil1!$T$4:$V$96,48,1)</f>
        <v>OUT0007</v>
      </c>
      <c r="AA65" s="71">
        <f>IF(B65="Total général"," ",INDEX(Feuil1!$T$4:$AA$96,48,8))</f>
        <v>-1456.4699999999998</v>
      </c>
      <c r="AB65" s="71"/>
      <c r="AC65" s="71"/>
      <c r="AD65" s="71"/>
    </row>
    <row r="66" spans="2:30" ht="15.75" x14ac:dyDescent="0.25">
      <c r="B66" s="52" t="str">
        <f>INDEX(Feuil1!$T$4:$V$96,49,1)</f>
        <v>OUT0009</v>
      </c>
      <c r="C66" s="78">
        <f>IF(B66="Total général"," ",INDEX(Feuil1!$T$4:$V$96,49,3))</f>
        <v>110</v>
      </c>
      <c r="D66" s="78"/>
      <c r="E66" s="78"/>
      <c r="F66" s="78"/>
      <c r="Z66" s="47" t="str">
        <f>INDEX(Feuil1!$T$4:$V$96,49,1)</f>
        <v>OUT0009</v>
      </c>
      <c r="AA66" s="71">
        <f>IF(B66="Total général"," ",INDEX(Feuil1!$T$4:$AA$96,49,8))</f>
        <v>-313.31</v>
      </c>
      <c r="AB66" s="71"/>
      <c r="AC66" s="71"/>
      <c r="AD66" s="71"/>
    </row>
    <row r="67" spans="2:30" ht="15.75" x14ac:dyDescent="0.25">
      <c r="B67" s="52" t="str">
        <f>INDEX(Feuil1!$T$4:$V$96,50,1)</f>
        <v>OUT0010</v>
      </c>
      <c r="C67" s="78">
        <f>IF(B67="Total général"," ",INDEX(Feuil1!$T$4:$V$96,50,3))</f>
        <v>118</v>
      </c>
      <c r="D67" s="78"/>
      <c r="E67" s="78"/>
      <c r="F67" s="78"/>
      <c r="Z67" s="47" t="str">
        <f>INDEX(Feuil1!$T$4:$V$96,50,1)</f>
        <v>OUT0010</v>
      </c>
      <c r="AA67" s="71">
        <f>IF(B67="Total général"," ",INDEX(Feuil1!$T$4:$AA$96,50,8))</f>
        <v>0</v>
      </c>
      <c r="AB67" s="71"/>
      <c r="AC67" s="71"/>
      <c r="AD67" s="71"/>
    </row>
    <row r="68" spans="2:30" ht="15.75" x14ac:dyDescent="0.25">
      <c r="B68" s="52" t="str">
        <f>INDEX(Feuil1!$T$4:$V$96,51,1)</f>
        <v>OUT0011</v>
      </c>
      <c r="C68" s="78">
        <f>IF(B68="Total général"," ",INDEX(Feuil1!$T$4:$V$96,51,3))</f>
        <v>180</v>
      </c>
      <c r="D68" s="78"/>
      <c r="E68" s="78"/>
      <c r="F68" s="78"/>
      <c r="Z68" s="47" t="str">
        <f>INDEX(Feuil1!$T$4:$V$96,51,1)</f>
        <v>OUT0011</v>
      </c>
      <c r="AA68" s="71">
        <f>IF(B68="Total général"," ",INDEX(Feuil1!$T$4:$AA$96,51,8))</f>
        <v>0</v>
      </c>
      <c r="AB68" s="71"/>
      <c r="AC68" s="71"/>
      <c r="AD68" s="71"/>
    </row>
    <row r="69" spans="2:30" ht="15.75" x14ac:dyDescent="0.25">
      <c r="B69" s="52" t="str">
        <f>INDEX(Feuil1!$T$4:$V$96,52,1)</f>
        <v>OUT0012</v>
      </c>
      <c r="C69" s="78">
        <f>IF(B69="Total général"," ",INDEX(Feuil1!$T$4:$V$96,52,3))</f>
        <v>155</v>
      </c>
      <c r="D69" s="78"/>
      <c r="E69" s="78"/>
      <c r="F69" s="78"/>
      <c r="Z69" s="47" t="str">
        <f>INDEX(Feuil1!$T$4:$V$96,52,1)</f>
        <v>OUT0012</v>
      </c>
      <c r="AA69" s="71">
        <f>IF(B69="Total général"," ",INDEX(Feuil1!$T$4:$AA$96,52,8))</f>
        <v>0</v>
      </c>
      <c r="AB69" s="71"/>
      <c r="AC69" s="71"/>
      <c r="AD69" s="71"/>
    </row>
    <row r="70" spans="2:30" ht="15.75" x14ac:dyDescent="0.25">
      <c r="B70" s="52" t="str">
        <f>INDEX(Feuil1!$T$4:$V$96,53,1)</f>
        <v>OUT0013</v>
      </c>
      <c r="C70" s="78">
        <f>IF(B70="Total général"," ",INDEX(Feuil1!$T$4:$V$96,53,3))</f>
        <v>20</v>
      </c>
      <c r="D70" s="78"/>
      <c r="E70" s="78"/>
      <c r="F70" s="78"/>
      <c r="Z70" s="47" t="str">
        <f>INDEX(Feuil1!$T$4:$V$96,53,1)</f>
        <v>OUT0013</v>
      </c>
      <c r="AA70" s="71">
        <f>IF(B70="Total général"," ",INDEX(Feuil1!$T$4:$AA$96,53,8))</f>
        <v>0</v>
      </c>
      <c r="AB70" s="71"/>
      <c r="AC70" s="71"/>
      <c r="AD70" s="71"/>
    </row>
    <row r="71" spans="2:30" ht="15.75" x14ac:dyDescent="0.25">
      <c r="B71" s="52" t="str">
        <f>INDEX(Feuil1!$T$4:$V$96,54,1)</f>
        <v>OUT0014</v>
      </c>
      <c r="C71" s="78">
        <f>IF(B71="Total général"," ",INDEX(Feuil1!$T$4:$V$96,54,3))</f>
        <v>5</v>
      </c>
      <c r="D71" s="78"/>
      <c r="E71" s="78"/>
      <c r="F71" s="78"/>
      <c r="Z71" s="47" t="str">
        <f>INDEX(Feuil1!$T$4:$V$96,54,1)</f>
        <v>OUT0014</v>
      </c>
      <c r="AA71" s="71">
        <f>IF(B71="Total général"," ",INDEX(Feuil1!$T$4:$AA$96,54,8))</f>
        <v>0</v>
      </c>
      <c r="AB71" s="71"/>
      <c r="AC71" s="71"/>
      <c r="AD71" s="71"/>
    </row>
    <row r="72" spans="2:30" ht="15.75" x14ac:dyDescent="0.25">
      <c r="B72" s="52" t="str">
        <f>INDEX(Feuil1!$T$4:$V$96,55,1)</f>
        <v>P001</v>
      </c>
      <c r="C72" s="78">
        <f>IF(B72="Total général"," ",INDEX(Feuil1!$T$4:$V$96,55,3))</f>
        <v>25657.38</v>
      </c>
      <c r="D72" s="78"/>
      <c r="E72" s="78"/>
      <c r="F72" s="78"/>
      <c r="Z72" s="47" t="str">
        <f>INDEX(Feuil1!$T$4:$V$96,55,1)</f>
        <v>P001</v>
      </c>
      <c r="AA72" s="71">
        <f>IF(B72="Total général"," ",INDEX(Feuil1!$T$4:$AA$96,55,8))</f>
        <v>217645.68555555562</v>
      </c>
      <c r="AB72" s="71"/>
      <c r="AC72" s="71"/>
      <c r="AD72" s="71"/>
    </row>
    <row r="73" spans="2:30" ht="15.75" x14ac:dyDescent="0.25">
      <c r="B73" s="52" t="str">
        <f>INDEX(Feuil1!$T$4:$V$96,56,1)</f>
        <v>P002</v>
      </c>
      <c r="C73" s="78">
        <f>IF(B73="Total général"," ",INDEX(Feuil1!$T$4:$V$96,56,3))</f>
        <v>18047</v>
      </c>
      <c r="D73" s="78"/>
      <c r="E73" s="78"/>
      <c r="F73" s="78"/>
      <c r="Z73" s="47" t="str">
        <f>INDEX(Feuil1!$T$4:$V$96,56,1)</f>
        <v>P002</v>
      </c>
      <c r="AA73" s="71">
        <f>IF(B73="Total général"," ",INDEX(Feuil1!$T$4:$AA$96,56,8))</f>
        <v>312043.71222222224</v>
      </c>
      <c r="AB73" s="71"/>
      <c r="AC73" s="71"/>
      <c r="AD73" s="71"/>
    </row>
    <row r="74" spans="2:30" ht="15.75" x14ac:dyDescent="0.25">
      <c r="B74" s="52" t="str">
        <f>INDEX(Feuil1!$T$4:$V$96,57,1)</f>
        <v>P003</v>
      </c>
      <c r="C74" s="78">
        <f>IF(B74="Total général"," ",INDEX(Feuil1!$T$4:$V$96,57,3))</f>
        <v>18492</v>
      </c>
      <c r="D74" s="78"/>
      <c r="E74" s="78"/>
      <c r="F74" s="78"/>
      <c r="Z74" s="47" t="str">
        <f>INDEX(Feuil1!$T$4:$V$96,57,1)</f>
        <v>P003</v>
      </c>
      <c r="AA74" s="71">
        <f>IF(B74="Total général"," ",INDEX(Feuil1!$T$4:$AA$96,57,8))</f>
        <v>215299.09</v>
      </c>
      <c r="AB74" s="71"/>
      <c r="AC74" s="71"/>
      <c r="AD74" s="71"/>
    </row>
    <row r="75" spans="2:30" ht="15.75" x14ac:dyDescent="0.25">
      <c r="B75" s="52" t="str">
        <f>INDEX(Feuil1!$T$4:$V$96,58,1)</f>
        <v>P004</v>
      </c>
      <c r="C75" s="78">
        <f>IF(B75="Total général"," ",INDEX(Feuil1!$T$4:$V$96,58,3))</f>
        <v>30100.9</v>
      </c>
      <c r="D75" s="78"/>
      <c r="E75" s="78"/>
      <c r="F75" s="78"/>
      <c r="Z75" s="47" t="str">
        <f>INDEX(Feuil1!$T$4:$V$96,58,1)</f>
        <v>P004</v>
      </c>
      <c r="AA75" s="71">
        <f>IF(B75="Total général"," ",INDEX(Feuil1!$T$4:$AA$96,58,8))</f>
        <v>193452.40333333315</v>
      </c>
      <c r="AB75" s="71"/>
      <c r="AC75" s="71"/>
      <c r="AD75" s="71"/>
    </row>
    <row r="76" spans="2:30" ht="15.75" x14ac:dyDescent="0.25">
      <c r="B76" s="52" t="str">
        <f>INDEX(Feuil1!$T$4:$V$96,59,1)</f>
        <v>P005</v>
      </c>
      <c r="C76" s="78">
        <f>IF(B76="Total général"," ",INDEX(Feuil1!$T$4:$V$96,59,3))</f>
        <v>45868</v>
      </c>
      <c r="D76" s="78"/>
      <c r="E76" s="78"/>
      <c r="F76" s="78"/>
      <c r="Z76" s="47" t="str">
        <f>INDEX(Feuil1!$T$4:$V$96,59,1)</f>
        <v>P005</v>
      </c>
      <c r="AA76" s="71">
        <f>IF(B76="Total général"," ",INDEX(Feuil1!$T$4:$AA$96,59,8))</f>
        <v>148482.19666666651</v>
      </c>
      <c r="AB76" s="71"/>
      <c r="AC76" s="71"/>
      <c r="AD76" s="71"/>
    </row>
    <row r="77" spans="2:30" ht="15.75" x14ac:dyDescent="0.25">
      <c r="B77" s="52" t="str">
        <f>INDEX(Feuil1!$T$4:$V$96,60,1)</f>
        <v>P006</v>
      </c>
      <c r="C77" s="78">
        <f>IF(B77="Total général"," ",INDEX(Feuil1!$T$4:$V$96,60,3))</f>
        <v>54157</v>
      </c>
      <c r="D77" s="78"/>
      <c r="E77" s="78"/>
      <c r="F77" s="78"/>
      <c r="Z77" s="47" t="str">
        <f>INDEX(Feuil1!$T$4:$V$96,60,1)</f>
        <v>P006</v>
      </c>
      <c r="AA77" s="71">
        <f>IF(B77="Total général"," ",INDEX(Feuil1!$T$4:$AA$96,60,8))</f>
        <v>-130710.0333333335</v>
      </c>
      <c r="AB77" s="71"/>
      <c r="AC77" s="71"/>
      <c r="AD77" s="71"/>
    </row>
    <row r="78" spans="2:30" ht="15.75" x14ac:dyDescent="0.25">
      <c r="B78" s="52" t="str">
        <f>INDEX(Feuil1!$T$4:$V$96,61,1)</f>
        <v>P007</v>
      </c>
      <c r="C78" s="78">
        <f>IF(B78="Total général"," ",INDEX(Feuil1!$T$4:$V$96,61,3))</f>
        <v>43102</v>
      </c>
      <c r="D78" s="78"/>
      <c r="E78" s="78"/>
      <c r="F78" s="78"/>
      <c r="Z78" s="47" t="str">
        <f>INDEX(Feuil1!$T$4:$V$96,61,1)</f>
        <v>P007</v>
      </c>
      <c r="AA78" s="71">
        <f>IF(B78="Total général"," ",INDEX(Feuil1!$T$4:$AA$96,61,8))</f>
        <v>178351.71666666665</v>
      </c>
      <c r="AB78" s="71"/>
      <c r="AC78" s="71"/>
      <c r="AD78" s="71"/>
    </row>
    <row r="79" spans="2:30" ht="15.75" x14ac:dyDescent="0.25">
      <c r="B79" s="52" t="str">
        <f>INDEX(Feuil1!$T$4:$V$96,62,1)</f>
        <v>P008</v>
      </c>
      <c r="C79" s="78">
        <f>IF(B79="Total général"," ",INDEX(Feuil1!$T$4:$V$96,62,3))</f>
        <v>62518</v>
      </c>
      <c r="D79" s="78"/>
      <c r="E79" s="78"/>
      <c r="F79" s="78"/>
      <c r="Z79" s="47" t="str">
        <f>INDEX(Feuil1!$T$4:$V$96,62,1)</f>
        <v>P008</v>
      </c>
      <c r="AA79" s="71">
        <f>IF(B79="Total général"," ",INDEX(Feuil1!$T$4:$AA$96,62,8))</f>
        <v>-7709.0500000000029</v>
      </c>
      <c r="AB79" s="71"/>
      <c r="AC79" s="71"/>
      <c r="AD79" s="71"/>
    </row>
    <row r="80" spans="2:30" ht="15.75" x14ac:dyDescent="0.25">
      <c r="B80" s="52" t="str">
        <f>INDEX(Feuil1!$T$4:$V$96,63,1)</f>
        <v>P009</v>
      </c>
      <c r="C80" s="58"/>
      <c r="D80" s="58"/>
      <c r="E80" s="58"/>
      <c r="F80" s="58"/>
      <c r="Z80" s="47" t="str">
        <f>INDEX(Feuil1!$T$4:$V$96,63,1)</f>
        <v>P009</v>
      </c>
      <c r="AA80" s="59"/>
      <c r="AB80" s="59"/>
      <c r="AC80" s="59"/>
      <c r="AD80" s="59"/>
    </row>
    <row r="81" spans="2:30" ht="15.75" x14ac:dyDescent="0.25">
      <c r="B81" s="52" t="str">
        <f>INDEX(Feuil1!$T$4:$V$96,64,1)</f>
        <v>P010</v>
      </c>
      <c r="C81" s="58"/>
      <c r="D81" s="58"/>
      <c r="E81" s="58"/>
      <c r="F81" s="58"/>
      <c r="Z81" s="47" t="str">
        <f>INDEX(Feuil1!$T$4:$V$96,64,1)</f>
        <v>P010</v>
      </c>
      <c r="AA81" s="59"/>
      <c r="AB81" s="59"/>
      <c r="AC81" s="59"/>
      <c r="AD81" s="59"/>
    </row>
    <row r="82" spans="2:30" ht="15.75" x14ac:dyDescent="0.25">
      <c r="B82" s="52" t="str">
        <f>INDEX(Feuil1!$T$4:$V$96,65,1)</f>
        <v>P011</v>
      </c>
      <c r="C82" s="58"/>
      <c r="D82" s="58"/>
      <c r="E82" s="58"/>
      <c r="F82" s="58"/>
      <c r="Z82" s="47" t="str">
        <f>INDEX(Feuil1!$T$4:$V$96,65,1)</f>
        <v>P011</v>
      </c>
      <c r="AA82" s="59"/>
      <c r="AB82" s="59"/>
      <c r="AC82" s="59"/>
      <c r="AD82" s="59"/>
    </row>
    <row r="83" spans="2:30" ht="15.75" x14ac:dyDescent="0.25">
      <c r="B83" s="52" t="str">
        <f>INDEX(Feuil1!$T$4:$V$96,66,1)</f>
        <v>P012</v>
      </c>
      <c r="C83" s="58"/>
      <c r="D83" s="58"/>
      <c r="E83" s="58"/>
      <c r="F83" s="58"/>
      <c r="Z83" s="47" t="str">
        <f>INDEX(Feuil1!$T$4:$V$96,66,1)</f>
        <v>P012</v>
      </c>
      <c r="AA83" s="59"/>
      <c r="AB83" s="59"/>
      <c r="AC83" s="59"/>
      <c r="AD83" s="59"/>
    </row>
    <row r="84" spans="2:30" ht="15.75" x14ac:dyDescent="0.25">
      <c r="B84" s="52" t="str">
        <f>INDEX(Feuil1!$T$4:$V$96,67,1)</f>
        <v>P013</v>
      </c>
      <c r="C84" s="58"/>
      <c r="D84" s="58"/>
      <c r="E84" s="58"/>
      <c r="F84" s="58"/>
      <c r="Z84" s="47" t="str">
        <f>INDEX(Feuil1!$T$4:$V$96,67,1)</f>
        <v>P013</v>
      </c>
      <c r="AA84" s="59"/>
      <c r="AB84" s="59"/>
      <c r="AC84" s="59"/>
      <c r="AD84" s="59"/>
    </row>
    <row r="85" spans="2:30" ht="15.75" x14ac:dyDescent="0.25">
      <c r="B85" s="52" t="str">
        <f>INDEX(Feuil1!$T$4:$V$96,68,1)</f>
        <v>P014</v>
      </c>
      <c r="C85" s="58"/>
      <c r="D85" s="58"/>
      <c r="E85" s="58"/>
      <c r="F85" s="58"/>
      <c r="Z85" s="47" t="str">
        <f>INDEX(Feuil1!$T$4:$V$96,68,1)</f>
        <v>P014</v>
      </c>
      <c r="AA85" s="59"/>
      <c r="AB85" s="59"/>
      <c r="AC85" s="59"/>
      <c r="AD85" s="59"/>
    </row>
    <row r="86" spans="2:30" ht="15.75" x14ac:dyDescent="0.25">
      <c r="B86" s="52" t="str">
        <f>INDEX(Feuil1!$T$4:$V$96,69,1)</f>
        <v>P015</v>
      </c>
      <c r="C86" s="58"/>
      <c r="D86" s="58"/>
      <c r="E86" s="58"/>
      <c r="F86" s="58"/>
      <c r="Z86" s="47" t="str">
        <f>INDEX(Feuil1!$T$4:$V$96,69,1)</f>
        <v>P015</v>
      </c>
      <c r="AA86" s="59"/>
      <c r="AB86" s="59"/>
      <c r="AC86" s="59"/>
      <c r="AD86" s="59"/>
    </row>
    <row r="87" spans="2:30" ht="15.75" x14ac:dyDescent="0.25">
      <c r="B87" s="52" t="str">
        <f>INDEX(Feuil1!$T$4:$V$96,70,1)</f>
        <v>P016</v>
      </c>
      <c r="C87" s="58"/>
      <c r="D87" s="58"/>
      <c r="E87" s="58"/>
      <c r="F87" s="58"/>
      <c r="Z87" s="47" t="str">
        <f>INDEX(Feuil1!$T$4:$V$96,70,1)</f>
        <v>P016</v>
      </c>
      <c r="AA87" s="59"/>
      <c r="AB87" s="59"/>
      <c r="AC87" s="59"/>
      <c r="AD87" s="59"/>
    </row>
    <row r="88" spans="2:30" ht="15.75" x14ac:dyDescent="0.25">
      <c r="B88" s="52" t="str">
        <f>INDEX(Feuil1!$T$4:$V$96,71,1)</f>
        <v>PICK001</v>
      </c>
      <c r="C88" s="58"/>
      <c r="D88" s="58"/>
      <c r="E88" s="58"/>
      <c r="F88" s="58"/>
      <c r="Z88" s="47" t="str">
        <f>INDEX(Feuil1!$T$4:$V$96,71,1)</f>
        <v>PICK001</v>
      </c>
      <c r="AA88" s="59"/>
      <c r="AB88" s="59"/>
      <c r="AC88" s="59"/>
      <c r="AD88" s="59"/>
    </row>
    <row r="89" spans="2:30" ht="15.75" x14ac:dyDescent="0.25">
      <c r="B89" s="52" t="str">
        <f>INDEX(Feuil1!$T$4:$V$96,72,1)</f>
        <v>PICK002</v>
      </c>
      <c r="C89" s="58"/>
      <c r="D89" s="58"/>
      <c r="E89" s="58"/>
      <c r="F89" s="58"/>
      <c r="Z89" s="47" t="str">
        <f>INDEX(Feuil1!$T$4:$V$96,72,1)</f>
        <v>PICK002</v>
      </c>
      <c r="AA89" s="59"/>
      <c r="AB89" s="59"/>
      <c r="AC89" s="59"/>
      <c r="AD89" s="59"/>
    </row>
    <row r="90" spans="2:30" ht="15.75" x14ac:dyDescent="0.25">
      <c r="B90" s="52" t="str">
        <f>INDEX(Feuil1!$T$4:$V$96,73,1)</f>
        <v>PICK003</v>
      </c>
      <c r="C90" s="58"/>
      <c r="D90" s="58"/>
      <c r="E90" s="58"/>
      <c r="F90" s="58"/>
      <c r="Z90" s="47" t="str">
        <f>INDEX(Feuil1!$T$4:$V$96,73,1)</f>
        <v>PICK003</v>
      </c>
      <c r="AA90" s="59"/>
      <c r="AB90" s="59"/>
      <c r="AC90" s="59"/>
      <c r="AD90" s="59"/>
    </row>
    <row r="91" spans="2:30" ht="15.75" x14ac:dyDescent="0.25">
      <c r="B91" s="52" t="str">
        <f>INDEX(Feuil1!$T$4:$V$96,74,1)</f>
        <v>PICK004</v>
      </c>
      <c r="C91" s="58"/>
      <c r="D91" s="58"/>
      <c r="E91" s="58"/>
      <c r="F91" s="58"/>
      <c r="Z91" s="47" t="str">
        <f>INDEX(Feuil1!$T$4:$V$96,74,1)</f>
        <v>PICK004</v>
      </c>
      <c r="AA91" s="59"/>
      <c r="AB91" s="59"/>
      <c r="AC91" s="59"/>
      <c r="AD91" s="59"/>
    </row>
    <row r="92" spans="2:30" ht="15.75" x14ac:dyDescent="0.25">
      <c r="B92" s="52" t="str">
        <f>INDEX(Feuil1!$T$4:$V$96,75,1)</f>
        <v>PICK005</v>
      </c>
      <c r="C92" s="58"/>
      <c r="D92" s="58"/>
      <c r="E92" s="58"/>
      <c r="F92" s="58"/>
      <c r="Z92" s="47" t="str">
        <f>INDEX(Feuil1!$T$4:$V$96,75,1)</f>
        <v>PICK005</v>
      </c>
      <c r="AA92" s="59"/>
      <c r="AB92" s="59"/>
      <c r="AC92" s="59"/>
      <c r="AD92" s="59"/>
    </row>
    <row r="93" spans="2:30" ht="15.75" x14ac:dyDescent="0.25">
      <c r="B93" s="52" t="str">
        <f>INDEX(Feuil1!$T$4:$V$96,76,1)</f>
        <v>ROC001</v>
      </c>
      <c r="C93" s="58"/>
      <c r="D93" s="58"/>
      <c r="E93" s="58"/>
      <c r="F93" s="58"/>
      <c r="Z93" s="47" t="str">
        <f>INDEX(Feuil1!$T$4:$V$96,76,1)</f>
        <v>ROC001</v>
      </c>
      <c r="AA93" s="59"/>
      <c r="AB93" s="59"/>
      <c r="AC93" s="59"/>
      <c r="AD93" s="59"/>
    </row>
    <row r="94" spans="2:30" ht="15.75" x14ac:dyDescent="0.25">
      <c r="B94" s="52" t="str">
        <f>INDEX(Feuil1!$T$4:$V$96,77,1)</f>
        <v>TR001</v>
      </c>
      <c r="C94" s="58"/>
      <c r="D94" s="58"/>
      <c r="E94" s="58"/>
      <c r="F94" s="58"/>
      <c r="Z94" s="47" t="str">
        <f>INDEX(Feuil1!$T$4:$V$96,77,1)</f>
        <v>TR001</v>
      </c>
      <c r="AA94" s="59"/>
      <c r="AB94" s="59"/>
      <c r="AC94" s="59"/>
      <c r="AD94" s="59"/>
    </row>
    <row r="95" spans="2:30" ht="15.75" x14ac:dyDescent="0.25">
      <c r="B95" s="52" t="str">
        <f>INDEX(Feuil1!$T$4:$V$96,78,1)</f>
        <v>TR002</v>
      </c>
      <c r="C95" s="58"/>
      <c r="D95" s="58"/>
      <c r="E95" s="58"/>
      <c r="F95" s="58"/>
      <c r="Z95" s="47" t="str">
        <f>INDEX(Feuil1!$T$4:$V$96,78,1)</f>
        <v>TR002</v>
      </c>
      <c r="AA95" s="59"/>
      <c r="AB95" s="59"/>
      <c r="AC95" s="59"/>
      <c r="AD95" s="59"/>
    </row>
    <row r="96" spans="2:30" ht="15.75" x14ac:dyDescent="0.25">
      <c r="B96" s="52" t="str">
        <f>INDEX(Feuil1!$T$4:$V$96,79,1)</f>
        <v>TR003</v>
      </c>
      <c r="C96" s="58"/>
      <c r="D96" s="58"/>
      <c r="E96" s="58"/>
      <c r="F96" s="58"/>
      <c r="Z96" s="47" t="str">
        <f>INDEX(Feuil1!$T$4:$V$96,79,1)</f>
        <v>TR003</v>
      </c>
      <c r="AA96" s="59"/>
      <c r="AB96" s="59"/>
      <c r="AC96" s="59"/>
      <c r="AD96" s="59"/>
    </row>
    <row r="97" spans="2:30" ht="15.75" x14ac:dyDescent="0.25">
      <c r="B97" s="52" t="str">
        <f>INDEX(Feuil1!$T$4:$V$96,80,1)</f>
        <v>TRP001</v>
      </c>
      <c r="C97" s="58"/>
      <c r="D97" s="58"/>
      <c r="E97" s="58"/>
      <c r="F97" s="58"/>
      <c r="Z97" s="47" t="str">
        <f>INDEX(Feuil1!$T$4:$V$96,80,1)</f>
        <v>TRP001</v>
      </c>
      <c r="AA97" s="59"/>
      <c r="AB97" s="59"/>
      <c r="AC97" s="59"/>
      <c r="AD97" s="59"/>
    </row>
    <row r="98" spans="2:30" ht="15.75" x14ac:dyDescent="0.25">
      <c r="B98" s="52" t="str">
        <f>INDEX(Feuil1!$T$4:$V$96,81,1)</f>
        <v>TRP002</v>
      </c>
      <c r="C98" s="58"/>
      <c r="D98" s="58"/>
      <c r="E98" s="58"/>
      <c r="F98" s="58"/>
      <c r="Z98" s="47" t="str">
        <f>INDEX(Feuil1!$T$4:$V$96,81,1)</f>
        <v>TRP002</v>
      </c>
      <c r="AA98" s="59"/>
      <c r="AB98" s="59"/>
      <c r="AC98" s="59"/>
      <c r="AD98" s="59"/>
    </row>
    <row r="99" spans="2:30" ht="15.75" x14ac:dyDescent="0.25">
      <c r="B99" s="52" t="str">
        <f>INDEX(Feuil1!$T$4:$V$96,82,1)</f>
        <v>TRP003</v>
      </c>
      <c r="C99" s="58"/>
      <c r="D99" s="58"/>
      <c r="E99" s="58"/>
      <c r="F99" s="58"/>
      <c r="Z99" s="47" t="str">
        <f>INDEX(Feuil1!$T$4:$V$96,82,1)</f>
        <v>TRP003</v>
      </c>
      <c r="AA99" s="59"/>
      <c r="AB99" s="59"/>
      <c r="AC99" s="59"/>
      <c r="AD99" s="59"/>
    </row>
    <row r="100" spans="2:30" ht="15.75" x14ac:dyDescent="0.25">
      <c r="B100" s="52" t="str">
        <f>INDEX(Feuil1!$T$4:$V$96,83,1)</f>
        <v>VL001</v>
      </c>
      <c r="C100" s="58"/>
      <c r="D100" s="58"/>
      <c r="E100" s="58"/>
      <c r="F100" s="58"/>
      <c r="Z100" s="47" t="str">
        <f>INDEX(Feuil1!$T$4:$V$96,83,1)</f>
        <v>VL001</v>
      </c>
      <c r="AA100" s="59"/>
      <c r="AB100" s="59"/>
      <c r="AC100" s="59"/>
      <c r="AD100" s="59"/>
    </row>
    <row r="101" spans="2:30" ht="15.75" x14ac:dyDescent="0.25">
      <c r="B101" s="52" t="str">
        <f>INDEX(Feuil1!$T$4:$V$96,84,1)</f>
        <v>VL002</v>
      </c>
      <c r="C101" s="58"/>
      <c r="D101" s="58"/>
      <c r="E101" s="58"/>
      <c r="F101" s="58"/>
      <c r="Z101" s="47" t="str">
        <f>INDEX(Feuil1!$T$4:$V$96,84,1)</f>
        <v>VL002</v>
      </c>
      <c r="AA101" s="59"/>
      <c r="AB101" s="59"/>
      <c r="AC101" s="59"/>
      <c r="AD101" s="59"/>
    </row>
    <row r="102" spans="2:30" ht="15.75" x14ac:dyDescent="0.25">
      <c r="B102" s="52" t="str">
        <f>INDEX(Feuil1!$T$4:$V$96,85,1)</f>
        <v>VL003</v>
      </c>
      <c r="C102" s="58"/>
      <c r="D102" s="58"/>
      <c r="E102" s="58"/>
      <c r="F102" s="58"/>
      <c r="Z102" s="47" t="str">
        <f>INDEX(Feuil1!$T$4:$V$96,85,1)</f>
        <v>VL003</v>
      </c>
      <c r="AA102" s="59"/>
      <c r="AB102" s="59"/>
      <c r="AC102" s="59"/>
      <c r="AD102" s="59"/>
    </row>
    <row r="103" spans="2:30" ht="15.75" x14ac:dyDescent="0.25">
      <c r="B103" s="52" t="str">
        <f>INDEX(Feuil1!$T$4:$V$96,86,1)</f>
        <v>VL004</v>
      </c>
      <c r="C103" s="58"/>
      <c r="D103" s="58"/>
      <c r="E103" s="58"/>
      <c r="F103" s="58"/>
      <c r="Z103" s="47" t="str">
        <f>INDEX(Feuil1!$T$4:$V$96,86,1)</f>
        <v>VL004</v>
      </c>
      <c r="AA103" s="59"/>
      <c r="AB103" s="59"/>
      <c r="AC103" s="59"/>
      <c r="AD103" s="59"/>
    </row>
    <row r="104" spans="2:30" ht="15.75" x14ac:dyDescent="0.25">
      <c r="B104" s="52" t="str">
        <f>INDEX(Feuil1!$T$4:$V$96,87,1)</f>
        <v>VL005</v>
      </c>
      <c r="C104" s="58"/>
      <c r="D104" s="58"/>
      <c r="E104" s="58"/>
      <c r="F104" s="58"/>
      <c r="Z104" s="47" t="str">
        <f>INDEX(Feuil1!$T$4:$V$96,87,1)</f>
        <v>VL005</v>
      </c>
      <c r="AA104" s="59"/>
      <c r="AB104" s="59"/>
      <c r="AC104" s="59"/>
      <c r="AD104" s="59"/>
    </row>
    <row r="105" spans="2:30" ht="15.75" x14ac:dyDescent="0.25">
      <c r="B105" s="52" t="str">
        <f>INDEX(Feuil1!$T$4:$V$96,88,1)</f>
        <v>VL006</v>
      </c>
      <c r="Z105" s="47" t="str">
        <f>INDEX(Feuil1!$T$4:$V$96,88,1)</f>
        <v>VL006</v>
      </c>
      <c r="AA105" s="59"/>
      <c r="AB105" s="59"/>
      <c r="AC105" s="59"/>
      <c r="AD105" s="59"/>
    </row>
    <row r="106" spans="2:30" ht="15.75" x14ac:dyDescent="0.25">
      <c r="B106" s="52" t="str">
        <f>INDEX(Feuil1!$T$4:$V$96,89,1)</f>
        <v>VL007</v>
      </c>
      <c r="Z106" s="47" t="str">
        <f>INDEX(Feuil1!$T$4:$V$96,89,1)</f>
        <v>VL007</v>
      </c>
      <c r="AA106" s="59"/>
      <c r="AB106" s="59"/>
      <c r="AC106" s="59"/>
      <c r="AD106" s="59"/>
    </row>
    <row r="107" spans="2:30" ht="15.75" x14ac:dyDescent="0.25">
      <c r="B107" s="52" t="str">
        <f>INDEX(Feuil1!$T$4:$V$96,90,1)</f>
        <v>VL008</v>
      </c>
      <c r="Z107" s="47" t="str">
        <f>INDEX(Feuil1!$T$4:$V$96,90,1)</f>
        <v>VL008</v>
      </c>
      <c r="AA107" s="59"/>
      <c r="AB107" s="59"/>
      <c r="AC107" s="59"/>
      <c r="AD107" s="59"/>
    </row>
    <row r="108" spans="2:30" ht="15.75" x14ac:dyDescent="0.25">
      <c r="B108" s="52" t="str">
        <f>INDEX(Feuil1!$T$4:$V$96,91,1)</f>
        <v>VL009</v>
      </c>
      <c r="Z108" s="47" t="str">
        <f>INDEX(Feuil1!$T$4:$V$96,91,1)</f>
        <v>VL009</v>
      </c>
      <c r="AA108" s="59"/>
      <c r="AB108" s="59"/>
      <c r="AC108" s="59"/>
      <c r="AD108" s="59"/>
    </row>
    <row r="109" spans="2:30" ht="15.75" x14ac:dyDescent="0.25">
      <c r="B109" s="52" t="str">
        <f>INDEX(Feuil1!$T$4:$V$96,92,1)</f>
        <v>VL010</v>
      </c>
      <c r="Z109" s="47" t="str">
        <f>INDEX(Feuil1!$T$4:$V$96,92,1)</f>
        <v>VL010</v>
      </c>
      <c r="AA109" s="59"/>
      <c r="AB109" s="59"/>
      <c r="AC109" s="59"/>
      <c r="AD109" s="59"/>
    </row>
    <row r="110" spans="2:30" ht="16.5" thickBot="1" x14ac:dyDescent="0.3">
      <c r="B110" s="53" t="str">
        <f>INDEX(Feuil1!$T$4:$V$96,93,1)</f>
        <v>VL011</v>
      </c>
      <c r="Z110" s="48" t="str">
        <f>INDEX(Feuil1!$T$4:$V$96,93,1)</f>
        <v>VL011</v>
      </c>
      <c r="AA110" s="59"/>
      <c r="AB110" s="59"/>
      <c r="AC110" s="59"/>
      <c r="AD110" s="59"/>
    </row>
    <row r="111" spans="2:30" x14ac:dyDescent="0.25">
      <c r="B111" s="54"/>
    </row>
  </sheetData>
  <sheetProtection sheet="1" formatCells="0" formatColumns="0" formatRows="0" insertColumns="0" insertRows="0" insertHyperlinks="0" deleteColumns="0" deleteRows="0" sort="0" autoFilter="0" pivotTables="0"/>
  <mergeCells count="137">
    <mergeCell ref="C77:F77"/>
    <mergeCell ref="C78:F78"/>
    <mergeCell ref="C79:F79"/>
    <mergeCell ref="I17:X17"/>
    <mergeCell ref="I38:X39"/>
    <mergeCell ref="C72:F72"/>
    <mergeCell ref="C73:F73"/>
    <mergeCell ref="C74:F74"/>
    <mergeCell ref="C75:F75"/>
    <mergeCell ref="C76:F76"/>
    <mergeCell ref="C67:F67"/>
    <mergeCell ref="C68:F68"/>
    <mergeCell ref="C69:F69"/>
    <mergeCell ref="C70:F70"/>
    <mergeCell ref="C71:F71"/>
    <mergeCell ref="C62:F62"/>
    <mergeCell ref="C63:F63"/>
    <mergeCell ref="C64:F64"/>
    <mergeCell ref="C65:F65"/>
    <mergeCell ref="C66:F66"/>
    <mergeCell ref="C57:F57"/>
    <mergeCell ref="C58:F58"/>
    <mergeCell ref="C59:F59"/>
    <mergeCell ref="C60:F60"/>
    <mergeCell ref="C61:F61"/>
    <mergeCell ref="C52:F52"/>
    <mergeCell ref="C53:F53"/>
    <mergeCell ref="C54:F54"/>
    <mergeCell ref="C55:F55"/>
    <mergeCell ref="C56:F56"/>
    <mergeCell ref="C47:F47"/>
    <mergeCell ref="C48:F48"/>
    <mergeCell ref="C49:F49"/>
    <mergeCell ref="C50:F50"/>
    <mergeCell ref="C51:F51"/>
    <mergeCell ref="C42:F42"/>
    <mergeCell ref="C43:F43"/>
    <mergeCell ref="C44:F44"/>
    <mergeCell ref="C45:F45"/>
    <mergeCell ref="C46:F46"/>
    <mergeCell ref="C37:F37"/>
    <mergeCell ref="C38:F38"/>
    <mergeCell ref="C39:F39"/>
    <mergeCell ref="C40:F40"/>
    <mergeCell ref="C41:F41"/>
    <mergeCell ref="C32:F32"/>
    <mergeCell ref="C33:F33"/>
    <mergeCell ref="C34:F34"/>
    <mergeCell ref="C35:F35"/>
    <mergeCell ref="C36:F36"/>
    <mergeCell ref="AA79:AD79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AA74:AD74"/>
    <mergeCell ref="AA75:AD75"/>
    <mergeCell ref="AA76:AD76"/>
    <mergeCell ref="AA77:AD77"/>
    <mergeCell ref="AA78:AD78"/>
    <mergeCell ref="AA69:AD69"/>
    <mergeCell ref="AA70:AD70"/>
    <mergeCell ref="AA71:AD71"/>
    <mergeCell ref="AA72:AD72"/>
    <mergeCell ref="AA73:AD73"/>
    <mergeCell ref="AA64:AD64"/>
    <mergeCell ref="AA65:AD65"/>
    <mergeCell ref="AA66:AD66"/>
    <mergeCell ref="AA67:AD67"/>
    <mergeCell ref="AA68:AD68"/>
    <mergeCell ref="AA59:AD59"/>
    <mergeCell ref="AA60:AD60"/>
    <mergeCell ref="AA61:AD61"/>
    <mergeCell ref="AA62:AD62"/>
    <mergeCell ref="AA63:AD63"/>
    <mergeCell ref="AA54:AD54"/>
    <mergeCell ref="AA55:AD55"/>
    <mergeCell ref="AA56:AD56"/>
    <mergeCell ref="AA57:AD57"/>
    <mergeCell ref="AA58:AD58"/>
    <mergeCell ref="AA46:AD46"/>
    <mergeCell ref="AA50:AD50"/>
    <mergeCell ref="AA51:AD51"/>
    <mergeCell ref="AA52:AD52"/>
    <mergeCell ref="AA53:AD53"/>
    <mergeCell ref="AA44:AD44"/>
    <mergeCell ref="AA45:AD45"/>
    <mergeCell ref="AA47:AD47"/>
    <mergeCell ref="AA48:AD48"/>
    <mergeCell ref="AA49:AD49"/>
    <mergeCell ref="AA43:AD43"/>
    <mergeCell ref="AA17:AD17"/>
    <mergeCell ref="AA38:AD38"/>
    <mergeCell ref="AA39:AD39"/>
    <mergeCell ref="AA40:AD40"/>
    <mergeCell ref="AA41:AD41"/>
    <mergeCell ref="AA42:AD42"/>
    <mergeCell ref="AA33:AD33"/>
    <mergeCell ref="AA34:AD34"/>
    <mergeCell ref="AA35:AD35"/>
    <mergeCell ref="AA36:AD36"/>
    <mergeCell ref="AA37:AD37"/>
    <mergeCell ref="AA28:AD28"/>
    <mergeCell ref="AA29:AD29"/>
    <mergeCell ref="AA30:AD30"/>
    <mergeCell ref="AA31:AD31"/>
    <mergeCell ref="AA32:AD32"/>
    <mergeCell ref="AA23:AD23"/>
    <mergeCell ref="AA24:AD24"/>
    <mergeCell ref="AA25:AD25"/>
    <mergeCell ref="AA26:AD26"/>
    <mergeCell ref="AA27:AD27"/>
    <mergeCell ref="AA18:AD18"/>
    <mergeCell ref="AA19:AD19"/>
    <mergeCell ref="AA20:AD20"/>
    <mergeCell ref="AA21:AD21"/>
    <mergeCell ref="AA22:AD22"/>
    <mergeCell ref="T4:V8"/>
    <mergeCell ref="X4:Z8"/>
    <mergeCell ref="AB4:AD8"/>
    <mergeCell ref="B7:C8"/>
    <mergeCell ref="E7:F8"/>
    <mergeCell ref="H7:I8"/>
    <mergeCell ref="K7:L8"/>
    <mergeCell ref="N7:O8"/>
    <mergeCell ref="Q7:R8"/>
  </mergeCells>
  <conditionalFormatting sqref="Y44:Y64 AA18:AA79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{7C893646-D7BF-4D1D-A2CE-06A8CDA24D18}</x14:id>
        </ext>
      </extLst>
    </cfRule>
  </conditionalFormatting>
  <conditionalFormatting sqref="Z18:Z110">
    <cfRule type="containsText" dxfId="32" priority="8" operator="containsText" text="Total">
      <formula>NOT(ISERROR(SEARCH("Total",Z18)))</formula>
    </cfRule>
    <cfRule type="cellIs" dxfId="31" priority="9" operator="equal">
      <formula>0</formula>
    </cfRule>
  </conditionalFormatting>
  <conditionalFormatting sqref="B18:B111">
    <cfRule type="containsText" dxfId="30" priority="5" operator="containsText" text="Total">
      <formula>NOT(ISERROR(SEARCH("Total",B18)))</formula>
    </cfRule>
    <cfRule type="cellIs" dxfId="29" priority="6" operator="equal">
      <formula>0</formula>
    </cfRule>
  </conditionalFormatting>
  <conditionalFormatting sqref="C18:F7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{B42E097F-01B8-40E9-9741-04162A984B95}</x14:id>
        </ext>
      </extLst>
    </cfRule>
  </conditionalFormatting>
  <conditionalFormatting sqref="AA18:AD110">
    <cfRule type="cellIs" dxfId="28" priority="3" operator="lessThan">
      <formula>0</formula>
    </cfRule>
  </conditionalFormatting>
  <conditionalFormatting sqref="AB4:AD8">
    <cfRule type="cellIs" dxfId="27" priority="1" operator="lessThan">
      <formula>0</formula>
    </cfRule>
    <cfRule type="cellIs" dxfId="26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893646-D7BF-4D1D-A2CE-06A8CDA24D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Y44:Y64 AA18:AA79</xm:sqref>
        </x14:conditionalFormatting>
        <x14:conditionalFormatting xmlns:xm="http://schemas.microsoft.com/office/excel/2006/main">
          <x14:cfRule type="dataBar" id="{B42E097F-01B8-40E9-9741-04162A984B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C18:F79</xm:sqref>
        </x14:conditionalFormatting>
      </x14:conditionalFormattings>
    </ex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CB03D-569B-4994-86C5-AD4520529865}">
  <sheetPr>
    <pageSetUpPr fitToPage="1"/>
  </sheetPr>
  <dimension ref="A2:AH124"/>
  <sheetViews>
    <sheetView topLeftCell="J1" zoomScaleNormal="100" workbookViewId="0">
      <selection activeCell="O3" sqref="O3:AA86"/>
    </sheetView>
  </sheetViews>
  <sheetFormatPr baseColWidth="10" defaultRowHeight="15" x14ac:dyDescent="0.25"/>
  <cols>
    <col min="1" max="1" width="14.42578125" customWidth="1"/>
    <col min="2" max="2" width="20.5703125" customWidth="1"/>
    <col min="4" max="4" width="15.7109375" customWidth="1"/>
    <col min="5" max="5" width="17.85546875" customWidth="1"/>
    <col min="7" max="7" width="15.42578125" customWidth="1"/>
    <col min="8" max="9" width="13" customWidth="1"/>
    <col min="10" max="10" width="13.5703125" customWidth="1"/>
    <col min="11" max="13" width="11.42578125" style="65"/>
    <col min="15" max="15" width="15.42578125" customWidth="1"/>
    <col min="18" max="18" width="15.7109375" customWidth="1"/>
    <col min="19" max="19" width="13" customWidth="1"/>
    <col min="21" max="21" width="15.42578125" customWidth="1"/>
    <col min="22" max="23" width="13" customWidth="1"/>
    <col min="24" max="24" width="16.140625" customWidth="1"/>
    <col min="25" max="25" width="16.28515625" style="23" customWidth="1"/>
    <col min="29" max="31" width="11.42578125" style="65"/>
  </cols>
  <sheetData>
    <row r="2" spans="1:34" x14ac:dyDescent="0.25">
      <c r="A2" t="s">
        <v>194</v>
      </c>
      <c r="B2" t="s">
        <v>1</v>
      </c>
      <c r="C2" t="s">
        <v>2</v>
      </c>
      <c r="D2" t="s">
        <v>119</v>
      </c>
      <c r="E2" t="s">
        <v>114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s="65" t="s">
        <v>198</v>
      </c>
      <c r="O2" t="s">
        <v>8</v>
      </c>
      <c r="P2" s="65" t="s">
        <v>2</v>
      </c>
      <c r="Q2" t="s">
        <v>1</v>
      </c>
      <c r="R2" t="s">
        <v>10</v>
      </c>
      <c r="S2" t="s">
        <v>3</v>
      </c>
      <c r="T2" t="s">
        <v>4</v>
      </c>
      <c r="U2" t="s">
        <v>5</v>
      </c>
      <c r="V2" t="s">
        <v>6</v>
      </c>
      <c r="W2" t="s">
        <v>7</v>
      </c>
      <c r="X2" t="s">
        <v>112</v>
      </c>
      <c r="Y2" s="23" t="s">
        <v>113</v>
      </c>
      <c r="Z2" t="s">
        <v>181</v>
      </c>
      <c r="AA2" t="s">
        <v>182</v>
      </c>
      <c r="AB2" t="s">
        <v>91</v>
      </c>
    </row>
    <row r="3" spans="1:34" x14ac:dyDescent="0.25">
      <c r="A3" s="65" t="s">
        <v>160</v>
      </c>
      <c r="B3" t="s">
        <v>52</v>
      </c>
      <c r="C3" t="s">
        <v>87</v>
      </c>
      <c r="D3" s="65">
        <v>0</v>
      </c>
      <c r="E3" s="67">
        <v>265</v>
      </c>
      <c r="F3">
        <v>468</v>
      </c>
      <c r="G3">
        <v>0</v>
      </c>
      <c r="H3">
        <v>0</v>
      </c>
      <c r="I3">
        <v>0</v>
      </c>
      <c r="J3">
        <v>0</v>
      </c>
      <c r="O3" s="18" t="s">
        <v>196</v>
      </c>
      <c r="P3" s="18" t="s">
        <v>92</v>
      </c>
      <c r="Q3" s="18" t="s">
        <v>31</v>
      </c>
      <c r="R3" s="18">
        <f>SUMIF(Tableau4[Code],Tableau5[[#This Row],[Code]],Tableau4[Les heures (H)])</f>
        <v>0</v>
      </c>
      <c r="S3" s="18">
        <f>SUMIF(Tableau4[Code],Tableau5[[#This Row],[Code]],Tableau4[Gasoil (L)])</f>
        <v>0</v>
      </c>
      <c r="T3" s="18">
        <f>SUMIF(Tableau4[Code],Tableau5[[#This Row],[Code]],Tableau4[Huile 15/40(L)])</f>
        <v>0</v>
      </c>
      <c r="U3" s="18">
        <f>SUMIF(Tableau4[Code],Tableau5[[#This Row],[Code]],Tableau4[Huile 90 (L)])</f>
        <v>0</v>
      </c>
      <c r="V3" s="18">
        <f>SUMIF(Tableau4[Code],Tableau5[[#This Row],[Code]],Tableau4[Huile 10 (L)])</f>
        <v>0</v>
      </c>
      <c r="W3" s="18">
        <f>SUMIF(Tableau4[Code],Tableau5[[#This Row],[Code]],Tableau4[Graisse (kg)])</f>
        <v>0</v>
      </c>
      <c r="X3" s="22" t="e">
        <f>Tableau5[[#This Row],[Gasoil (L)]]/Tableau5[[#This Row],[Quantité (H)]]</f>
        <v>#DIV/0!</v>
      </c>
      <c r="Y3" s="22" t="e">
        <f>Tableau5[[#This Row],[Gasoil (L)]]/SUMIF(Tableau4[Code],Tableau5[[#This Row],[Code]],Tableau4[Km H (Dist)])*100</f>
        <v>#DIV/0!</v>
      </c>
      <c r="Z3" s="68">
        <v>11440</v>
      </c>
      <c r="AA3" s="68">
        <v>800</v>
      </c>
      <c r="AB3" s="68"/>
      <c r="AC3" s="68"/>
      <c r="AD3" s="68" t="str">
        <f>IF(Tableau5[[#This Row],[Code]]=AF3,"ok","nn")</f>
        <v>ok</v>
      </c>
      <c r="AE3" s="68"/>
      <c r="AF3" t="s">
        <v>31</v>
      </c>
      <c r="AG3">
        <v>11440</v>
      </c>
      <c r="AH3">
        <v>800</v>
      </c>
    </row>
    <row r="4" spans="1:34" x14ac:dyDescent="0.25">
      <c r="A4" s="65" t="s">
        <v>160</v>
      </c>
      <c r="B4" t="s">
        <v>134</v>
      </c>
      <c r="C4" t="s">
        <v>87</v>
      </c>
      <c r="D4" s="65">
        <v>36</v>
      </c>
      <c r="E4" s="67">
        <v>467</v>
      </c>
      <c r="F4">
        <v>356</v>
      </c>
      <c r="G4">
        <v>0</v>
      </c>
      <c r="H4">
        <v>0</v>
      </c>
      <c r="I4">
        <v>0</v>
      </c>
      <c r="J4">
        <v>0</v>
      </c>
      <c r="O4" s="18" t="s">
        <v>196</v>
      </c>
      <c r="P4" s="18" t="s">
        <v>40</v>
      </c>
      <c r="Q4" s="18" t="s">
        <v>16</v>
      </c>
      <c r="R4" s="18">
        <f>SUMIF(Tableau4[Code],Tableau5[[#This Row],[Code]],Tableau4[Les heures (H)])</f>
        <v>0</v>
      </c>
      <c r="S4" s="18">
        <f>SUMIF(Tableau4[Code],Tableau5[[#This Row],[Code]],Tableau4[Gasoil (L)])</f>
        <v>0</v>
      </c>
      <c r="T4" s="18">
        <f>SUMIF(Tableau4[Code],Tableau5[[#This Row],[Code]],Tableau4[Huile 15/40(L)])</f>
        <v>0</v>
      </c>
      <c r="U4" s="18">
        <f>SUMIF(Tableau4[Code],Tableau5[[#This Row],[Code]],Tableau4[Huile 90 (L)])</f>
        <v>0</v>
      </c>
      <c r="V4" s="18">
        <f>SUMIF(Tableau4[Code],Tableau5[[#This Row],[Code]],Tableau4[Huile 10 (L)])</f>
        <v>0</v>
      </c>
      <c r="W4" s="18">
        <f>SUMIF(Tableau4[Code],Tableau5[[#This Row],[Code]],Tableau4[Graisse (kg)])</f>
        <v>0</v>
      </c>
      <c r="X4" s="22" t="e">
        <f>Tableau5[[#This Row],[Gasoil (L)]]/Tableau5[[#This Row],[Quantité (H)]]</f>
        <v>#DIV/0!</v>
      </c>
      <c r="Y4" s="22" t="e">
        <f>Tableau5[[#This Row],[Gasoil (L)]]/SUMIF(Tableau4[Code],Tableau5[[#This Row],[Code]],Tableau4[Km H (Dist)])*100</f>
        <v>#DIV/0!</v>
      </c>
      <c r="Z4" s="68"/>
      <c r="AA4" s="68"/>
      <c r="AB4" s="68"/>
      <c r="AC4" s="68"/>
      <c r="AD4" s="68" t="str">
        <f>IF(Tableau5[[#This Row],[Code]]=AF4,"ok","nn")</f>
        <v>ok</v>
      </c>
      <c r="AE4" s="68"/>
      <c r="AF4" s="65" t="s">
        <v>16</v>
      </c>
    </row>
    <row r="5" spans="1:34" x14ac:dyDescent="0.25">
      <c r="A5" s="65" t="s">
        <v>160</v>
      </c>
      <c r="B5" t="s">
        <v>54</v>
      </c>
      <c r="C5" t="s">
        <v>87</v>
      </c>
      <c r="D5">
        <v>44</v>
      </c>
      <c r="E5" s="67">
        <v>528</v>
      </c>
      <c r="F5">
        <v>1102</v>
      </c>
      <c r="G5">
        <v>0</v>
      </c>
      <c r="H5">
        <v>0</v>
      </c>
      <c r="I5">
        <v>0</v>
      </c>
      <c r="J5">
        <v>0</v>
      </c>
      <c r="O5" s="18" t="s">
        <v>160</v>
      </c>
      <c r="P5" s="18" t="s">
        <v>40</v>
      </c>
      <c r="Q5" s="18" t="s">
        <v>17</v>
      </c>
      <c r="R5" s="18">
        <f>SUMIF(Tableau4[Code],Tableau5[[#This Row],[Code]],Tableau4[Les heures (H)])</f>
        <v>0</v>
      </c>
      <c r="S5" s="18">
        <f>SUMIF(Tableau4[Code],Tableau5[[#This Row],[Code]],Tableau4[Gasoil (L)])</f>
        <v>0</v>
      </c>
      <c r="T5" s="18">
        <f>SUMIF(Tableau4[Code],Tableau5[[#This Row],[Code]],Tableau4[Huile 15/40(L)])</f>
        <v>0</v>
      </c>
      <c r="U5" s="18">
        <f>SUMIF(Tableau4[Code],Tableau5[[#This Row],[Code]],Tableau4[Huile 90 (L)])</f>
        <v>0</v>
      </c>
      <c r="V5" s="18">
        <f>SUMIF(Tableau4[Code],Tableau5[[#This Row],[Code]],Tableau4[Huile 10 (L)])</f>
        <v>0</v>
      </c>
      <c r="W5" s="18">
        <f>SUMIF(Tableau4[Code],Tableau5[[#This Row],[Code]],Tableau4[Graisse (kg)])</f>
        <v>0</v>
      </c>
      <c r="X5" s="22" t="e">
        <f>Tableau5[[#This Row],[Gasoil (L)]]/Tableau5[[#This Row],[Quantité (H)]]</f>
        <v>#DIV/0!</v>
      </c>
      <c r="Y5" s="22" t="e">
        <f>Tableau5[[#This Row],[Gasoil (L)]]/SUMIF(Tableau4[Code],Tableau5[[#This Row],[Code]],Tableau4[Km H (Dist)])*100</f>
        <v>#DIV/0!</v>
      </c>
      <c r="Z5" s="68">
        <v>0</v>
      </c>
      <c r="AA5" s="68">
        <v>49.48</v>
      </c>
      <c r="AB5" s="68"/>
      <c r="AC5" s="68"/>
      <c r="AD5" s="68" t="str">
        <f>IF(Tableau5[[#This Row],[Code]]=AF5,"ok","nn")</f>
        <v>ok</v>
      </c>
      <c r="AE5" s="68"/>
      <c r="AF5" s="65" t="s">
        <v>17</v>
      </c>
      <c r="AG5">
        <v>0</v>
      </c>
      <c r="AH5">
        <v>49.48</v>
      </c>
    </row>
    <row r="6" spans="1:34" x14ac:dyDescent="0.25">
      <c r="A6" s="65" t="s">
        <v>193</v>
      </c>
      <c r="B6" t="s">
        <v>44</v>
      </c>
      <c r="C6" t="s">
        <v>87</v>
      </c>
      <c r="D6">
        <v>120</v>
      </c>
      <c r="E6" s="67">
        <v>538</v>
      </c>
      <c r="F6">
        <v>551</v>
      </c>
      <c r="G6">
        <v>45</v>
      </c>
      <c r="H6">
        <v>0</v>
      </c>
      <c r="I6">
        <v>0</v>
      </c>
      <c r="J6">
        <v>0</v>
      </c>
      <c r="O6" s="18" t="s">
        <v>116</v>
      </c>
      <c r="P6" s="18" t="s">
        <v>40</v>
      </c>
      <c r="Q6" s="18" t="s">
        <v>18</v>
      </c>
      <c r="R6" s="18">
        <f>SUMIF(Tableau4[Code],Tableau5[[#This Row],[Code]],Tableau4[Les heures (H)])</f>
        <v>52</v>
      </c>
      <c r="S6" s="18">
        <f>SUMIF(Tableau4[Code],Tableau5[[#This Row],[Code]],Tableau4[Gasoil (L)])</f>
        <v>125</v>
      </c>
      <c r="T6" s="18">
        <f>SUMIF(Tableau4[Code],Tableau5[[#This Row],[Code]],Tableau4[Huile 15/40(L)])</f>
        <v>5</v>
      </c>
      <c r="U6" s="18">
        <f>SUMIF(Tableau4[Code],Tableau5[[#This Row],[Code]],Tableau4[Huile 90 (L)])</f>
        <v>0</v>
      </c>
      <c r="V6" s="18">
        <f>SUMIF(Tableau4[Code],Tableau5[[#This Row],[Code]],Tableau4[Huile 10 (L)])</f>
        <v>0</v>
      </c>
      <c r="W6" s="18">
        <f>SUMIF(Tableau4[Code],Tableau5[[#This Row],[Code]],Tableau4[Graisse (kg)])</f>
        <v>2</v>
      </c>
      <c r="X6" s="22">
        <f>Tableau5[[#This Row],[Gasoil (L)]]/Tableau5[[#This Row],[Quantité (H)]]</f>
        <v>2.4038461538461537</v>
      </c>
      <c r="Y6" s="22" t="e">
        <f>Tableau5[[#This Row],[Gasoil (L)]]/SUMIF(Tableau4[Code],Tableau5[[#This Row],[Code]],Tableau4[Km H (Dist)])*100</f>
        <v>#DIV/0!</v>
      </c>
      <c r="Z6" s="68">
        <v>7500</v>
      </c>
      <c r="AA6" s="68">
        <v>1450</v>
      </c>
      <c r="AB6" s="68"/>
      <c r="AC6" s="68"/>
      <c r="AD6" s="68" t="str">
        <f>IF(Tableau5[[#This Row],[Code]]=AF6,"ok","nn")</f>
        <v>ok</v>
      </c>
      <c r="AE6" s="68"/>
      <c r="AF6" s="65" t="s">
        <v>18</v>
      </c>
      <c r="AG6">
        <v>7500</v>
      </c>
      <c r="AH6">
        <v>1450</v>
      </c>
    </row>
    <row r="7" spans="1:34" x14ac:dyDescent="0.25">
      <c r="A7" s="65" t="s">
        <v>193</v>
      </c>
      <c r="B7" t="s">
        <v>55</v>
      </c>
      <c r="C7" t="s">
        <v>87</v>
      </c>
      <c r="D7" s="65">
        <v>105</v>
      </c>
      <c r="E7" s="67">
        <v>588</v>
      </c>
      <c r="F7">
        <v>758.1</v>
      </c>
      <c r="G7">
        <v>3</v>
      </c>
      <c r="H7">
        <v>0</v>
      </c>
      <c r="I7">
        <v>20</v>
      </c>
      <c r="J7">
        <v>0</v>
      </c>
      <c r="O7" s="18" t="s">
        <v>116</v>
      </c>
      <c r="P7" s="18" t="s">
        <v>40</v>
      </c>
      <c r="Q7" s="18" t="s">
        <v>19</v>
      </c>
      <c r="R7" s="18">
        <f>SUMIF(Tableau4[Code],Tableau5[[#This Row],[Code]],Tableau4[Les heures (H)])</f>
        <v>63</v>
      </c>
      <c r="S7" s="18">
        <f>SUMIF(Tableau4[Code],Tableau5[[#This Row],[Code]],Tableau4[Gasoil (L)])</f>
        <v>850</v>
      </c>
      <c r="T7" s="18">
        <f>SUMIF(Tableau4[Code],Tableau5[[#This Row],[Code]],Tableau4[Huile 15/40(L)])</f>
        <v>25</v>
      </c>
      <c r="U7" s="18">
        <f>SUMIF(Tableau4[Code],Tableau5[[#This Row],[Code]],Tableau4[Huile 90 (L)])</f>
        <v>0</v>
      </c>
      <c r="V7" s="18">
        <f>SUMIF(Tableau4[Code],Tableau5[[#This Row],[Code]],Tableau4[Huile 10 (L)])</f>
        <v>5</v>
      </c>
      <c r="W7" s="18">
        <f>SUMIF(Tableau4[Code],Tableau5[[#This Row],[Code]],Tableau4[Graisse (kg)])</f>
        <v>14</v>
      </c>
      <c r="X7" s="22">
        <f>Tableau5[[#This Row],[Gasoil (L)]]/Tableau5[[#This Row],[Quantité (H)]]</f>
        <v>13.492063492063492</v>
      </c>
      <c r="Y7" s="22">
        <f>Tableau5[[#This Row],[Gasoil (L)]]/SUMIF(Tableau4[Code],Tableau5[[#This Row],[Code]],Tableau4[Km H (Dist)])*100</f>
        <v>1812.3667377398508</v>
      </c>
      <c r="Z7" s="68">
        <v>12200</v>
      </c>
      <c r="AA7" s="68">
        <v>18628.599999999999</v>
      </c>
      <c r="AB7" s="68"/>
      <c r="AC7" s="68"/>
      <c r="AD7" s="68" t="str">
        <f>IF(Tableau5[[#This Row],[Code]]=AF7,"ok","nn")</f>
        <v>ok</v>
      </c>
      <c r="AE7" s="68"/>
      <c r="AF7" s="65" t="s">
        <v>19</v>
      </c>
      <c r="AG7">
        <v>12200</v>
      </c>
      <c r="AH7">
        <v>18628.599999999999</v>
      </c>
    </row>
    <row r="8" spans="1:34" x14ac:dyDescent="0.25">
      <c r="A8" s="65" t="s">
        <v>84</v>
      </c>
      <c r="B8" t="s">
        <v>46</v>
      </c>
      <c r="C8" t="s">
        <v>87</v>
      </c>
      <c r="D8" s="65">
        <v>222.5</v>
      </c>
      <c r="E8" s="67">
        <v>715</v>
      </c>
      <c r="F8">
        <v>1306</v>
      </c>
      <c r="G8">
        <v>5</v>
      </c>
      <c r="H8">
        <v>0</v>
      </c>
      <c r="I8">
        <v>5</v>
      </c>
      <c r="J8">
        <v>0</v>
      </c>
      <c r="O8" s="18" t="s">
        <v>84</v>
      </c>
      <c r="P8" s="18" t="s">
        <v>40</v>
      </c>
      <c r="Q8" s="18" t="s">
        <v>150</v>
      </c>
      <c r="R8" s="18">
        <f>SUMIF(Tableau4[Code],Tableau5[[#This Row],[Code]],Tableau4[Les heures (H)])</f>
        <v>0</v>
      </c>
      <c r="S8" s="18">
        <f>SUMIF(Tableau4[Code],Tableau5[[#This Row],[Code]],Tableau4[Gasoil (L)])</f>
        <v>0</v>
      </c>
      <c r="T8" s="18">
        <f>SUMIF(Tableau4[Code],Tableau5[[#This Row],[Code]],Tableau4[Huile 15/40(L)])</f>
        <v>0</v>
      </c>
      <c r="U8" s="18">
        <f>SUMIF(Tableau4[Code],Tableau5[[#This Row],[Code]],Tableau4[Huile 90 (L)])</f>
        <v>0</v>
      </c>
      <c r="V8" s="18">
        <f>SUMIF(Tableau4[Code],Tableau5[[#This Row],[Code]],Tableau4[Huile 10 (L)])</f>
        <v>0</v>
      </c>
      <c r="W8" s="18">
        <f>SUMIF(Tableau4[Code],Tableau5[[#This Row],[Code]],Tableau4[Graisse (kg)])</f>
        <v>0</v>
      </c>
      <c r="X8" s="22" t="e">
        <f>Tableau5[[#This Row],[Gasoil (L)]]/Tableau5[[#This Row],[Quantité (H)]]</f>
        <v>#DIV/0!</v>
      </c>
      <c r="Y8" s="22" t="e">
        <f>Tableau5[[#This Row],[Gasoil (L)]]/SUMIF(Tableau4[Code],Tableau5[[#This Row],[Code]],Tableau4[Km H (Dist)])*100</f>
        <v>#DIV/0!</v>
      </c>
      <c r="Z8" s="68">
        <v>0</v>
      </c>
      <c r="AA8" s="68">
        <v>400</v>
      </c>
      <c r="AB8" s="68"/>
      <c r="AC8" s="68"/>
      <c r="AD8" s="68" t="str">
        <f>IF(Tableau5[[#This Row],[Code]]=AF8,"ok","nn")</f>
        <v>ok</v>
      </c>
      <c r="AE8" s="68"/>
      <c r="AF8" s="65" t="s">
        <v>150</v>
      </c>
      <c r="AG8">
        <v>0</v>
      </c>
      <c r="AH8">
        <v>400</v>
      </c>
    </row>
    <row r="9" spans="1:34" x14ac:dyDescent="0.25">
      <c r="A9" s="65" t="s">
        <v>84</v>
      </c>
      <c r="B9" t="s">
        <v>45</v>
      </c>
      <c r="C9" t="s">
        <v>87</v>
      </c>
      <c r="D9" s="65">
        <v>203.5</v>
      </c>
      <c r="E9" s="67">
        <v>898</v>
      </c>
      <c r="F9">
        <v>826</v>
      </c>
      <c r="G9">
        <v>0</v>
      </c>
      <c r="H9">
        <v>0</v>
      </c>
      <c r="I9">
        <v>0</v>
      </c>
      <c r="J9">
        <v>0</v>
      </c>
      <c r="O9" s="18" t="s">
        <v>116</v>
      </c>
      <c r="P9" s="18" t="s">
        <v>40</v>
      </c>
      <c r="Q9" s="18" t="s">
        <v>156</v>
      </c>
      <c r="R9" s="18">
        <f>SUMIF(Tableau4[Code],Tableau5[[#This Row],[Code]],Tableau4[Les heures (H)])</f>
        <v>132</v>
      </c>
      <c r="S9" s="18">
        <f>SUMIF(Tableau4[Code],Tableau5[[#This Row],[Code]],Tableau4[Gasoil (L)])</f>
        <v>1929</v>
      </c>
      <c r="T9" s="18">
        <f>SUMIF(Tableau4[Code],Tableau5[[#This Row],[Code]],Tableau4[Huile 15/40(L)])</f>
        <v>0</v>
      </c>
      <c r="U9" s="18">
        <f>SUMIF(Tableau4[Code],Tableau5[[#This Row],[Code]],Tableau4[Huile 90 (L)])</f>
        <v>0</v>
      </c>
      <c r="V9" s="18">
        <f>SUMIF(Tableau4[Code],Tableau5[[#This Row],[Code]],Tableau4[Huile 10 (L)])</f>
        <v>0</v>
      </c>
      <c r="W9" s="18">
        <f>SUMIF(Tableau4[Code],Tableau5[[#This Row],[Code]],Tableau4[Graisse (kg)])</f>
        <v>0</v>
      </c>
      <c r="X9" s="22">
        <f>Tableau5[[#This Row],[Gasoil (L)]]/Tableau5[[#This Row],[Quantité (H)]]</f>
        <v>14.613636363636363</v>
      </c>
      <c r="Y9" s="22">
        <f>Tableau5[[#This Row],[Gasoil (L)]]/SUMIF(Tableau4[Code],Tableau5[[#This Row],[Code]],Tableau4[Km H (Dist)])*100</f>
        <v>170.64755838641196</v>
      </c>
      <c r="Z9" s="68">
        <v>26400</v>
      </c>
      <c r="AA9" s="68">
        <v>19290</v>
      </c>
      <c r="AB9" s="68"/>
      <c r="AC9" s="68"/>
      <c r="AD9" s="68" t="str">
        <f>IF(Tableau5[[#This Row],[Code]]=AF9,"ok","nn")</f>
        <v>ok</v>
      </c>
      <c r="AE9" s="68"/>
      <c r="AF9" s="65" t="s">
        <v>156</v>
      </c>
      <c r="AG9">
        <v>26400</v>
      </c>
      <c r="AH9">
        <v>19290</v>
      </c>
    </row>
    <row r="10" spans="1:34" x14ac:dyDescent="0.25">
      <c r="A10" s="65" t="s">
        <v>160</v>
      </c>
      <c r="B10" t="s">
        <v>51</v>
      </c>
      <c r="C10" t="s">
        <v>87</v>
      </c>
      <c r="D10" s="65">
        <v>33</v>
      </c>
      <c r="E10" s="67">
        <v>974</v>
      </c>
      <c r="F10">
        <v>562</v>
      </c>
      <c r="G10">
        <v>5</v>
      </c>
      <c r="H10">
        <v>0</v>
      </c>
      <c r="I10">
        <v>0</v>
      </c>
      <c r="J10">
        <v>0</v>
      </c>
      <c r="O10" s="18" t="s">
        <v>84</v>
      </c>
      <c r="P10" s="18" t="s">
        <v>85</v>
      </c>
      <c r="Q10" s="18" t="s">
        <v>44</v>
      </c>
      <c r="R10" s="18">
        <f>SUMIF(Tableau4[Code],Tableau5[[#This Row],[Code]],Tableau4[Les heures (H)])</f>
        <v>215</v>
      </c>
      <c r="S10" s="18">
        <f>SUMIF(Tableau4[Code],Tableau5[[#This Row],[Code]],Tableau4[Gasoil (L)])</f>
        <v>846</v>
      </c>
      <c r="T10" s="18">
        <f>SUMIF(Tableau4[Code],Tableau5[[#This Row],[Code]],Tableau4[Huile 15/40(L)])</f>
        <v>45</v>
      </c>
      <c r="U10" s="18">
        <f>SUMIF(Tableau4[Code],Tableau5[[#This Row],[Code]],Tableau4[Huile 90 (L)])</f>
        <v>0</v>
      </c>
      <c r="V10" s="18">
        <f>SUMIF(Tableau4[Code],Tableau5[[#This Row],[Code]],Tableau4[Huile 10 (L)])</f>
        <v>0</v>
      </c>
      <c r="W10" s="18">
        <f>SUMIF(Tableau4[Code],Tableau5[[#This Row],[Code]],Tableau4[Graisse (kg)])</f>
        <v>0</v>
      </c>
      <c r="X10" s="22">
        <f>Tableau5[[#This Row],[Gasoil (L)]]/Tableau5[[#This Row],[Quantité (H)]]</f>
        <v>3.9348837209302325</v>
      </c>
      <c r="Y10" s="22">
        <f>Tableau5[[#This Row],[Gasoil (L)]]/SUMIF(Tableau4[Code],Tableau5[[#This Row],[Code]],Tableau4[Km H (Dist)])*100</f>
        <v>157.24907063197026</v>
      </c>
      <c r="Z10" s="68">
        <v>60200</v>
      </c>
      <c r="AA10" s="68">
        <v>34752.03</v>
      </c>
      <c r="AB10" s="68"/>
      <c r="AC10" s="68"/>
      <c r="AD10" s="68" t="str">
        <f>IF(Tableau5[[#This Row],[Code]]=AF10,"ok","nn")</f>
        <v>ok</v>
      </c>
      <c r="AE10" s="68"/>
      <c r="AF10" s="65" t="s">
        <v>44</v>
      </c>
      <c r="AG10">
        <v>60200</v>
      </c>
      <c r="AH10">
        <v>34752.03</v>
      </c>
    </row>
    <row r="11" spans="1:34" x14ac:dyDescent="0.25">
      <c r="A11" s="65" t="s">
        <v>84</v>
      </c>
      <c r="B11" t="s">
        <v>56</v>
      </c>
      <c r="C11" t="s">
        <v>87</v>
      </c>
      <c r="D11">
        <v>194.5</v>
      </c>
      <c r="E11" s="67">
        <v>1285</v>
      </c>
      <c r="F11">
        <v>2427</v>
      </c>
      <c r="G11">
        <v>0</v>
      </c>
      <c r="H11">
        <v>0</v>
      </c>
      <c r="I11">
        <v>0</v>
      </c>
      <c r="J11">
        <v>0</v>
      </c>
      <c r="O11" s="18" t="s">
        <v>84</v>
      </c>
      <c r="P11" s="18" t="s">
        <v>85</v>
      </c>
      <c r="Q11" s="18" t="s">
        <v>45</v>
      </c>
      <c r="R11" s="18">
        <f>SUMIF(Tableau4[Code],Tableau5[[#This Row],[Code]],Tableau4[Les heures (H)])</f>
        <v>203.5</v>
      </c>
      <c r="S11" s="18">
        <f>SUMIF(Tableau4[Code],Tableau5[[#This Row],[Code]],Tableau4[Gasoil (L)])</f>
        <v>826</v>
      </c>
      <c r="T11" s="18">
        <f>SUMIF(Tableau4[Code],Tableau5[[#This Row],[Code]],Tableau4[Huile 15/40(L)])</f>
        <v>0</v>
      </c>
      <c r="U11" s="18">
        <f>SUMIF(Tableau4[Code],Tableau5[[#This Row],[Code]],Tableau4[Huile 90 (L)])</f>
        <v>0</v>
      </c>
      <c r="V11" s="18">
        <f>SUMIF(Tableau4[Code],Tableau5[[#This Row],[Code]],Tableau4[Huile 10 (L)])</f>
        <v>0</v>
      </c>
      <c r="W11" s="18">
        <f>SUMIF(Tableau4[Code],Tableau5[[#This Row],[Code]],Tableau4[Graisse (kg)])</f>
        <v>0</v>
      </c>
      <c r="X11" s="22">
        <f>Tableau5[[#This Row],[Gasoil (L)]]/Tableau5[[#This Row],[Quantité (H)]]</f>
        <v>4.058968058968059</v>
      </c>
      <c r="Y11" s="22">
        <f>Tableau5[[#This Row],[Gasoil (L)]]/SUMIF(Tableau4[Code],Tableau5[[#This Row],[Code]],Tableau4[Km H (Dist)])*100</f>
        <v>91.982182628062361</v>
      </c>
      <c r="Z11" s="68">
        <v>56980</v>
      </c>
      <c r="AA11" s="68">
        <v>29932.76</v>
      </c>
      <c r="AB11" s="68"/>
      <c r="AC11" s="68"/>
      <c r="AD11" s="68" t="str">
        <f>IF(Tableau5[[#This Row],[Code]]=AF11,"ok","nn")</f>
        <v>ok</v>
      </c>
      <c r="AE11" s="68"/>
      <c r="AF11" s="65" t="s">
        <v>45</v>
      </c>
      <c r="AG11">
        <v>56980</v>
      </c>
      <c r="AH11">
        <v>29932.76</v>
      </c>
    </row>
    <row r="12" spans="1:34" x14ac:dyDescent="0.25">
      <c r="A12" s="65" t="s">
        <v>160</v>
      </c>
      <c r="B12" t="s">
        <v>50</v>
      </c>
      <c r="C12" t="s">
        <v>87</v>
      </c>
      <c r="D12">
        <v>63</v>
      </c>
      <c r="E12" s="67">
        <v>1328</v>
      </c>
      <c r="F12">
        <v>467</v>
      </c>
      <c r="G12">
        <v>20</v>
      </c>
      <c r="H12">
        <v>0</v>
      </c>
      <c r="I12">
        <v>0</v>
      </c>
      <c r="J12">
        <v>0</v>
      </c>
      <c r="O12" s="18" t="s">
        <v>84</v>
      </c>
      <c r="P12" s="18" t="s">
        <v>85</v>
      </c>
      <c r="Q12" s="18" t="s">
        <v>46</v>
      </c>
      <c r="R12" s="18">
        <f>SUMIF(Tableau4[Code],Tableau5[[#This Row],[Code]],Tableau4[Les heures (H)])</f>
        <v>222.5</v>
      </c>
      <c r="S12" s="18">
        <f>SUMIF(Tableau4[Code],Tableau5[[#This Row],[Code]],Tableau4[Gasoil (L)])</f>
        <v>1306</v>
      </c>
      <c r="T12" s="18">
        <f>SUMIF(Tableau4[Code],Tableau5[[#This Row],[Code]],Tableau4[Huile 15/40(L)])</f>
        <v>5</v>
      </c>
      <c r="U12" s="18">
        <f>SUMIF(Tableau4[Code],Tableau5[[#This Row],[Code]],Tableau4[Huile 90 (L)])</f>
        <v>0</v>
      </c>
      <c r="V12" s="18">
        <f>SUMIF(Tableau4[Code],Tableau5[[#This Row],[Code]],Tableau4[Huile 10 (L)])</f>
        <v>5</v>
      </c>
      <c r="W12" s="18">
        <f>SUMIF(Tableau4[Code],Tableau5[[#This Row],[Code]],Tableau4[Graisse (kg)])</f>
        <v>0</v>
      </c>
      <c r="X12" s="22">
        <f>Tableau5[[#This Row],[Gasoil (L)]]/Tableau5[[#This Row],[Quantité (H)]]</f>
        <v>5.8696629213483149</v>
      </c>
      <c r="Y12" s="22">
        <f>Tableau5[[#This Row],[Gasoil (L)]]/SUMIF(Tableau4[Code],Tableau5[[#This Row],[Code]],Tableau4[Km H (Dist)])*100</f>
        <v>182.65734265734267</v>
      </c>
      <c r="Z12" s="68">
        <v>62300</v>
      </c>
      <c r="AA12" s="68">
        <v>13435</v>
      </c>
      <c r="AB12" s="68"/>
      <c r="AC12" s="68"/>
      <c r="AD12" s="68" t="str">
        <f>IF(Tableau5[[#This Row],[Code]]=AF12,"ok","nn")</f>
        <v>ok</v>
      </c>
      <c r="AE12" s="68"/>
      <c r="AF12" s="65" t="s">
        <v>46</v>
      </c>
      <c r="AG12">
        <v>62300</v>
      </c>
      <c r="AH12">
        <v>13435</v>
      </c>
    </row>
    <row r="13" spans="1:34" x14ac:dyDescent="0.25">
      <c r="A13" s="65" t="s">
        <v>160</v>
      </c>
      <c r="B13" t="s">
        <v>49</v>
      </c>
      <c r="C13" t="s">
        <v>87</v>
      </c>
      <c r="D13">
        <v>48</v>
      </c>
      <c r="E13" s="67">
        <v>1678</v>
      </c>
      <c r="F13">
        <v>765</v>
      </c>
      <c r="G13">
        <v>0</v>
      </c>
      <c r="H13">
        <v>0</v>
      </c>
      <c r="I13">
        <v>25</v>
      </c>
      <c r="J13">
        <v>0</v>
      </c>
      <c r="O13" s="18" t="s">
        <v>84</v>
      </c>
      <c r="P13" s="18" t="s">
        <v>85</v>
      </c>
      <c r="Q13" s="18" t="s">
        <v>47</v>
      </c>
      <c r="R13" s="18">
        <f>SUMIF(Tableau4[Code],Tableau5[[#This Row],[Code]],Tableau4[Les heures (H)])</f>
        <v>214.5</v>
      </c>
      <c r="S13" s="18">
        <f>SUMIF(Tableau4[Code],Tableau5[[#This Row],[Code]],Tableau4[Gasoil (L)])</f>
        <v>2688.15</v>
      </c>
      <c r="T13" s="18">
        <f>SUMIF(Tableau4[Code],Tableau5[[#This Row],[Code]],Tableau4[Huile 15/40(L)])</f>
        <v>0</v>
      </c>
      <c r="U13" s="18">
        <f>SUMIF(Tableau4[Code],Tableau5[[#This Row],[Code]],Tableau4[Huile 90 (L)])</f>
        <v>0</v>
      </c>
      <c r="V13" s="18">
        <f>SUMIF(Tableau4[Code],Tableau5[[#This Row],[Code]],Tableau4[Huile 10 (L)])</f>
        <v>5</v>
      </c>
      <c r="W13" s="18">
        <f>SUMIF(Tableau4[Code],Tableau5[[#This Row],[Code]],Tableau4[Graisse (kg)])</f>
        <v>0</v>
      </c>
      <c r="X13" s="22">
        <f>Tableau5[[#This Row],[Gasoil (L)]]/Tableau5[[#This Row],[Quantité (H)]]</f>
        <v>12.532167832167833</v>
      </c>
      <c r="Y13" s="22">
        <f>Tableau5[[#This Row],[Gasoil (L)]]/SUMIF(Tableau4[Code],Tableau5[[#This Row],[Code]],Tableau4[Km H (Dist)])*100</f>
        <v>130.42940320232896</v>
      </c>
      <c r="Z13" s="68">
        <v>60060</v>
      </c>
      <c r="AA13" s="68">
        <v>27057</v>
      </c>
      <c r="AB13" s="68"/>
      <c r="AC13" s="68"/>
      <c r="AD13" s="68" t="str">
        <f>IF(Tableau5[[#This Row],[Code]]=AF13,"ok","nn")</f>
        <v>ok</v>
      </c>
      <c r="AE13" s="68"/>
      <c r="AF13" s="65" t="s">
        <v>47</v>
      </c>
      <c r="AG13">
        <v>60060</v>
      </c>
      <c r="AH13">
        <v>27057</v>
      </c>
    </row>
    <row r="14" spans="1:34" x14ac:dyDescent="0.25">
      <c r="A14" s="65" t="s">
        <v>160</v>
      </c>
      <c r="B14" s="67" t="s">
        <v>67</v>
      </c>
      <c r="C14" t="s">
        <v>87</v>
      </c>
      <c r="D14">
        <v>180</v>
      </c>
      <c r="E14" s="67">
        <v>1780</v>
      </c>
      <c r="F14">
        <v>139</v>
      </c>
      <c r="G14">
        <v>0</v>
      </c>
      <c r="H14">
        <v>0</v>
      </c>
      <c r="I14">
        <v>0</v>
      </c>
      <c r="J14">
        <v>0</v>
      </c>
      <c r="O14" s="18" t="s">
        <v>116</v>
      </c>
      <c r="P14" s="18" t="s">
        <v>85</v>
      </c>
      <c r="Q14" s="18" t="s">
        <v>48</v>
      </c>
      <c r="R14" s="18">
        <f>SUMIF(Tableau4[Code],Tableau5[[#This Row],[Code]],Tableau4[Les heures (H)])</f>
        <v>175</v>
      </c>
      <c r="S14" s="18">
        <f>SUMIF(Tableau4[Code],Tableau5[[#This Row],[Code]],Tableau4[Gasoil (L)])</f>
        <v>919</v>
      </c>
      <c r="T14" s="18">
        <f>SUMIF(Tableau4[Code],Tableau5[[#This Row],[Code]],Tableau4[Huile 15/40(L)])</f>
        <v>0</v>
      </c>
      <c r="U14" s="18">
        <f>SUMIF(Tableau4[Code],Tableau5[[#This Row],[Code]],Tableau4[Huile 90 (L)])</f>
        <v>0</v>
      </c>
      <c r="V14" s="18">
        <f>SUMIF(Tableau4[Code],Tableau5[[#This Row],[Code]],Tableau4[Huile 10 (L)])</f>
        <v>0</v>
      </c>
      <c r="W14" s="18">
        <f>SUMIF(Tableau4[Code],Tableau5[[#This Row],[Code]],Tableau4[Graisse (kg)])</f>
        <v>0</v>
      </c>
      <c r="X14" s="22">
        <f>Tableau5[[#This Row],[Gasoil (L)]]/Tableau5[[#This Row],[Quantité (H)]]</f>
        <v>5.2514285714285718</v>
      </c>
      <c r="Y14" s="22">
        <f>Tableau5[[#This Row],[Gasoil (L)]]/SUMIF(Tableau4[Code],Tableau5[[#This Row],[Code]],Tableau4[Km H (Dist)])*100</f>
        <v>36.730615507593924</v>
      </c>
      <c r="Z14" s="68">
        <v>25350</v>
      </c>
      <c r="AA14" s="68">
        <v>20869.11</v>
      </c>
      <c r="AB14" s="68"/>
      <c r="AC14" s="68"/>
      <c r="AD14" s="68" t="str">
        <f>IF(Tableau5[[#This Row],[Code]]=AF14,"ok","nn")</f>
        <v>ok</v>
      </c>
      <c r="AE14" s="68"/>
      <c r="AF14" s="65" t="s">
        <v>48</v>
      </c>
      <c r="AG14">
        <v>25350</v>
      </c>
      <c r="AH14">
        <v>20869.11</v>
      </c>
    </row>
    <row r="15" spans="1:34" x14ac:dyDescent="0.25">
      <c r="A15" s="65" t="s">
        <v>160</v>
      </c>
      <c r="B15" t="s">
        <v>148</v>
      </c>
      <c r="C15" t="s">
        <v>87</v>
      </c>
      <c r="D15">
        <v>101</v>
      </c>
      <c r="E15" s="67">
        <v>1911</v>
      </c>
      <c r="F15">
        <v>180</v>
      </c>
      <c r="G15">
        <v>0</v>
      </c>
      <c r="H15">
        <v>0</v>
      </c>
      <c r="I15">
        <v>0</v>
      </c>
      <c r="J15">
        <v>0</v>
      </c>
      <c r="O15" s="18" t="s">
        <v>116</v>
      </c>
      <c r="P15" s="18" t="s">
        <v>85</v>
      </c>
      <c r="Q15" s="18" t="s">
        <v>49</v>
      </c>
      <c r="R15" s="18">
        <f>SUMIF(Tableau4[Code],Tableau5[[#This Row],[Code]],Tableau4[Les heures (H)])</f>
        <v>86</v>
      </c>
      <c r="S15" s="18">
        <f>SUMIF(Tableau4[Code],Tableau5[[#This Row],[Code]],Tableau4[Gasoil (L)])</f>
        <v>765</v>
      </c>
      <c r="T15" s="18">
        <f>SUMIF(Tableau4[Code],Tableau5[[#This Row],[Code]],Tableau4[Huile 15/40(L)])</f>
        <v>0</v>
      </c>
      <c r="U15" s="18">
        <f>SUMIF(Tableau4[Code],Tableau5[[#This Row],[Code]],Tableau4[Huile 90 (L)])</f>
        <v>0</v>
      </c>
      <c r="V15" s="18">
        <f>SUMIF(Tableau4[Code],Tableau5[[#This Row],[Code]],Tableau4[Huile 10 (L)])</f>
        <v>25</v>
      </c>
      <c r="W15" s="18">
        <f>SUMIF(Tableau4[Code],Tableau5[[#This Row],[Code]],Tableau4[Graisse (kg)])</f>
        <v>5</v>
      </c>
      <c r="X15" s="22">
        <f>Tableau5[[#This Row],[Gasoil (L)]]/Tableau5[[#This Row],[Quantité (H)]]</f>
        <v>8.895348837209303</v>
      </c>
      <c r="Y15" s="22">
        <f>Tableau5[[#This Row],[Gasoil (L)]]/SUMIF(Tableau4[Code],Tableau5[[#This Row],[Code]],Tableau4[Km H (Dist)])*100</f>
        <v>45.589988081048865</v>
      </c>
      <c r="Z15" s="68">
        <v>5700</v>
      </c>
      <c r="AA15" s="68">
        <v>18492.169999999998</v>
      </c>
      <c r="AB15" s="68"/>
      <c r="AC15" s="68"/>
      <c r="AD15" s="68" t="str">
        <f>IF(Tableau5[[#This Row],[Code]]=AF15,"ok","nn")</f>
        <v>ok</v>
      </c>
      <c r="AE15" s="68"/>
      <c r="AF15" s="65" t="s">
        <v>49</v>
      </c>
      <c r="AG15">
        <v>5700</v>
      </c>
      <c r="AH15">
        <v>18492.169999999998</v>
      </c>
    </row>
    <row r="16" spans="1:34" x14ac:dyDescent="0.25">
      <c r="A16" s="65" t="s">
        <v>193</v>
      </c>
      <c r="B16" s="67" t="s">
        <v>76</v>
      </c>
      <c r="C16" t="s">
        <v>190</v>
      </c>
      <c r="D16">
        <v>184</v>
      </c>
      <c r="E16" s="67">
        <v>1993</v>
      </c>
      <c r="F16">
        <v>67.53</v>
      </c>
      <c r="G16">
        <v>0</v>
      </c>
      <c r="H16">
        <v>0</v>
      </c>
      <c r="I16">
        <v>0</v>
      </c>
      <c r="J16">
        <v>0</v>
      </c>
      <c r="O16" s="18" t="s">
        <v>84</v>
      </c>
      <c r="P16" s="18" t="s">
        <v>85</v>
      </c>
      <c r="Q16" s="18" t="s">
        <v>50</v>
      </c>
      <c r="R16" s="18">
        <f>SUMIF(Tableau4[Code],Tableau5[[#This Row],[Code]],Tableau4[Les heures (H)])</f>
        <v>72</v>
      </c>
      <c r="S16" s="18">
        <f>SUMIF(Tableau4[Code],Tableau5[[#This Row],[Code]],Tableau4[Gasoil (L)])</f>
        <v>617</v>
      </c>
      <c r="T16" s="18">
        <f>SUMIF(Tableau4[Code],Tableau5[[#This Row],[Code]],Tableau4[Huile 15/40(L)])</f>
        <v>20</v>
      </c>
      <c r="U16" s="18">
        <f>SUMIF(Tableau4[Code],Tableau5[[#This Row],[Code]],Tableau4[Huile 90 (L)])</f>
        <v>0</v>
      </c>
      <c r="V16" s="18">
        <f>SUMIF(Tableau4[Code],Tableau5[[#This Row],[Code]],Tableau4[Huile 10 (L)])</f>
        <v>0</v>
      </c>
      <c r="W16" s="18">
        <f>SUMIF(Tableau4[Code],Tableau5[[#This Row],[Code]],Tableau4[Graisse (kg)])</f>
        <v>0</v>
      </c>
      <c r="X16" s="22">
        <f>Tableau5[[#This Row],[Gasoil (L)]]/Tableau5[[#This Row],[Quantité (H)]]</f>
        <v>8.5694444444444446</v>
      </c>
      <c r="Y16" s="22">
        <f>Tableau5[[#This Row],[Gasoil (L)]]/SUMIF(Tableau4[Code],Tableau5[[#This Row],[Code]],Tableau4[Km H (Dist)])*100</f>
        <v>46.460843373493979</v>
      </c>
      <c r="Z16" s="68">
        <v>9450</v>
      </c>
      <c r="AA16" s="68">
        <v>16937.169999999998</v>
      </c>
      <c r="AB16" s="68"/>
      <c r="AC16" s="68"/>
      <c r="AD16" s="68" t="str">
        <f>IF(Tableau5[[#This Row],[Code]]=AF16,"ok","nn")</f>
        <v>ok</v>
      </c>
      <c r="AE16" s="68"/>
      <c r="AF16" s="65" t="s">
        <v>50</v>
      </c>
      <c r="AG16">
        <v>9450</v>
      </c>
      <c r="AH16">
        <v>16937.169999999998</v>
      </c>
    </row>
    <row r="17" spans="1:34" x14ac:dyDescent="0.25">
      <c r="A17" s="65" t="s">
        <v>84</v>
      </c>
      <c r="B17" t="s">
        <v>47</v>
      </c>
      <c r="C17" t="s">
        <v>87</v>
      </c>
      <c r="D17">
        <v>212.5</v>
      </c>
      <c r="E17" s="67">
        <v>2061</v>
      </c>
      <c r="F17">
        <v>2615</v>
      </c>
      <c r="G17">
        <v>0</v>
      </c>
      <c r="H17">
        <v>0</v>
      </c>
      <c r="I17">
        <v>5</v>
      </c>
      <c r="J17">
        <v>0</v>
      </c>
      <c r="O17" s="18" t="s">
        <v>116</v>
      </c>
      <c r="P17" s="18" t="s">
        <v>85</v>
      </c>
      <c r="Q17" s="18" t="s">
        <v>54</v>
      </c>
      <c r="R17" s="18">
        <f>SUMIF(Tableau4[Code],Tableau5[[#This Row],[Code]],Tableau4[Les heures (H)])</f>
        <v>97</v>
      </c>
      <c r="S17" s="18">
        <f>SUMIF(Tableau4[Code],Tableau5[[#This Row],[Code]],Tableau4[Gasoil (L)])</f>
        <v>1102</v>
      </c>
      <c r="T17" s="18">
        <f>SUMIF(Tableau4[Code],Tableau5[[#This Row],[Code]],Tableau4[Huile 15/40(L)])</f>
        <v>0</v>
      </c>
      <c r="U17" s="18">
        <f>SUMIF(Tableau4[Code],Tableau5[[#This Row],[Code]],Tableau4[Huile 90 (L)])</f>
        <v>0</v>
      </c>
      <c r="V17" s="18">
        <f>SUMIF(Tableau4[Code],Tableau5[[#This Row],[Code]],Tableau4[Huile 10 (L)])</f>
        <v>0</v>
      </c>
      <c r="W17" s="18">
        <f>SUMIF(Tableau4[Code],Tableau5[[#This Row],[Code]],Tableau4[Graisse (kg)])</f>
        <v>3</v>
      </c>
      <c r="X17" s="22">
        <f>Tableau5[[#This Row],[Gasoil (L)]]/Tableau5[[#This Row],[Quantité (H)]]</f>
        <v>11.360824742268042</v>
      </c>
      <c r="Y17" s="22">
        <f>Tableau5[[#This Row],[Gasoil (L)]]/SUMIF(Tableau4[Code],Tableau5[[#This Row],[Code]],Tableau4[Km H (Dist)])*100</f>
        <v>208.71212121212119</v>
      </c>
      <c r="Z17" s="68">
        <v>27160</v>
      </c>
      <c r="AA17" s="68">
        <v>11020</v>
      </c>
      <c r="AB17" s="68"/>
      <c r="AC17" s="68"/>
      <c r="AD17" s="68" t="str">
        <f>IF(Tableau5[[#This Row],[Code]]=AF17,"ok","nn")</f>
        <v>ok</v>
      </c>
      <c r="AE17" s="68"/>
      <c r="AF17" s="65" t="s">
        <v>54</v>
      </c>
      <c r="AG17">
        <v>27160</v>
      </c>
      <c r="AH17">
        <v>11020</v>
      </c>
    </row>
    <row r="18" spans="1:34" x14ac:dyDescent="0.25">
      <c r="A18" s="65" t="s">
        <v>84</v>
      </c>
      <c r="B18" t="s">
        <v>48</v>
      </c>
      <c r="C18">
        <v>0</v>
      </c>
      <c r="D18">
        <v>157</v>
      </c>
      <c r="E18" s="67">
        <v>2502</v>
      </c>
      <c r="F18">
        <v>790</v>
      </c>
      <c r="G18">
        <v>0</v>
      </c>
      <c r="H18">
        <v>0</v>
      </c>
      <c r="I18">
        <v>0</v>
      </c>
      <c r="J18">
        <v>0</v>
      </c>
      <c r="O18" s="18" t="s">
        <v>84</v>
      </c>
      <c r="P18" s="18" t="s">
        <v>85</v>
      </c>
      <c r="Q18" s="18" t="s">
        <v>56</v>
      </c>
      <c r="R18" s="18">
        <f>SUMIF(Tableau4[Code],Tableau5[[#This Row],[Code]],Tableau4[Les heures (H)])</f>
        <v>194.5</v>
      </c>
      <c r="S18" s="18">
        <f>SUMIF(Tableau4[Code],Tableau5[[#This Row],[Code]],Tableau4[Gasoil (L)])</f>
        <v>3027</v>
      </c>
      <c r="T18" s="18">
        <f>SUMIF(Tableau4[Code],Tableau5[[#This Row],[Code]],Tableau4[Huile 15/40(L)])</f>
        <v>0</v>
      </c>
      <c r="U18" s="18">
        <f>SUMIF(Tableau4[Code],Tableau5[[#This Row],[Code]],Tableau4[Huile 90 (L)])</f>
        <v>0</v>
      </c>
      <c r="V18" s="18">
        <f>SUMIF(Tableau4[Code],Tableau5[[#This Row],[Code]],Tableau4[Huile 10 (L)])</f>
        <v>0</v>
      </c>
      <c r="W18" s="18">
        <f>SUMIF(Tableau4[Code],Tableau5[[#This Row],[Code]],Tableau4[Graisse (kg)])</f>
        <v>0</v>
      </c>
      <c r="X18" s="22">
        <f>Tableau5[[#This Row],[Gasoil (L)]]/Tableau5[[#This Row],[Quantité (H)]]</f>
        <v>15.562982005141388</v>
      </c>
      <c r="Y18" s="22">
        <f>Tableau5[[#This Row],[Gasoil (L)]]/SUMIF(Tableau4[Code],Tableau5[[#This Row],[Code]],Tableau4[Km H (Dist)])*100</f>
        <v>235.56420233463035</v>
      </c>
      <c r="Z18" s="68">
        <v>58350</v>
      </c>
      <c r="AA18" s="68">
        <v>37301.54</v>
      </c>
      <c r="AB18" s="68"/>
      <c r="AC18" s="68"/>
      <c r="AD18" s="68" t="str">
        <f>IF(Tableau5[[#This Row],[Code]]=AF18,"ok","nn")</f>
        <v>ok</v>
      </c>
      <c r="AE18" s="68"/>
      <c r="AF18" s="65" t="s">
        <v>56</v>
      </c>
      <c r="AG18">
        <v>58350</v>
      </c>
      <c r="AH18">
        <v>37301.54</v>
      </c>
    </row>
    <row r="19" spans="1:34" x14ac:dyDescent="0.25">
      <c r="A19" s="65" t="s">
        <v>84</v>
      </c>
      <c r="B19" s="67" t="s">
        <v>77</v>
      </c>
      <c r="C19" t="s">
        <v>87</v>
      </c>
      <c r="D19">
        <v>118</v>
      </c>
      <c r="E19" s="67">
        <v>2800</v>
      </c>
      <c r="F19">
        <v>159</v>
      </c>
      <c r="G19">
        <v>0</v>
      </c>
      <c r="H19">
        <v>0</v>
      </c>
      <c r="I19">
        <v>0</v>
      </c>
      <c r="J19">
        <v>0</v>
      </c>
      <c r="O19" s="18" t="s">
        <v>116</v>
      </c>
      <c r="P19" s="18" t="s">
        <v>85</v>
      </c>
      <c r="Q19" s="18" t="s">
        <v>57</v>
      </c>
      <c r="R19" s="18">
        <f>SUMIF(Tableau4[Code],Tableau5[[#This Row],[Code]],Tableau4[Les heures (H)])</f>
        <v>160</v>
      </c>
      <c r="S19" s="18">
        <f>SUMIF(Tableau4[Code],Tableau5[[#This Row],[Code]],Tableau4[Gasoil (L)])</f>
        <v>4688</v>
      </c>
      <c r="T19" s="18">
        <f>SUMIF(Tableau4[Code],Tableau5[[#This Row],[Code]],Tableau4[Huile 15/40(L)])</f>
        <v>0</v>
      </c>
      <c r="U19" s="18">
        <f>SUMIF(Tableau4[Code],Tableau5[[#This Row],[Code]],Tableau4[Huile 90 (L)])</f>
        <v>0</v>
      </c>
      <c r="V19" s="18">
        <f>SUMIF(Tableau4[Code],Tableau5[[#This Row],[Code]],Tableau4[Huile 10 (L)])</f>
        <v>0</v>
      </c>
      <c r="W19" s="18">
        <f>SUMIF(Tableau4[Code],Tableau5[[#This Row],[Code]],Tableau4[Graisse (kg)])</f>
        <v>1</v>
      </c>
      <c r="X19" s="22">
        <f>Tableau5[[#This Row],[Gasoil (L)]]/Tableau5[[#This Row],[Quantité (H)]]</f>
        <v>29.3</v>
      </c>
      <c r="Y19" s="22">
        <f>Tableau5[[#This Row],[Gasoil (L)]]/SUMIF(Tableau4[Code],Tableau5[[#This Row],[Code]],Tableau4[Km H (Dist)])*100</f>
        <v>53.891251868030807</v>
      </c>
      <c r="Z19" s="68">
        <v>107600</v>
      </c>
      <c r="AA19" s="68">
        <v>97377.63</v>
      </c>
      <c r="AB19" s="68"/>
      <c r="AC19" s="68"/>
      <c r="AD19" s="68" t="str">
        <f>IF(Tableau5[[#This Row],[Code]]=AF19,"ok","nn")</f>
        <v>ok</v>
      </c>
      <c r="AE19" s="68"/>
      <c r="AF19" s="65" t="s">
        <v>57</v>
      </c>
      <c r="AG19">
        <v>107600</v>
      </c>
      <c r="AH19">
        <v>97377.63</v>
      </c>
    </row>
    <row r="20" spans="1:34" x14ac:dyDescent="0.25">
      <c r="A20" s="65" t="s">
        <v>158</v>
      </c>
      <c r="B20" t="s">
        <v>58</v>
      </c>
      <c r="C20" t="s">
        <v>87</v>
      </c>
      <c r="D20">
        <v>252</v>
      </c>
      <c r="E20" s="67">
        <v>2971</v>
      </c>
      <c r="F20">
        <v>380</v>
      </c>
      <c r="G20">
        <v>15</v>
      </c>
      <c r="H20">
        <v>0</v>
      </c>
      <c r="I20">
        <v>0</v>
      </c>
      <c r="J20">
        <v>0</v>
      </c>
      <c r="O20" s="18" t="s">
        <v>84</v>
      </c>
      <c r="P20" s="18" t="s">
        <v>85</v>
      </c>
      <c r="Q20" s="18" t="s">
        <v>55</v>
      </c>
      <c r="R20" s="18">
        <f>SUMIF(Tableau4[Code],Tableau5[[#This Row],[Code]],Tableau4[Les heures (H)])</f>
        <v>199</v>
      </c>
      <c r="S20" s="18">
        <f>SUMIF(Tableau4[Code],Tableau5[[#This Row],[Code]],Tableau4[Gasoil (L)])</f>
        <v>758.1</v>
      </c>
      <c r="T20" s="18">
        <f>SUMIF(Tableau4[Code],Tableau5[[#This Row],[Code]],Tableau4[Huile 15/40(L)])</f>
        <v>3</v>
      </c>
      <c r="U20" s="18">
        <f>SUMIF(Tableau4[Code],Tableau5[[#This Row],[Code]],Tableau4[Huile 90 (L)])</f>
        <v>0</v>
      </c>
      <c r="V20" s="18">
        <f>SUMIF(Tableau4[Code],Tableau5[[#This Row],[Code]],Tableau4[Huile 10 (L)])</f>
        <v>20</v>
      </c>
      <c r="W20" s="18">
        <f>SUMIF(Tableau4[Code],Tableau5[[#This Row],[Code]],Tableau4[Graisse (kg)])</f>
        <v>0</v>
      </c>
      <c r="X20" s="22">
        <f>Tableau5[[#This Row],[Gasoil (L)]]/Tableau5[[#This Row],[Quantité (H)]]</f>
        <v>3.8095477386934675</v>
      </c>
      <c r="Y20" s="22">
        <f>Tableau5[[#This Row],[Gasoil (L)]]/SUMIF(Tableau4[Code],Tableau5[[#This Row],[Code]],Tableau4[Km H (Dist)])*100</f>
        <v>128.92857142857144</v>
      </c>
      <c r="Z20" s="68">
        <v>55720</v>
      </c>
      <c r="AA20" s="68">
        <v>17227.39</v>
      </c>
      <c r="AB20" s="68"/>
      <c r="AC20" s="68"/>
      <c r="AD20" s="68" t="str">
        <f>IF(Tableau5[[#This Row],[Code]]=AF20,"ok","nn")</f>
        <v>ok</v>
      </c>
      <c r="AE20" s="68"/>
      <c r="AF20" s="65" t="s">
        <v>55</v>
      </c>
      <c r="AG20">
        <v>55720</v>
      </c>
      <c r="AH20">
        <v>17227.39</v>
      </c>
    </row>
    <row r="21" spans="1:34" x14ac:dyDescent="0.25">
      <c r="A21" s="65" t="s">
        <v>84</v>
      </c>
      <c r="B21" s="67" t="s">
        <v>78</v>
      </c>
      <c r="C21">
        <v>0</v>
      </c>
      <c r="D21">
        <v>113</v>
      </c>
      <c r="E21" s="67">
        <v>3559</v>
      </c>
      <c r="F21">
        <v>181</v>
      </c>
      <c r="G21">
        <v>0</v>
      </c>
      <c r="H21">
        <v>0</v>
      </c>
      <c r="I21">
        <v>0</v>
      </c>
      <c r="J21">
        <v>0</v>
      </c>
      <c r="O21" s="18" t="s">
        <v>116</v>
      </c>
      <c r="P21" s="18" t="s">
        <v>85</v>
      </c>
      <c r="Q21" s="18" t="s">
        <v>134</v>
      </c>
      <c r="R21" s="18">
        <f>SUMIF(Tableau4[Code],Tableau5[[#This Row],[Code]],Tableau4[Les heures (H)])</f>
        <v>64</v>
      </c>
      <c r="S21" s="18">
        <f>SUMIF(Tableau4[Code],Tableau5[[#This Row],[Code]],Tableau4[Gasoil (L)])</f>
        <v>356</v>
      </c>
      <c r="T21" s="18">
        <f>SUMIF(Tableau4[Code],Tableau5[[#This Row],[Code]],Tableau4[Huile 15/40(L)])</f>
        <v>0</v>
      </c>
      <c r="U21" s="18">
        <f>SUMIF(Tableau4[Code],Tableau5[[#This Row],[Code]],Tableau4[Huile 90 (L)])</f>
        <v>0</v>
      </c>
      <c r="V21" s="18">
        <f>SUMIF(Tableau4[Code],Tableau5[[#This Row],[Code]],Tableau4[Huile 10 (L)])</f>
        <v>0</v>
      </c>
      <c r="W21" s="18">
        <f>SUMIF(Tableau4[Code],Tableau5[[#This Row],[Code]],Tableau4[Graisse (kg)])</f>
        <v>5</v>
      </c>
      <c r="X21" s="22">
        <f>Tableau5[[#This Row],[Gasoil (L)]]/Tableau5[[#This Row],[Quantité (H)]]</f>
        <v>5.5625</v>
      </c>
      <c r="Y21" s="22">
        <f>Tableau5[[#This Row],[Gasoil (L)]]/SUMIF(Tableau4[Code],Tableau5[[#This Row],[Code]],Tableau4[Km H (Dist)])*100</f>
        <v>76.231263383297645</v>
      </c>
      <c r="Z21" s="68">
        <v>9600</v>
      </c>
      <c r="AA21" s="68">
        <v>4130</v>
      </c>
      <c r="AB21" s="68"/>
      <c r="AC21" s="68"/>
      <c r="AD21" s="68" t="str">
        <f>IF(Tableau5[[#This Row],[Code]]=AF21,"ok","nn")</f>
        <v>ok</v>
      </c>
      <c r="AE21" s="68"/>
      <c r="AF21" s="65" t="s">
        <v>134</v>
      </c>
      <c r="AG21">
        <v>9600</v>
      </c>
      <c r="AH21">
        <v>4130</v>
      </c>
    </row>
    <row r="22" spans="1:34" x14ac:dyDescent="0.25">
      <c r="A22" s="65" t="s">
        <v>84</v>
      </c>
      <c r="B22" s="67" t="s">
        <v>75</v>
      </c>
      <c r="C22" t="s">
        <v>87</v>
      </c>
      <c r="D22">
        <v>204</v>
      </c>
      <c r="E22" s="67">
        <v>4070</v>
      </c>
      <c r="F22">
        <v>245</v>
      </c>
      <c r="G22">
        <v>0</v>
      </c>
      <c r="H22">
        <v>0</v>
      </c>
      <c r="I22">
        <v>0</v>
      </c>
      <c r="J22">
        <v>0</v>
      </c>
      <c r="O22" s="18" t="s">
        <v>84</v>
      </c>
      <c r="P22" s="18" t="s">
        <v>85</v>
      </c>
      <c r="Q22" s="18" t="s">
        <v>149</v>
      </c>
      <c r="R22" s="18">
        <f>SUMIF(Tableau4[Code],Tableau5[[#This Row],[Code]],Tableau4[Les heures (H)])</f>
        <v>148</v>
      </c>
      <c r="S22" s="18">
        <f>SUMIF(Tableau4[Code],Tableau5[[#This Row],[Code]],Tableau4[Gasoil (L)])</f>
        <v>231</v>
      </c>
      <c r="T22" s="18">
        <f>SUMIF(Tableau4[Code],Tableau5[[#This Row],[Code]],Tableau4[Huile 15/40(L)])</f>
        <v>0</v>
      </c>
      <c r="U22" s="18">
        <f>SUMIF(Tableau4[Code],Tableau5[[#This Row],[Code]],Tableau4[Huile 90 (L)])</f>
        <v>0</v>
      </c>
      <c r="V22" s="18">
        <f>SUMIF(Tableau4[Code],Tableau5[[#This Row],[Code]],Tableau4[Huile 10 (L)])</f>
        <v>0</v>
      </c>
      <c r="W22" s="18">
        <f>SUMIF(Tableau4[Code],Tableau5[[#This Row],[Code]],Tableau4[Graisse (kg)])</f>
        <v>0</v>
      </c>
      <c r="X22" s="22">
        <f>Tableau5[[#This Row],[Gasoil (L)]]/Tableau5[[#This Row],[Quantité (H)]]</f>
        <v>1.5608108108108107</v>
      </c>
      <c r="Y22" s="22" t="e">
        <f>Tableau5[[#This Row],[Gasoil (L)]]/SUMIF(Tableau4[Code],Tableau5[[#This Row],[Code]],Tableau4[Km H (Dist)])*100</f>
        <v>#DIV/0!</v>
      </c>
      <c r="Z22" s="68">
        <v>22200</v>
      </c>
      <c r="AA22" s="68">
        <v>2310</v>
      </c>
      <c r="AB22" s="68"/>
      <c r="AC22" s="68"/>
      <c r="AD22" s="68" t="str">
        <f>IF(Tableau5[[#This Row],[Code]]=AF22,"ok","nn")</f>
        <v>ok</v>
      </c>
      <c r="AE22" s="68"/>
      <c r="AF22" s="65" t="s">
        <v>149</v>
      </c>
      <c r="AG22">
        <v>22200</v>
      </c>
      <c r="AH22">
        <v>2310</v>
      </c>
    </row>
    <row r="23" spans="1:34" x14ac:dyDescent="0.25">
      <c r="A23" s="65" t="s">
        <v>84</v>
      </c>
      <c r="B23" s="67" t="s">
        <v>132</v>
      </c>
      <c r="C23" t="s">
        <v>87</v>
      </c>
      <c r="D23">
        <v>0</v>
      </c>
      <c r="E23" s="67">
        <v>4321</v>
      </c>
      <c r="F23">
        <v>210</v>
      </c>
      <c r="G23">
        <v>0</v>
      </c>
      <c r="H23">
        <v>0</v>
      </c>
      <c r="I23">
        <v>0</v>
      </c>
      <c r="J23">
        <v>0</v>
      </c>
      <c r="O23" s="18" t="s">
        <v>84</v>
      </c>
      <c r="P23" s="18" t="s">
        <v>85</v>
      </c>
      <c r="Q23" s="18" t="s">
        <v>148</v>
      </c>
      <c r="R23" s="18">
        <f>SUMIF(Tableau4[Code],Tableau5[[#This Row],[Code]],Tableau4[Les heures (H)])</f>
        <v>114</v>
      </c>
      <c r="S23" s="18">
        <f>SUMIF(Tableau4[Code],Tableau5[[#This Row],[Code]],Tableau4[Gasoil (L)])</f>
        <v>396</v>
      </c>
      <c r="T23" s="18">
        <f>SUMIF(Tableau4[Code],Tableau5[[#This Row],[Code]],Tableau4[Huile 15/40(L)])</f>
        <v>0</v>
      </c>
      <c r="U23" s="18">
        <f>SUMIF(Tableau4[Code],Tableau5[[#This Row],[Code]],Tableau4[Huile 90 (L)])</f>
        <v>0</v>
      </c>
      <c r="V23" s="18">
        <f>SUMIF(Tableau4[Code],Tableau5[[#This Row],[Code]],Tableau4[Huile 10 (L)])</f>
        <v>0</v>
      </c>
      <c r="W23" s="18">
        <f>SUMIF(Tableau4[Code],Tableau5[[#This Row],[Code]],Tableau4[Graisse (kg)])</f>
        <v>0</v>
      </c>
      <c r="X23" s="22">
        <f>Tableau5[[#This Row],[Gasoil (L)]]/Tableau5[[#This Row],[Quantité (H)]]</f>
        <v>3.4736842105263159</v>
      </c>
      <c r="Y23" s="22">
        <f>Tableau5[[#This Row],[Gasoil (L)]]/SUMIF(Tableau4[Code],Tableau5[[#This Row],[Code]],Tableau4[Km H (Dist)])*100</f>
        <v>20.722135007849293</v>
      </c>
      <c r="Z23" s="68">
        <v>7070</v>
      </c>
      <c r="AA23" s="68">
        <v>3960</v>
      </c>
      <c r="AB23" s="68"/>
      <c r="AC23" s="68"/>
      <c r="AD23" s="68" t="str">
        <f>IF(Tableau5[[#This Row],[Code]]=AF23,"ok","nn")</f>
        <v>ok</v>
      </c>
      <c r="AE23" s="68"/>
      <c r="AF23" s="65" t="s">
        <v>148</v>
      </c>
      <c r="AG23">
        <v>7070</v>
      </c>
      <c r="AH23">
        <v>3960</v>
      </c>
    </row>
    <row r="24" spans="1:34" x14ac:dyDescent="0.25">
      <c r="A24" s="65" t="s">
        <v>160</v>
      </c>
      <c r="B24" s="67" t="s">
        <v>165</v>
      </c>
      <c r="C24" t="s">
        <v>87</v>
      </c>
      <c r="D24">
        <v>0</v>
      </c>
      <c r="E24" s="67">
        <v>4367</v>
      </c>
      <c r="F24">
        <v>247</v>
      </c>
      <c r="G24">
        <v>0</v>
      </c>
      <c r="H24">
        <v>0</v>
      </c>
      <c r="I24">
        <v>0</v>
      </c>
      <c r="J24">
        <v>0</v>
      </c>
      <c r="O24" s="18" t="s">
        <v>160</v>
      </c>
      <c r="P24" s="18" t="s">
        <v>85</v>
      </c>
      <c r="Q24" s="18" t="s">
        <v>151</v>
      </c>
      <c r="R24" s="18">
        <f>SUMIF(Tableau4[Code],Tableau5[[#This Row],[Code]],Tableau4[Les heures (H)])</f>
        <v>250</v>
      </c>
      <c r="S24" s="18">
        <f>SUMIF(Tableau4[Code],Tableau5[[#This Row],[Code]],Tableau4[Gasoil (L)])</f>
        <v>3430</v>
      </c>
      <c r="T24" s="18">
        <f>SUMIF(Tableau4[Code],Tableau5[[#This Row],[Code]],Tableau4[Huile 15/40(L)])</f>
        <v>0</v>
      </c>
      <c r="U24" s="18">
        <f>SUMIF(Tableau4[Code],Tableau5[[#This Row],[Code]],Tableau4[Huile 90 (L)])</f>
        <v>0</v>
      </c>
      <c r="V24" s="18">
        <f>SUMIF(Tableau4[Code],Tableau5[[#This Row],[Code]],Tableau4[Huile 10 (L)])</f>
        <v>0</v>
      </c>
      <c r="W24" s="18">
        <f>SUMIF(Tableau4[Code],Tableau5[[#This Row],[Code]],Tableau4[Graisse (kg)])</f>
        <v>0</v>
      </c>
      <c r="X24" s="22">
        <f>Tableau5[[#This Row],[Gasoil (L)]]/Tableau5[[#This Row],[Quantité (H)]]</f>
        <v>13.72</v>
      </c>
      <c r="Y24" s="22">
        <f>Tableau5[[#This Row],[Gasoil (L)]]/SUMIF(Tableau4[Code],Tableau5[[#This Row],[Code]],Tableau4[Km H (Dist)])*100</f>
        <v>65.563116446211481</v>
      </c>
      <c r="Z24" s="68">
        <v>59850</v>
      </c>
      <c r="AA24" s="68">
        <v>74640.639999999999</v>
      </c>
      <c r="AB24" s="68"/>
      <c r="AC24" s="68"/>
      <c r="AD24" s="68" t="str">
        <f>IF(Tableau5[[#This Row],[Code]]=AF24,"ok","nn")</f>
        <v>ok</v>
      </c>
      <c r="AE24" s="68"/>
      <c r="AF24" s="65" t="s">
        <v>151</v>
      </c>
      <c r="AG24">
        <v>59850</v>
      </c>
      <c r="AH24">
        <v>74640.639999999999</v>
      </c>
    </row>
    <row r="25" spans="1:34" x14ac:dyDescent="0.25">
      <c r="A25" s="65" t="s">
        <v>84</v>
      </c>
      <c r="B25" s="67" t="s">
        <v>70</v>
      </c>
      <c r="C25" t="s">
        <v>87</v>
      </c>
      <c r="D25">
        <v>0</v>
      </c>
      <c r="E25" s="67">
        <v>4652</v>
      </c>
      <c r="F25">
        <v>325</v>
      </c>
      <c r="G25">
        <v>0</v>
      </c>
      <c r="H25">
        <v>0</v>
      </c>
      <c r="I25">
        <v>0</v>
      </c>
      <c r="J25">
        <v>0</v>
      </c>
      <c r="O25" s="18" t="s">
        <v>160</v>
      </c>
      <c r="P25" s="18" t="s">
        <v>85</v>
      </c>
      <c r="Q25" s="18" t="s">
        <v>52</v>
      </c>
      <c r="R25" s="18">
        <f>SUMIF(Tableau4[Code],Tableau5[[#This Row],[Code]],Tableau4[Les heures (H)])</f>
        <v>0</v>
      </c>
      <c r="S25" s="18">
        <f>SUMIF(Tableau4[Code],Tableau5[[#This Row],[Code]],Tableau4[Gasoil (L)])</f>
        <v>468</v>
      </c>
      <c r="T25" s="18">
        <f>SUMIF(Tableau4[Code],Tableau5[[#This Row],[Code]],Tableau4[Huile 15/40(L)])</f>
        <v>0</v>
      </c>
      <c r="U25" s="18">
        <f>SUMIF(Tableau4[Code],Tableau5[[#This Row],[Code]],Tableau4[Huile 90 (L)])</f>
        <v>0</v>
      </c>
      <c r="V25" s="18">
        <f>SUMIF(Tableau4[Code],Tableau5[[#This Row],[Code]],Tableau4[Huile 10 (L)])</f>
        <v>0</v>
      </c>
      <c r="W25" s="18">
        <f>SUMIF(Tableau4[Code],Tableau5[[#This Row],[Code]],Tableau4[Graisse (kg)])</f>
        <v>0</v>
      </c>
      <c r="X25" s="22" t="e">
        <f>Tableau5[[#This Row],[Gasoil (L)]]/Tableau5[[#This Row],[Quantité (H)]]</f>
        <v>#DIV/0!</v>
      </c>
      <c r="Y25" s="22">
        <f>Tableau5[[#This Row],[Gasoil (L)]]/SUMIF(Tableau4[Code],Tableau5[[#This Row],[Code]],Tableau4[Km H (Dist)])*100</f>
        <v>176.60377358490567</v>
      </c>
      <c r="Z25" s="68">
        <v>8625</v>
      </c>
      <c r="AA25" s="68">
        <v>4680</v>
      </c>
      <c r="AB25" s="68"/>
      <c r="AC25" s="68"/>
      <c r="AD25" s="68" t="str">
        <f>IF(Tableau5[[#This Row],[Code]]=AF25,"ok","nn")</f>
        <v>ok</v>
      </c>
      <c r="AE25" s="68"/>
      <c r="AF25" s="65" t="s">
        <v>52</v>
      </c>
      <c r="AG25">
        <v>8625</v>
      </c>
      <c r="AH25">
        <v>4680</v>
      </c>
    </row>
    <row r="26" spans="1:34" x14ac:dyDescent="0.25">
      <c r="A26" s="65" t="s">
        <v>84</v>
      </c>
      <c r="B26" t="s">
        <v>61</v>
      </c>
      <c r="C26" t="s">
        <v>87</v>
      </c>
      <c r="D26">
        <v>125</v>
      </c>
      <c r="E26" s="67">
        <v>4852</v>
      </c>
      <c r="F26">
        <v>429</v>
      </c>
      <c r="G26">
        <v>0</v>
      </c>
      <c r="H26">
        <v>0</v>
      </c>
      <c r="I26">
        <v>0</v>
      </c>
      <c r="J26">
        <v>0</v>
      </c>
      <c r="O26" s="18"/>
      <c r="P26" s="18"/>
      <c r="Q26" s="18" t="s">
        <v>53</v>
      </c>
      <c r="R26" s="68">
        <f>SUMIF(Tableau4[Code],Tableau5[[#This Row],[Code]],Tableau4[Les heures (H)])</f>
        <v>0</v>
      </c>
      <c r="S26" s="68">
        <f>SUMIF(Tableau4[Code],Tableau5[[#This Row],[Code]],Tableau4[Gasoil (L)])</f>
        <v>0</v>
      </c>
      <c r="T26" s="68">
        <f>SUMIF(Tableau4[Code],Tableau5[[#This Row],[Code]],Tableau4[Huile 15/40(L)])</f>
        <v>0</v>
      </c>
      <c r="U26" s="68">
        <f>SUMIF(Tableau4[Code],Tableau5[[#This Row],[Code]],Tableau4[Huile 90 (L)])</f>
        <v>0</v>
      </c>
      <c r="V26" s="68">
        <f>SUMIF(Tableau4[Code],Tableau5[[#This Row],[Code]],Tableau4[Huile 10 (L)])</f>
        <v>0</v>
      </c>
      <c r="W26" s="68">
        <f>SUMIF(Tableau4[Code],Tableau5[[#This Row],[Code]],Tableau4[Graisse (kg)])</f>
        <v>0</v>
      </c>
      <c r="X26" s="22" t="e">
        <f>Tableau5[[#This Row],[Gasoil (L)]]/Tableau5[[#This Row],[Quantité (H)]]</f>
        <v>#DIV/0!</v>
      </c>
      <c r="Y26" s="70" t="e">
        <f>Tableau5[[#This Row],[Gasoil (L)]]/SUMIF(Tableau4[Code],Tableau5[[#This Row],[Code]],Tableau4[Km H (Dist)])*100</f>
        <v>#DIV/0!</v>
      </c>
      <c r="Z26" s="68">
        <v>51625</v>
      </c>
      <c r="AA26" s="68"/>
      <c r="AB26" s="68"/>
      <c r="AC26" s="68"/>
      <c r="AD26" s="68" t="str">
        <f>IF(Tableau5[[#This Row],[Code]]=AF26,"ok","nn")</f>
        <v>ok</v>
      </c>
      <c r="AE26" s="68"/>
      <c r="AF26" s="65" t="s">
        <v>53</v>
      </c>
      <c r="AG26">
        <v>51625</v>
      </c>
    </row>
    <row r="27" spans="1:34" x14ac:dyDescent="0.25">
      <c r="A27" s="65" t="s">
        <v>160</v>
      </c>
      <c r="B27" s="67" t="s">
        <v>69</v>
      </c>
      <c r="C27" t="s">
        <v>87</v>
      </c>
      <c r="D27">
        <v>45</v>
      </c>
      <c r="E27" s="67">
        <v>5213</v>
      </c>
      <c r="F27">
        <v>217</v>
      </c>
      <c r="G27">
        <v>0</v>
      </c>
      <c r="H27">
        <v>0</v>
      </c>
      <c r="I27">
        <v>0</v>
      </c>
      <c r="J27">
        <v>0</v>
      </c>
      <c r="O27" s="18" t="s">
        <v>158</v>
      </c>
      <c r="P27" s="18" t="s">
        <v>42</v>
      </c>
      <c r="Q27" s="18" t="s">
        <v>28</v>
      </c>
      <c r="R27" s="18">
        <f>SUMIF(Tableau4[Code],Tableau5[[#This Row],[Code]],Tableau4[Les heures (H)])</f>
        <v>204</v>
      </c>
      <c r="S27" s="18">
        <f>SUMIF(Tableau4[Code],Tableau5[[#This Row],[Code]],Tableau4[Gasoil (L)])</f>
        <v>2655</v>
      </c>
      <c r="T27" s="18">
        <f>SUMIF(Tableau4[Code],Tableau5[[#This Row],[Code]],Tableau4[Huile 15/40(L)])</f>
        <v>5</v>
      </c>
      <c r="U27" s="18">
        <f>SUMIF(Tableau4[Code],Tableau5[[#This Row],[Code]],Tableau4[Huile 90 (L)])</f>
        <v>0</v>
      </c>
      <c r="V27" s="18">
        <f>SUMIF(Tableau4[Code],Tableau5[[#This Row],[Code]],Tableau4[Huile 10 (L)])</f>
        <v>5</v>
      </c>
      <c r="W27" s="18">
        <f>SUMIF(Tableau4[Code],Tableau5[[#This Row],[Code]],Tableau4[Graisse (kg)])</f>
        <v>4</v>
      </c>
      <c r="X27" s="22">
        <f>Tableau5[[#This Row],[Gasoil (L)]]/Tableau5[[#This Row],[Quantité (H)]]</f>
        <v>13.014705882352942</v>
      </c>
      <c r="Y27" s="22">
        <f>Tableau5[[#This Row],[Gasoil (L)]]/SUMIF(Tableau4[Code],Tableau5[[#This Row],[Code]],Tableau4[Km H (Dist)])*100</f>
        <v>127.95180722891565</v>
      </c>
      <c r="Z27" s="68">
        <v>73440</v>
      </c>
      <c r="AA27" s="68">
        <v>27065</v>
      </c>
      <c r="AB27" s="68"/>
      <c r="AC27" s="68"/>
      <c r="AD27" s="68" t="str">
        <f>IF(Tableau5[[#This Row],[Code]]=AF27,"ok","nn")</f>
        <v>ok</v>
      </c>
      <c r="AE27" s="68"/>
      <c r="AF27" s="65" t="s">
        <v>28</v>
      </c>
      <c r="AG27">
        <v>73440</v>
      </c>
      <c r="AH27">
        <v>27065</v>
      </c>
    </row>
    <row r="28" spans="1:34" x14ac:dyDescent="0.25">
      <c r="A28" s="65" t="s">
        <v>160</v>
      </c>
      <c r="B28" t="s">
        <v>151</v>
      </c>
      <c r="C28" t="s">
        <v>87</v>
      </c>
      <c r="D28">
        <v>72</v>
      </c>
      <c r="E28" s="67">
        <v>5231.6000000000004</v>
      </c>
      <c r="F28">
        <v>2087</v>
      </c>
      <c r="G28">
        <v>0</v>
      </c>
      <c r="H28">
        <v>0</v>
      </c>
      <c r="I28">
        <v>0</v>
      </c>
      <c r="J28">
        <v>0</v>
      </c>
      <c r="O28" s="18" t="s">
        <v>84</v>
      </c>
      <c r="P28" s="18" t="s">
        <v>42</v>
      </c>
      <c r="Q28" s="18" t="s">
        <v>29</v>
      </c>
      <c r="R28" s="18">
        <f>SUMIF(Tableau4[Code],Tableau5[[#This Row],[Code]],Tableau4[Les heures (H)])</f>
        <v>141</v>
      </c>
      <c r="S28" s="18">
        <f>SUMIF(Tableau4[Code],Tableau5[[#This Row],[Code]],Tableau4[Gasoil (L)])</f>
        <v>1565.1100000000001</v>
      </c>
      <c r="T28" s="18">
        <f>SUMIF(Tableau4[Code],Tableau5[[#This Row],[Code]],Tableau4[Huile 15/40(L)])</f>
        <v>0</v>
      </c>
      <c r="U28" s="18">
        <f>SUMIF(Tableau4[Code],Tableau5[[#This Row],[Code]],Tableau4[Huile 90 (L)])</f>
        <v>0</v>
      </c>
      <c r="V28" s="18">
        <f>SUMIF(Tableau4[Code],Tableau5[[#This Row],[Code]],Tableau4[Huile 10 (L)])</f>
        <v>0</v>
      </c>
      <c r="W28" s="18">
        <f>SUMIF(Tableau4[Code],Tableau5[[#This Row],[Code]],Tableau4[Graisse (kg)])</f>
        <v>0</v>
      </c>
      <c r="X28" s="22">
        <f>Tableau5[[#This Row],[Gasoil (L)]]/Tableau5[[#This Row],[Quantité (H)]]</f>
        <v>11.100070921985816</v>
      </c>
      <c r="Y28" s="22">
        <f>Tableau5[[#This Row],[Gasoil (L)]]/SUMIF(Tableau4[Code],Tableau5[[#This Row],[Code]],Tableau4[Km H (Dist)])*100</f>
        <v>1213.263565891473</v>
      </c>
      <c r="Z28" s="68">
        <v>53580</v>
      </c>
      <c r="AA28" s="68">
        <v>25434.28</v>
      </c>
      <c r="AB28" s="68"/>
      <c r="AC28" s="68"/>
      <c r="AD28" s="68" t="str">
        <f>IF(Tableau5[[#This Row],[Code]]=AF28,"ok","nn")</f>
        <v>ok</v>
      </c>
      <c r="AE28" s="68"/>
      <c r="AF28" s="65" t="s">
        <v>29</v>
      </c>
      <c r="AG28">
        <v>53580</v>
      </c>
      <c r="AH28">
        <v>25434.28</v>
      </c>
    </row>
    <row r="29" spans="1:34" x14ac:dyDescent="0.25">
      <c r="A29" s="65" t="s">
        <v>160</v>
      </c>
      <c r="B29" t="s">
        <v>57</v>
      </c>
      <c r="C29" t="s">
        <v>87</v>
      </c>
      <c r="D29">
        <v>36</v>
      </c>
      <c r="E29" s="69">
        <v>8699</v>
      </c>
      <c r="F29">
        <v>1765</v>
      </c>
      <c r="G29">
        <v>0</v>
      </c>
      <c r="H29">
        <v>0</v>
      </c>
      <c r="I29">
        <v>0</v>
      </c>
      <c r="J29">
        <v>0</v>
      </c>
      <c r="O29" s="18" t="s">
        <v>84</v>
      </c>
      <c r="P29" s="18" t="s">
        <v>42</v>
      </c>
      <c r="Q29" s="18" t="s">
        <v>94</v>
      </c>
      <c r="R29" s="18">
        <f>SUMIF(Tableau4[Code],Tableau5[[#This Row],[Code]],Tableau4[Les heures (H)])</f>
        <v>141.5</v>
      </c>
      <c r="S29" s="18">
        <f>SUMIF(Tableau4[Code],Tableau5[[#This Row],[Code]],Tableau4[Gasoil (L)])</f>
        <v>1363</v>
      </c>
      <c r="T29" s="18">
        <f>SUMIF(Tableau4[Code],Tableau5[[#This Row],[Code]],Tableau4[Huile 15/40(L)])</f>
        <v>10</v>
      </c>
      <c r="U29" s="18">
        <f>SUMIF(Tableau4[Code],Tableau5[[#This Row],[Code]],Tableau4[Huile 90 (L)])</f>
        <v>0</v>
      </c>
      <c r="V29" s="18">
        <f>SUMIF(Tableau4[Code],Tableau5[[#This Row],[Code]],Tableau4[Huile 10 (L)])</f>
        <v>5</v>
      </c>
      <c r="W29" s="18">
        <f>SUMIF(Tableau4[Code],Tableau5[[#This Row],[Code]],Tableau4[Graisse (kg)])</f>
        <v>0</v>
      </c>
      <c r="X29" s="22">
        <f>Tableau5[[#This Row],[Gasoil (L)]]/Tableau5[[#This Row],[Quantité (H)]]</f>
        <v>9.6325088339222606</v>
      </c>
      <c r="Y29" s="22">
        <f>Tableau5[[#This Row],[Gasoil (L)]]/SUMIF(Tableau4[Code],Tableau5[[#This Row],[Code]],Tableau4[Km H (Dist)])*100</f>
        <v>1603.5294117647059</v>
      </c>
      <c r="Z29" s="68">
        <v>53770</v>
      </c>
      <c r="AA29" s="68">
        <v>14205</v>
      </c>
      <c r="AB29" s="68"/>
      <c r="AC29" s="68"/>
      <c r="AD29" s="68" t="str">
        <f>IF(Tableau5[[#This Row],[Code]]=AF29,"ok","nn")</f>
        <v>ok</v>
      </c>
      <c r="AE29" s="68"/>
      <c r="AF29" s="65" t="s">
        <v>94</v>
      </c>
      <c r="AG29">
        <v>53770</v>
      </c>
      <c r="AH29">
        <v>14205</v>
      </c>
    </row>
    <row r="30" spans="1:34" x14ac:dyDescent="0.25">
      <c r="A30" s="65" t="s">
        <v>160</v>
      </c>
      <c r="B30" s="67" t="s">
        <v>71</v>
      </c>
      <c r="C30" t="s">
        <v>87</v>
      </c>
      <c r="D30">
        <v>36</v>
      </c>
      <c r="E30" s="67">
        <v>10499</v>
      </c>
      <c r="F30">
        <v>301</v>
      </c>
      <c r="G30">
        <v>0</v>
      </c>
      <c r="H30">
        <v>0</v>
      </c>
      <c r="I30">
        <v>0</v>
      </c>
      <c r="J30">
        <v>0</v>
      </c>
      <c r="O30" s="18" t="s">
        <v>84</v>
      </c>
      <c r="P30" s="18" t="s">
        <v>42</v>
      </c>
      <c r="Q30" s="18" t="s">
        <v>126</v>
      </c>
      <c r="R30" s="18">
        <f>SUMIF(Tableau4[Code],Tableau5[[#This Row],[Code]],Tableau4[Les heures (H)])</f>
        <v>220.5</v>
      </c>
      <c r="S30" s="18">
        <f>SUMIF(Tableau4[Code],Tableau5[[#This Row],[Code]],Tableau4[Gasoil (L)])</f>
        <v>1794</v>
      </c>
      <c r="T30" s="18">
        <f>SUMIF(Tableau4[Code],Tableau5[[#This Row],[Code]],Tableau4[Huile 15/40(L)])</f>
        <v>25</v>
      </c>
      <c r="U30" s="18">
        <f>SUMIF(Tableau4[Code],Tableau5[[#This Row],[Code]],Tableau4[Huile 90 (L)])</f>
        <v>0</v>
      </c>
      <c r="V30" s="18">
        <f>SUMIF(Tableau4[Code],Tableau5[[#This Row],[Code]],Tableau4[Huile 10 (L)])</f>
        <v>0</v>
      </c>
      <c r="W30" s="18">
        <f>SUMIF(Tableau4[Code],Tableau5[[#This Row],[Code]],Tableau4[Graisse (kg)])</f>
        <v>0</v>
      </c>
      <c r="X30" s="22">
        <f>Tableau5[[#This Row],[Gasoil (L)]]/Tableau5[[#This Row],[Quantité (H)]]</f>
        <v>8.1360544217687067</v>
      </c>
      <c r="Y30" s="22">
        <f>Tableau5[[#This Row],[Gasoil (L)]]/SUMIF(Tableau4[Code],Tableau5[[#This Row],[Code]],Tableau4[Km H (Dist)])*100</f>
        <v>846.22641509433959</v>
      </c>
      <c r="Z30" s="68">
        <v>76500</v>
      </c>
      <c r="AA30" s="68">
        <v>19210.830000000002</v>
      </c>
      <c r="AB30" s="68"/>
      <c r="AC30" s="68"/>
      <c r="AD30" s="68" t="str">
        <f>IF(Tableau5[[#This Row],[Code]]=AF30,"ok","nn")</f>
        <v>ok</v>
      </c>
      <c r="AE30" s="68"/>
      <c r="AF30" s="65" t="s">
        <v>126</v>
      </c>
      <c r="AG30">
        <v>76500</v>
      </c>
      <c r="AH30">
        <v>19210.830000000002</v>
      </c>
    </row>
    <row r="31" spans="1:34" x14ac:dyDescent="0.25">
      <c r="A31" s="65" t="s">
        <v>84</v>
      </c>
      <c r="B31" s="67" t="s">
        <v>74</v>
      </c>
      <c r="C31" t="s">
        <v>87</v>
      </c>
      <c r="D31">
        <v>100</v>
      </c>
      <c r="E31" s="67">
        <v>24000</v>
      </c>
      <c r="F31">
        <v>153</v>
      </c>
      <c r="G31">
        <v>0</v>
      </c>
      <c r="H31">
        <v>0</v>
      </c>
      <c r="I31">
        <v>0</v>
      </c>
      <c r="J31">
        <v>0</v>
      </c>
      <c r="O31" s="18" t="s">
        <v>158</v>
      </c>
      <c r="P31" s="18" t="s">
        <v>173</v>
      </c>
      <c r="Q31" s="18" t="s">
        <v>36</v>
      </c>
      <c r="R31" s="18">
        <f>SUMIF(Tableau4[Code],Tableau5[[#This Row],[Code]],Tableau4[Les heures (H)])</f>
        <v>39</v>
      </c>
      <c r="S31" s="18">
        <f>SUMIF(Tableau4[Code],Tableau5[[#This Row],[Code]],Tableau4[Gasoil (L)])</f>
        <v>1640</v>
      </c>
      <c r="T31" s="18">
        <f>SUMIF(Tableau4[Code],Tableau5[[#This Row],[Code]],Tableau4[Huile 15/40(L)])</f>
        <v>5</v>
      </c>
      <c r="U31" s="18">
        <f>SUMIF(Tableau4[Code],Tableau5[[#This Row],[Code]],Tableau4[Huile 90 (L)])</f>
        <v>0</v>
      </c>
      <c r="V31" s="18">
        <f>SUMIF(Tableau4[Code],Tableau5[[#This Row],[Code]],Tableau4[Huile 10 (L)])</f>
        <v>0</v>
      </c>
      <c r="W31" s="18">
        <f>SUMIF(Tableau4[Code],Tableau5[[#This Row],[Code]],Tableau4[Graisse (kg)])</f>
        <v>15</v>
      </c>
      <c r="X31" s="22">
        <f>Tableau5[[#This Row],[Gasoil (L)]]/Tableau5[[#This Row],[Quantité (H)]]</f>
        <v>42.051282051282051</v>
      </c>
      <c r="Y31" s="22">
        <f>Tableau5[[#This Row],[Gasoil (L)]]/SUMIF(Tableau4[Code],Tableau5[[#This Row],[Code]],Tableau4[Km H (Dist)])*100</f>
        <v>3644.4444444444443</v>
      </c>
      <c r="Z31" s="68">
        <v>52650</v>
      </c>
      <c r="AA31" s="68">
        <v>11935</v>
      </c>
      <c r="AB31" s="68"/>
      <c r="AC31" s="68"/>
      <c r="AD31" s="68" t="str">
        <f>IF(Tableau5[[#This Row],[Code]]=AF31,"ok","nn")</f>
        <v>ok</v>
      </c>
      <c r="AE31" s="68"/>
      <c r="AF31" s="65" t="s">
        <v>36</v>
      </c>
      <c r="AG31">
        <v>52650</v>
      </c>
      <c r="AH31">
        <v>11935</v>
      </c>
    </row>
    <row r="32" spans="1:34" x14ac:dyDescent="0.25">
      <c r="A32" s="65" t="s">
        <v>84</v>
      </c>
      <c r="B32" s="67" t="s">
        <v>72</v>
      </c>
      <c r="C32" t="s">
        <v>87</v>
      </c>
      <c r="D32">
        <v>0</v>
      </c>
      <c r="E32" s="67">
        <v>96742</v>
      </c>
      <c r="F32">
        <v>127</v>
      </c>
      <c r="G32">
        <v>0</v>
      </c>
      <c r="H32">
        <v>0</v>
      </c>
      <c r="I32">
        <v>0</v>
      </c>
      <c r="J32">
        <v>0</v>
      </c>
      <c r="O32" s="18" t="s">
        <v>159</v>
      </c>
      <c r="P32" s="18" t="s">
        <v>173</v>
      </c>
      <c r="Q32" s="18" t="s">
        <v>37</v>
      </c>
      <c r="R32" s="18">
        <f>SUMIF(Tableau4[Code],Tableau5[[#This Row],[Code]],Tableau4[Les heures (H)])</f>
        <v>0</v>
      </c>
      <c r="S32" s="18">
        <f>SUMIF(Tableau4[Code],Tableau5[[#This Row],[Code]],Tableau4[Gasoil (L)])</f>
        <v>0</v>
      </c>
      <c r="T32" s="18">
        <f>SUMIF(Tableau4[Code],Tableau5[[#This Row],[Code]],Tableau4[Huile 15/40(L)])</f>
        <v>0</v>
      </c>
      <c r="U32" s="18">
        <f>SUMIF(Tableau4[Code],Tableau5[[#This Row],[Code]],Tableau4[Huile 90 (L)])</f>
        <v>0</v>
      </c>
      <c r="V32" s="18">
        <f>SUMIF(Tableau4[Code],Tableau5[[#This Row],[Code]],Tableau4[Huile 10 (L)])</f>
        <v>0</v>
      </c>
      <c r="W32" s="18">
        <f>SUMIF(Tableau4[Code],Tableau5[[#This Row],[Code]],Tableau4[Graisse (kg)])</f>
        <v>0</v>
      </c>
      <c r="X32" s="22" t="e">
        <f>Tableau5[[#This Row],[Gasoil (L)]]/Tableau5[[#This Row],[Quantité (H)]]</f>
        <v>#DIV/0!</v>
      </c>
      <c r="Y32" s="22" t="e">
        <f>Tableau5[[#This Row],[Gasoil (L)]]/SUMIF(Tableau4[Code],Tableau5[[#This Row],[Code]],Tableau4[Km H (Dist)])*100</f>
        <v>#DIV/0!</v>
      </c>
      <c r="Z32" s="68">
        <v>393205.03</v>
      </c>
      <c r="AA32" s="68">
        <v>4334.67</v>
      </c>
      <c r="AB32" s="68"/>
      <c r="AC32" s="68"/>
      <c r="AD32" s="68" t="str">
        <f>IF(Tableau5[[#This Row],[Code]]=AF32,"ok","nn")</f>
        <v>ok</v>
      </c>
      <c r="AE32" s="68"/>
      <c r="AF32" s="65" t="s">
        <v>37</v>
      </c>
      <c r="AG32">
        <v>393205.03</v>
      </c>
      <c r="AH32">
        <v>4334.67</v>
      </c>
    </row>
    <row r="33" spans="1:34" x14ac:dyDescent="0.25">
      <c r="A33" s="65" t="s">
        <v>160</v>
      </c>
      <c r="B33" t="s">
        <v>17</v>
      </c>
      <c r="C33" t="s">
        <v>190</v>
      </c>
      <c r="D33">
        <v>0</v>
      </c>
      <c r="E33" s="65">
        <v>0</v>
      </c>
      <c r="F33">
        <v>0</v>
      </c>
      <c r="G33">
        <v>0</v>
      </c>
      <c r="H33">
        <v>0</v>
      </c>
      <c r="I33">
        <v>0</v>
      </c>
      <c r="J33">
        <v>0</v>
      </c>
      <c r="L33" s="65">
        <v>110966</v>
      </c>
      <c r="M33" s="65">
        <v>111504</v>
      </c>
      <c r="O33" s="18" t="s">
        <v>116</v>
      </c>
      <c r="P33" s="18" t="s">
        <v>85</v>
      </c>
      <c r="Q33" s="18" t="s">
        <v>51</v>
      </c>
      <c r="R33" s="18">
        <f>SUMIF(Tableau4[Code],Tableau5[[#This Row],[Code]],Tableau4[Les heures (H)])</f>
        <v>84</v>
      </c>
      <c r="S33" s="18">
        <f>SUMIF(Tableau4[Code],Tableau5[[#This Row],[Code]],Tableau4[Gasoil (L)])</f>
        <v>862</v>
      </c>
      <c r="T33" s="18">
        <f>SUMIF(Tableau4[Code],Tableau5[[#This Row],[Code]],Tableau4[Huile 15/40(L)])</f>
        <v>5</v>
      </c>
      <c r="U33" s="18">
        <f>SUMIF(Tableau4[Code],Tableau5[[#This Row],[Code]],Tableau4[Huile 90 (L)])</f>
        <v>0</v>
      </c>
      <c r="V33" s="18">
        <f>SUMIF(Tableau4[Code],Tableau5[[#This Row],[Code]],Tableau4[Huile 10 (L)])</f>
        <v>0</v>
      </c>
      <c r="W33" s="18">
        <f>SUMIF(Tableau4[Code],Tableau5[[#This Row],[Code]],Tableau4[Graisse (kg)])</f>
        <v>8</v>
      </c>
      <c r="X33" s="22">
        <f>Tableau5[[#This Row],[Gasoil (L)]]/Tableau5[[#This Row],[Quantité (H)]]</f>
        <v>10.261904761904763</v>
      </c>
      <c r="Y33" s="22">
        <f>Tableau5[[#This Row],[Gasoil (L)]]/SUMIF(Tableau4[Code],Tableau5[[#This Row],[Code]],Tableau4[Km H (Dist)])*100</f>
        <v>88.501026694045166</v>
      </c>
      <c r="Z33" s="68">
        <v>23100</v>
      </c>
      <c r="AA33" s="68">
        <v>8438.33</v>
      </c>
      <c r="AB33" s="68"/>
      <c r="AC33" s="68"/>
      <c r="AD33" s="68" t="str">
        <f>IF(Tableau5[[#This Row],[Code]]=AF33,"ok","nn")</f>
        <v>ok</v>
      </c>
      <c r="AE33" s="68"/>
      <c r="AF33" s="65" t="s">
        <v>51</v>
      </c>
      <c r="AG33">
        <v>23100</v>
      </c>
      <c r="AH33">
        <v>8438.33</v>
      </c>
    </row>
    <row r="34" spans="1:34" x14ac:dyDescent="0.25">
      <c r="A34" s="65" t="s">
        <v>116</v>
      </c>
      <c r="B34" t="s">
        <v>18</v>
      </c>
      <c r="C34" t="s">
        <v>190</v>
      </c>
      <c r="D34">
        <v>27</v>
      </c>
      <c r="E34">
        <v>0</v>
      </c>
      <c r="F34">
        <v>75</v>
      </c>
      <c r="G34">
        <v>0</v>
      </c>
      <c r="H34">
        <v>0</v>
      </c>
      <c r="I34">
        <v>0</v>
      </c>
      <c r="J34">
        <v>2</v>
      </c>
      <c r="M34" s="65">
        <f>L33-M33</f>
        <v>-538</v>
      </c>
      <c r="O34" s="18" t="s">
        <v>158</v>
      </c>
      <c r="P34" s="18" t="s">
        <v>175</v>
      </c>
      <c r="Q34" s="18" t="s">
        <v>30</v>
      </c>
      <c r="R34" s="18">
        <f>SUMIF(Tableau4[Code],Tableau5[[#This Row],[Code]],Tableau4[Les heures (H)])</f>
        <v>112</v>
      </c>
      <c r="S34" s="18">
        <f>SUMIF(Tableau4[Code],Tableau5[[#This Row],[Code]],Tableau4[Gasoil (L)])</f>
        <v>900</v>
      </c>
      <c r="T34" s="18">
        <f>SUMIF(Tableau4[Code],Tableau5[[#This Row],[Code]],Tableau4[Huile 15/40(L)])</f>
        <v>70</v>
      </c>
      <c r="U34" s="18">
        <f>SUMIF(Tableau4[Code],Tableau5[[#This Row],[Code]],Tableau4[Huile 90 (L)])</f>
        <v>0</v>
      </c>
      <c r="V34" s="18">
        <f>SUMIF(Tableau4[Code],Tableau5[[#This Row],[Code]],Tableau4[Huile 10 (L)])</f>
        <v>0</v>
      </c>
      <c r="W34" s="18">
        <f>SUMIF(Tableau4[Code],Tableau5[[#This Row],[Code]],Tableau4[Graisse (kg)])</f>
        <v>3</v>
      </c>
      <c r="X34" s="22">
        <f>Tableau5[[#This Row],[Gasoil (L)]]/Tableau5[[#This Row],[Quantité (H)]]</f>
        <v>8.0357142857142865</v>
      </c>
      <c r="Y34" s="22">
        <f>Tableau5[[#This Row],[Gasoil (L)]]/SUMIF(Tableau4[Code],Tableau5[[#This Row],[Code]],Tableau4[Km H (Dist)])*100</f>
        <v>447.76119402985069</v>
      </c>
      <c r="Z34" s="68">
        <v>81200</v>
      </c>
      <c r="AA34" s="68">
        <v>2905</v>
      </c>
      <c r="AB34" s="68"/>
      <c r="AC34" s="68"/>
      <c r="AD34" s="68" t="str">
        <f>IF(Tableau5[[#This Row],[Code]]=AF34,"ok","nn")</f>
        <v>ok</v>
      </c>
      <c r="AE34" s="68"/>
      <c r="AF34" s="65" t="s">
        <v>30</v>
      </c>
      <c r="AG34">
        <v>81200</v>
      </c>
      <c r="AH34">
        <v>2905</v>
      </c>
    </row>
    <row r="35" spans="1:34" x14ac:dyDescent="0.25">
      <c r="A35" s="65" t="s">
        <v>160</v>
      </c>
      <c r="B35" t="s">
        <v>18</v>
      </c>
      <c r="C35" t="s">
        <v>190</v>
      </c>
      <c r="D35">
        <v>25</v>
      </c>
      <c r="E35" s="65">
        <v>0</v>
      </c>
      <c r="F35">
        <v>50</v>
      </c>
      <c r="G35">
        <v>5</v>
      </c>
      <c r="H35">
        <v>0</v>
      </c>
      <c r="I35">
        <v>0</v>
      </c>
      <c r="J35">
        <v>0</v>
      </c>
      <c r="O35" s="18" t="s">
        <v>84</v>
      </c>
      <c r="P35" s="18" t="s">
        <v>195</v>
      </c>
      <c r="Q35" s="18" t="s">
        <v>38</v>
      </c>
      <c r="R35" s="18">
        <f>SUMIF(Tableau4[Code],Tableau5[[#This Row],[Code]],Tableau4[Les heures (H)])</f>
        <v>109.5</v>
      </c>
      <c r="S35" s="18">
        <f>SUMIF(Tableau4[Code],Tableau5[[#This Row],[Code]],Tableau4[Gasoil (L)])</f>
        <v>2407</v>
      </c>
      <c r="T35" s="18">
        <f>SUMIF(Tableau4[Code],Tableau5[[#This Row],[Code]],Tableau4[Huile 15/40(L)])</f>
        <v>30</v>
      </c>
      <c r="U35" s="18">
        <f>SUMIF(Tableau4[Code],Tableau5[[#This Row],[Code]],Tableau4[Huile 90 (L)])</f>
        <v>60</v>
      </c>
      <c r="V35" s="18">
        <f>SUMIF(Tableau4[Code],Tableau5[[#This Row],[Code]],Tableau4[Huile 10 (L)])</f>
        <v>25</v>
      </c>
      <c r="W35" s="18">
        <f>SUMIF(Tableau4[Code],Tableau5[[#This Row],[Code]],Tableau4[Graisse (kg)])</f>
        <v>0</v>
      </c>
      <c r="X35" s="22">
        <f>Tableau5[[#This Row],[Gasoil (L)]]/Tableau5[[#This Row],[Quantité (H)]]</f>
        <v>21.981735159817351</v>
      </c>
      <c r="Y35" s="22">
        <f>Tableau5[[#This Row],[Gasoil (L)]]/SUMIF(Tableau4[Code],Tableau5[[#This Row],[Code]],Tableau4[Km H (Dist)])*100</f>
        <v>2208.2568807339449</v>
      </c>
      <c r="Z35" s="68">
        <v>125925</v>
      </c>
      <c r="AA35" s="68">
        <v>30817.4</v>
      </c>
      <c r="AB35" s="68"/>
      <c r="AC35" s="68"/>
      <c r="AD35" s="68" t="str">
        <f>IF(Tableau5[[#This Row],[Code]]=AF35,"ok","nn")</f>
        <v>ok</v>
      </c>
      <c r="AE35" s="68"/>
      <c r="AF35" s="65" t="s">
        <v>38</v>
      </c>
      <c r="AG35">
        <v>125925</v>
      </c>
      <c r="AH35">
        <v>30817.4</v>
      </c>
    </row>
    <row r="36" spans="1:34" x14ac:dyDescent="0.25">
      <c r="A36" s="65" t="s">
        <v>116</v>
      </c>
      <c r="B36" t="s">
        <v>156</v>
      </c>
      <c r="C36">
        <v>0</v>
      </c>
      <c r="D36">
        <v>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O36" s="18" t="s">
        <v>159</v>
      </c>
      <c r="P36" s="18" t="s">
        <v>92</v>
      </c>
      <c r="Q36" s="18" t="s">
        <v>136</v>
      </c>
      <c r="R36" s="18">
        <f>SUMIF(Tableau4[Code],Tableau5[[#This Row],[Code]],Tableau4[Les heures (H)])</f>
        <v>5</v>
      </c>
      <c r="S36" s="18">
        <f>SUMIF(Tableau4[Code],Tableau5[[#This Row],[Code]],Tableau4[Gasoil (L)])</f>
        <v>25</v>
      </c>
      <c r="T36" s="18">
        <f>SUMIF(Tableau4[Code],Tableau5[[#This Row],[Code]],Tableau4[Huile 15/40(L)])</f>
        <v>5</v>
      </c>
      <c r="U36" s="18">
        <f>SUMIF(Tableau4[Code],Tableau5[[#This Row],[Code]],Tableau4[Huile 90 (L)])</f>
        <v>0</v>
      </c>
      <c r="V36" s="18">
        <f>SUMIF(Tableau4[Code],Tableau5[[#This Row],[Code]],Tableau4[Huile 10 (L)])</f>
        <v>0</v>
      </c>
      <c r="W36" s="18">
        <f>SUMIF(Tableau4[Code],Tableau5[[#This Row],[Code]],Tableau4[Graisse (kg)])</f>
        <v>0</v>
      </c>
      <c r="X36" s="22">
        <f>Tableau5[[#This Row],[Gasoil (L)]]/Tableau5[[#This Row],[Quantité (H)]]</f>
        <v>5</v>
      </c>
      <c r="Y36" s="22" t="e">
        <f>Tableau5[[#This Row],[Gasoil (L)]]/SUMIF(Tableau4[Code],Tableau5[[#This Row],[Code]],Tableau4[Km H (Dist)])*100</f>
        <v>#DIV/0!</v>
      </c>
      <c r="Z36" s="68">
        <v>650</v>
      </c>
      <c r="AA36" s="68">
        <v>450</v>
      </c>
      <c r="AB36" s="68"/>
      <c r="AC36" s="68"/>
      <c r="AD36" s="68" t="str">
        <f>IF(Tableau5[[#This Row],[Code]]=AF36,"ok","nn")</f>
        <v>ok</v>
      </c>
      <c r="AE36" s="68"/>
      <c r="AF36" s="65" t="s">
        <v>136</v>
      </c>
      <c r="AG36">
        <v>650</v>
      </c>
      <c r="AH36">
        <v>450</v>
      </c>
    </row>
    <row r="37" spans="1:34" x14ac:dyDescent="0.25">
      <c r="A37" s="65" t="s">
        <v>84</v>
      </c>
      <c r="B37" t="s">
        <v>44</v>
      </c>
      <c r="C37" t="s">
        <v>87</v>
      </c>
      <c r="D37">
        <v>95</v>
      </c>
      <c r="E37">
        <v>0</v>
      </c>
      <c r="F37">
        <v>295</v>
      </c>
      <c r="G37">
        <v>0</v>
      </c>
      <c r="H37">
        <v>0</v>
      </c>
      <c r="I37">
        <v>0</v>
      </c>
      <c r="J37">
        <v>0</v>
      </c>
      <c r="O37" s="18" t="s">
        <v>160</v>
      </c>
      <c r="P37" s="18" t="s">
        <v>39</v>
      </c>
      <c r="Q37" s="18" t="s">
        <v>11</v>
      </c>
      <c r="R37" s="18">
        <f>SUMIF(Tableau4[Code],Tableau5[[#This Row],[Code]],Tableau4[Les heures (H)])</f>
        <v>108</v>
      </c>
      <c r="S37" s="18">
        <f>SUMIF(Tableau4[Code],Tableau5[[#This Row],[Code]],Tableau4[Gasoil (L)])</f>
        <v>1438</v>
      </c>
      <c r="T37" s="18">
        <f>SUMIF(Tableau4[Code],Tableau5[[#This Row],[Code]],Tableau4[Huile 15/40(L)])</f>
        <v>5</v>
      </c>
      <c r="U37" s="18">
        <f>SUMIF(Tableau4[Code],Tableau5[[#This Row],[Code]],Tableau4[Huile 90 (L)])</f>
        <v>0</v>
      </c>
      <c r="V37" s="18">
        <f>SUMIF(Tableau4[Code],Tableau5[[#This Row],[Code]],Tableau4[Huile 10 (L)])</f>
        <v>10</v>
      </c>
      <c r="W37" s="18">
        <f>SUMIF(Tableau4[Code],Tableau5[[#This Row],[Code]],Tableau4[Graisse (kg)])</f>
        <v>0</v>
      </c>
      <c r="X37" s="22">
        <f>Tableau5[[#This Row],[Gasoil (L)]]/Tableau5[[#This Row],[Quantité (H)]]</f>
        <v>13.314814814814815</v>
      </c>
      <c r="Y37" s="22" t="e">
        <f>Tableau5[[#This Row],[Gasoil (L)]]/SUMIF(Tableau4[Code],Tableau5[[#This Row],[Code]],Tableau4[Km H (Dist)])*100</f>
        <v>#DIV/0!</v>
      </c>
      <c r="Z37" s="68">
        <v>54000</v>
      </c>
      <c r="AA37" s="68">
        <v>13280</v>
      </c>
      <c r="AB37" s="68"/>
      <c r="AC37" s="68"/>
      <c r="AD37" s="68" t="str">
        <f>IF(Tableau5[[#This Row],[Code]]=AF37,"ok","nn")</f>
        <v>ok</v>
      </c>
      <c r="AE37" s="68"/>
      <c r="AF37" s="65" t="s">
        <v>11</v>
      </c>
      <c r="AG37">
        <v>54000</v>
      </c>
      <c r="AH37">
        <v>13280</v>
      </c>
    </row>
    <row r="38" spans="1:34" x14ac:dyDescent="0.25">
      <c r="A38" s="65" t="s">
        <v>193</v>
      </c>
      <c r="B38" t="s">
        <v>47</v>
      </c>
      <c r="C38" t="s">
        <v>87</v>
      </c>
      <c r="D38">
        <v>2</v>
      </c>
      <c r="E38" s="65">
        <v>0</v>
      </c>
      <c r="F38">
        <v>73.150000000000006</v>
      </c>
      <c r="G38">
        <v>0</v>
      </c>
      <c r="H38">
        <v>0</v>
      </c>
      <c r="I38">
        <v>0</v>
      </c>
      <c r="J38">
        <v>0</v>
      </c>
      <c r="O38" s="18" t="s">
        <v>84</v>
      </c>
      <c r="P38" s="18" t="s">
        <v>39</v>
      </c>
      <c r="Q38" s="18" t="s">
        <v>12</v>
      </c>
      <c r="R38" s="18">
        <f>SUMIF(Tableau4[Code],Tableau5[[#This Row],[Code]],Tableau4[Les heures (H)])</f>
        <v>60</v>
      </c>
      <c r="S38" s="18">
        <f>SUMIF(Tableau4[Code],Tableau5[[#This Row],[Code]],Tableau4[Gasoil (L)])</f>
        <v>1195</v>
      </c>
      <c r="T38" s="18">
        <f>SUMIF(Tableau4[Code],Tableau5[[#This Row],[Code]],Tableau4[Huile 15/40(L)])</f>
        <v>0</v>
      </c>
      <c r="U38" s="18">
        <f>SUMIF(Tableau4[Code],Tableau5[[#This Row],[Code]],Tableau4[Huile 90 (L)])</f>
        <v>0</v>
      </c>
      <c r="V38" s="18">
        <f>SUMIF(Tableau4[Code],Tableau5[[#This Row],[Code]],Tableau4[Huile 10 (L)])</f>
        <v>35</v>
      </c>
      <c r="W38" s="18">
        <f>SUMIF(Tableau4[Code],Tableau5[[#This Row],[Code]],Tableau4[Graisse (kg)])</f>
        <v>0</v>
      </c>
      <c r="X38" s="22">
        <f>Tableau5[[#This Row],[Gasoil (L)]]/Tableau5[[#This Row],[Quantité (H)]]</f>
        <v>19.916666666666668</v>
      </c>
      <c r="Y38" s="22" t="e">
        <f>Tableau5[[#This Row],[Gasoil (L)]]/SUMIF(Tableau4[Code],Tableau5[[#This Row],[Code]],Tableau4[Km H (Dist)])*100</f>
        <v>#DIV/0!</v>
      </c>
      <c r="Z38" s="68">
        <v>22800</v>
      </c>
      <c r="AA38" s="68">
        <v>15437.8</v>
      </c>
      <c r="AB38" s="68"/>
      <c r="AC38" s="68"/>
      <c r="AD38" s="68" t="str">
        <f>IF(Tableau5[[#This Row],[Code]]=AF38,"ok","nn")</f>
        <v>ok</v>
      </c>
      <c r="AE38" s="68"/>
      <c r="AF38" s="65" t="s">
        <v>12</v>
      </c>
      <c r="AG38">
        <v>22800</v>
      </c>
      <c r="AH38">
        <v>15437.8</v>
      </c>
    </row>
    <row r="39" spans="1:34" x14ac:dyDescent="0.25">
      <c r="A39" s="65" t="s">
        <v>116</v>
      </c>
      <c r="B39" t="s">
        <v>48</v>
      </c>
      <c r="C39" t="s">
        <v>87</v>
      </c>
      <c r="D39">
        <v>18</v>
      </c>
      <c r="E39">
        <v>0</v>
      </c>
      <c r="F39">
        <v>50</v>
      </c>
      <c r="G39">
        <v>0</v>
      </c>
      <c r="H39">
        <v>0</v>
      </c>
      <c r="I39">
        <v>0</v>
      </c>
      <c r="J39">
        <v>0</v>
      </c>
      <c r="O39" s="18" t="s">
        <v>116</v>
      </c>
      <c r="P39" s="18" t="s">
        <v>39</v>
      </c>
      <c r="Q39" s="18" t="s">
        <v>13</v>
      </c>
      <c r="R39" s="18">
        <f>SUMIF(Tableau4[Code],Tableau5[[#This Row],[Code]],Tableau4[Les heures (H)])</f>
        <v>176.5</v>
      </c>
      <c r="S39" s="18">
        <f>SUMIF(Tableau4[Code],Tableau5[[#This Row],[Code]],Tableau4[Gasoil (L)])</f>
        <v>2094</v>
      </c>
      <c r="T39" s="18">
        <f>SUMIF(Tableau4[Code],Tableau5[[#This Row],[Code]],Tableau4[Huile 15/40(L)])</f>
        <v>35</v>
      </c>
      <c r="U39" s="18">
        <f>SUMIF(Tableau4[Code],Tableau5[[#This Row],[Code]],Tableau4[Huile 90 (L)])</f>
        <v>0</v>
      </c>
      <c r="V39" s="18">
        <f>SUMIF(Tableau4[Code],Tableau5[[#This Row],[Code]],Tableau4[Huile 10 (L)])</f>
        <v>15</v>
      </c>
      <c r="W39" s="18">
        <f>SUMIF(Tableau4[Code],Tableau5[[#This Row],[Code]],Tableau4[Graisse (kg)])</f>
        <v>5</v>
      </c>
      <c r="X39" s="22">
        <f>Tableau5[[#This Row],[Gasoil (L)]]/Tableau5[[#This Row],[Quantité (H)]]</f>
        <v>11.864022662889518</v>
      </c>
      <c r="Y39" s="22">
        <f>Tableau5[[#This Row],[Gasoil (L)]]/SUMIF(Tableau4[Code],Tableau5[[#This Row],[Code]],Tableau4[Km H (Dist)])*100</f>
        <v>10906.249999999587</v>
      </c>
      <c r="Z39" s="68">
        <v>70600</v>
      </c>
      <c r="AA39" s="68">
        <v>64651.53</v>
      </c>
      <c r="AB39" s="68"/>
      <c r="AC39" s="68"/>
      <c r="AD39" s="68" t="str">
        <f>IF(Tableau5[[#This Row],[Code]]=AF39,"ok","nn")</f>
        <v>ok</v>
      </c>
      <c r="AE39" s="68"/>
      <c r="AF39" s="65" t="s">
        <v>13</v>
      </c>
      <c r="AG39">
        <v>70600</v>
      </c>
      <c r="AH39">
        <v>64651.53</v>
      </c>
    </row>
    <row r="40" spans="1:34" x14ac:dyDescent="0.25">
      <c r="A40" s="65" t="s">
        <v>160</v>
      </c>
      <c r="B40" t="s">
        <v>48</v>
      </c>
      <c r="C40" t="s">
        <v>87</v>
      </c>
      <c r="D40">
        <v>0</v>
      </c>
      <c r="E40" s="65">
        <v>0</v>
      </c>
      <c r="F40">
        <v>79</v>
      </c>
      <c r="G40">
        <v>0</v>
      </c>
      <c r="H40">
        <v>0</v>
      </c>
      <c r="I40">
        <v>0</v>
      </c>
      <c r="J40">
        <v>0</v>
      </c>
      <c r="O40" s="18" t="s">
        <v>116</v>
      </c>
      <c r="P40" s="18" t="s">
        <v>39</v>
      </c>
      <c r="Q40" s="18" t="s">
        <v>14</v>
      </c>
      <c r="R40" s="18">
        <f>SUMIF(Tableau4[Code],Tableau5[[#This Row],[Code]],Tableau4[Les heures (H)])</f>
        <v>135</v>
      </c>
      <c r="S40" s="18">
        <f>SUMIF(Tableau4[Code],Tableau5[[#This Row],[Code]],Tableau4[Gasoil (L)])</f>
        <v>2511</v>
      </c>
      <c r="T40" s="18">
        <f>SUMIF(Tableau4[Code],Tableau5[[#This Row],[Code]],Tableau4[Huile 15/40(L)])</f>
        <v>0</v>
      </c>
      <c r="U40" s="18">
        <f>SUMIF(Tableau4[Code],Tableau5[[#This Row],[Code]],Tableau4[Huile 90 (L)])</f>
        <v>0</v>
      </c>
      <c r="V40" s="18">
        <f>SUMIF(Tableau4[Code],Tableau5[[#This Row],[Code]],Tableau4[Huile 10 (L)])</f>
        <v>80</v>
      </c>
      <c r="W40" s="18">
        <f>SUMIF(Tableau4[Code],Tableau5[[#This Row],[Code]],Tableau4[Graisse (kg)])</f>
        <v>7</v>
      </c>
      <c r="X40" s="22">
        <f>Tableau5[[#This Row],[Gasoil (L)]]/Tableau5[[#This Row],[Quantité (H)]]</f>
        <v>18.600000000000001</v>
      </c>
      <c r="Y40" s="22">
        <f>Tableau5[[#This Row],[Gasoil (L)]]/SUMIF(Tableau4[Code],Tableau5[[#This Row],[Code]],Tableau4[Km H (Dist)])*100</f>
        <v>2486.1386138613861</v>
      </c>
      <c r="Z40" s="68">
        <v>67500</v>
      </c>
      <c r="AA40" s="68">
        <v>41111.269999999997</v>
      </c>
      <c r="AB40" s="68"/>
      <c r="AC40" s="68"/>
      <c r="AD40" s="68" t="str">
        <f>IF(Tableau5[[#This Row],[Code]]=AF40,"ok","nn")</f>
        <v>ok</v>
      </c>
      <c r="AE40" s="68"/>
      <c r="AF40" s="65" t="s">
        <v>14</v>
      </c>
      <c r="AG40">
        <v>67500</v>
      </c>
      <c r="AH40">
        <v>41111.269999999997</v>
      </c>
    </row>
    <row r="41" spans="1:34" x14ac:dyDescent="0.25">
      <c r="A41" s="65" t="s">
        <v>116</v>
      </c>
      <c r="B41" t="s">
        <v>49</v>
      </c>
      <c r="C41" t="s">
        <v>87</v>
      </c>
      <c r="D41">
        <v>38</v>
      </c>
      <c r="E41">
        <v>0</v>
      </c>
      <c r="F41">
        <v>0</v>
      </c>
      <c r="G41">
        <v>0</v>
      </c>
      <c r="H41">
        <v>0</v>
      </c>
      <c r="I41">
        <v>0</v>
      </c>
      <c r="J41">
        <v>5</v>
      </c>
      <c r="O41" s="18" t="s">
        <v>84</v>
      </c>
      <c r="P41" s="18" t="s">
        <v>39</v>
      </c>
      <c r="Q41" s="18" t="s">
        <v>15</v>
      </c>
      <c r="R41" s="18">
        <f>SUMIF(Tableau4[Code],Tableau5[[#This Row],[Code]],Tableau4[Les heures (H)])</f>
        <v>85</v>
      </c>
      <c r="S41" s="18">
        <f>SUMIF(Tableau4[Code],Tableau5[[#This Row],[Code]],Tableau4[Gasoil (L)])</f>
        <v>1009</v>
      </c>
      <c r="T41" s="18">
        <f>SUMIF(Tableau4[Code],Tableau5[[#This Row],[Code]],Tableau4[Huile 15/40(L)])</f>
        <v>4</v>
      </c>
      <c r="U41" s="18">
        <f>SUMIF(Tableau4[Code],Tableau5[[#This Row],[Code]],Tableau4[Huile 90 (L)])</f>
        <v>40</v>
      </c>
      <c r="V41" s="18">
        <f>SUMIF(Tableau4[Code],Tableau5[[#This Row],[Code]],Tableau4[Huile 10 (L)])</f>
        <v>20</v>
      </c>
      <c r="W41" s="18">
        <f>SUMIF(Tableau4[Code],Tableau5[[#This Row],[Code]],Tableau4[Graisse (kg)])</f>
        <v>0</v>
      </c>
      <c r="X41" s="22">
        <f>Tableau5[[#This Row],[Gasoil (L)]]/Tableau5[[#This Row],[Quantité (H)]]</f>
        <v>11.870588235294118</v>
      </c>
      <c r="Y41" s="22">
        <f>Tableau5[[#This Row],[Gasoil (L)]]/SUMIF(Tableau4[Code],Tableau5[[#This Row],[Code]],Tableau4[Km H (Dist)])*100</f>
        <v>1528.7878787878788</v>
      </c>
      <c r="Z41" s="68">
        <v>42500</v>
      </c>
      <c r="AA41" s="68">
        <v>28234.6</v>
      </c>
      <c r="AB41" s="68"/>
      <c r="AC41" s="68"/>
      <c r="AD41" s="68" t="str">
        <f>IF(Tableau5[[#This Row],[Code]]=AF41,"ok","nn")</f>
        <v>ok</v>
      </c>
      <c r="AE41" s="68"/>
      <c r="AF41" s="65" t="s">
        <v>15</v>
      </c>
      <c r="AG41">
        <v>42500</v>
      </c>
      <c r="AH41">
        <v>28234.6</v>
      </c>
    </row>
    <row r="42" spans="1:34" x14ac:dyDescent="0.25">
      <c r="A42" s="65" t="s">
        <v>84</v>
      </c>
      <c r="B42" t="s">
        <v>50</v>
      </c>
      <c r="C42">
        <v>0</v>
      </c>
      <c r="D42">
        <v>9</v>
      </c>
      <c r="E42">
        <v>0</v>
      </c>
      <c r="F42">
        <v>150</v>
      </c>
      <c r="G42">
        <v>0</v>
      </c>
      <c r="H42">
        <v>0</v>
      </c>
      <c r="I42">
        <v>0</v>
      </c>
      <c r="J42">
        <v>0</v>
      </c>
      <c r="O42" s="18" t="s">
        <v>84</v>
      </c>
      <c r="P42" s="18" t="s">
        <v>41</v>
      </c>
      <c r="Q42" s="18" t="s">
        <v>20</v>
      </c>
      <c r="R42" s="18">
        <f>SUMIF(Tableau4[Code],Tableau5[[#This Row],[Code]],Tableau4[Les heures (H)])</f>
        <v>158</v>
      </c>
      <c r="S42" s="18">
        <f>SUMIF(Tableau4[Code],Tableau5[[#This Row],[Code]],Tableau4[Gasoil (L)])</f>
        <v>1880</v>
      </c>
      <c r="T42" s="18">
        <f>SUMIF(Tableau4[Code],Tableau5[[#This Row],[Code]],Tableau4[Huile 15/40(L)])</f>
        <v>0</v>
      </c>
      <c r="U42" s="18">
        <f>SUMIF(Tableau4[Code],Tableau5[[#This Row],[Code]],Tableau4[Huile 90 (L)])</f>
        <v>0</v>
      </c>
      <c r="V42" s="18">
        <f>SUMIF(Tableau4[Code],Tableau5[[#This Row],[Code]],Tableau4[Huile 10 (L)])</f>
        <v>40</v>
      </c>
      <c r="W42" s="18">
        <f>SUMIF(Tableau4[Code],Tableau5[[#This Row],[Code]],Tableau4[Graisse (kg)])</f>
        <v>0</v>
      </c>
      <c r="X42" s="22">
        <f>Tableau5[[#This Row],[Gasoil (L)]]/Tableau5[[#This Row],[Quantité (H)]]</f>
        <v>11.898734177215189</v>
      </c>
      <c r="Y42" s="22">
        <f>Tableau5[[#This Row],[Gasoil (L)]]/SUMIF(Tableau4[Code],Tableau5[[#This Row],[Code]],Tableau4[Km H (Dist)])*100</f>
        <v>1504</v>
      </c>
      <c r="Z42" s="68">
        <v>66360</v>
      </c>
      <c r="AA42" s="68">
        <v>42513.94</v>
      </c>
      <c r="AB42" s="68"/>
      <c r="AC42" s="68"/>
      <c r="AD42" s="68" t="str">
        <f>IF(Tableau5[[#This Row],[Code]]=AF42,"ok","nn")</f>
        <v>ok</v>
      </c>
      <c r="AE42" s="68"/>
      <c r="AF42" s="65" t="s">
        <v>20</v>
      </c>
      <c r="AG42">
        <v>66360</v>
      </c>
      <c r="AH42">
        <v>42513.94</v>
      </c>
    </row>
    <row r="43" spans="1:34" x14ac:dyDescent="0.25">
      <c r="A43" s="65" t="s">
        <v>116</v>
      </c>
      <c r="B43" t="s">
        <v>54</v>
      </c>
      <c r="C43" t="s">
        <v>87</v>
      </c>
      <c r="D43">
        <v>53</v>
      </c>
      <c r="E43" s="65">
        <v>0</v>
      </c>
      <c r="F43">
        <v>0</v>
      </c>
      <c r="G43">
        <v>0</v>
      </c>
      <c r="H43">
        <v>0</v>
      </c>
      <c r="I43">
        <v>0</v>
      </c>
      <c r="J43">
        <v>3</v>
      </c>
      <c r="O43" s="18" t="s">
        <v>158</v>
      </c>
      <c r="P43" s="18" t="s">
        <v>41</v>
      </c>
      <c r="Q43" s="18" t="s">
        <v>21</v>
      </c>
      <c r="R43" s="18">
        <f>SUMIF(Tableau4[Code],Tableau5[[#This Row],[Code]],Tableau4[Les heures (H)])</f>
        <v>189</v>
      </c>
      <c r="S43" s="18">
        <f>SUMIF(Tableau4[Code],Tableau5[[#This Row],[Code]],Tableau4[Gasoil (L)])</f>
        <v>1776</v>
      </c>
      <c r="T43" s="18">
        <f>SUMIF(Tableau4[Code],Tableau5[[#This Row],[Code]],Tableau4[Huile 15/40(L)])</f>
        <v>25</v>
      </c>
      <c r="U43" s="18">
        <f>SUMIF(Tableau4[Code],Tableau5[[#This Row],[Code]],Tableau4[Huile 90 (L)])</f>
        <v>0</v>
      </c>
      <c r="V43" s="18">
        <f>SUMIF(Tableau4[Code],Tableau5[[#This Row],[Code]],Tableau4[Huile 10 (L)])</f>
        <v>60</v>
      </c>
      <c r="W43" s="18">
        <f>SUMIF(Tableau4[Code],Tableau5[[#This Row],[Code]],Tableau4[Graisse (kg)])</f>
        <v>4</v>
      </c>
      <c r="X43" s="22">
        <f>Tableau5[[#This Row],[Gasoil (L)]]/Tableau5[[#This Row],[Quantité (H)]]</f>
        <v>9.3968253968253972</v>
      </c>
      <c r="Y43" s="22">
        <f>Tableau5[[#This Row],[Gasoil (L)]]/SUMIF(Tableau4[Code],Tableau5[[#This Row],[Code]],Tableau4[Km H (Dist)])*100</f>
        <v>997.75280898876395</v>
      </c>
      <c r="Z43" s="68">
        <v>79380</v>
      </c>
      <c r="AA43" s="68">
        <v>43130.64</v>
      </c>
      <c r="AB43" s="68"/>
      <c r="AC43" s="68"/>
      <c r="AD43" s="68" t="str">
        <f>IF(Tableau5[[#This Row],[Code]]=AF43,"ok","nn")</f>
        <v>ok</v>
      </c>
      <c r="AE43" s="68"/>
      <c r="AF43" s="65" t="s">
        <v>21</v>
      </c>
      <c r="AG43">
        <v>79380</v>
      </c>
      <c r="AH43">
        <v>43130.64</v>
      </c>
    </row>
    <row r="44" spans="1:34" x14ac:dyDescent="0.25">
      <c r="A44" s="65" t="s">
        <v>193</v>
      </c>
      <c r="B44" t="s">
        <v>56</v>
      </c>
      <c r="C44" t="s">
        <v>87</v>
      </c>
      <c r="D44">
        <v>0</v>
      </c>
      <c r="E44">
        <v>0</v>
      </c>
      <c r="F44">
        <v>600</v>
      </c>
      <c r="G44">
        <v>0</v>
      </c>
      <c r="H44">
        <v>0</v>
      </c>
      <c r="I44">
        <v>0</v>
      </c>
      <c r="J44">
        <v>0</v>
      </c>
      <c r="O44" s="18" t="s">
        <v>116</v>
      </c>
      <c r="P44" s="18" t="s">
        <v>41</v>
      </c>
      <c r="Q44" s="18" t="s">
        <v>124</v>
      </c>
      <c r="R44" s="18">
        <f>SUMIF(Tableau4[Code],Tableau5[[#This Row],[Code]],Tableau4[Les heures (H)])</f>
        <v>204</v>
      </c>
      <c r="S44" s="18">
        <f>SUMIF(Tableau4[Code],Tableau5[[#This Row],[Code]],Tableau4[Gasoil (L)])</f>
        <v>3288</v>
      </c>
      <c r="T44" s="18">
        <f>SUMIF(Tableau4[Code],Tableau5[[#This Row],[Code]],Tableau4[Huile 15/40(L)])</f>
        <v>4</v>
      </c>
      <c r="U44" s="18">
        <f>SUMIF(Tableau4[Code],Tableau5[[#This Row],[Code]],Tableau4[Huile 90 (L)])</f>
        <v>0</v>
      </c>
      <c r="V44" s="18">
        <f>SUMIF(Tableau4[Code],Tableau5[[#This Row],[Code]],Tableau4[Huile 10 (L)])</f>
        <v>10</v>
      </c>
      <c r="W44" s="18">
        <f>SUMIF(Tableau4[Code],Tableau5[[#This Row],[Code]],Tableau4[Graisse (kg)])</f>
        <v>6</v>
      </c>
      <c r="X44" s="22">
        <f>Tableau5[[#This Row],[Gasoil (L)]]/Tableau5[[#This Row],[Quantité (H)]]</f>
        <v>16.117647058823529</v>
      </c>
      <c r="Y44" s="22">
        <f>Tableau5[[#This Row],[Gasoil (L)]]/SUMIF(Tableau4[Code],Tableau5[[#This Row],[Code]],Tableau4[Km H (Dist)])*100</f>
        <v>2.9580581895388378</v>
      </c>
      <c r="Z44" s="68">
        <v>85680</v>
      </c>
      <c r="AA44" s="68">
        <v>33530</v>
      </c>
      <c r="AB44" s="68"/>
      <c r="AC44" s="68"/>
      <c r="AD44" s="68" t="str">
        <f>IF(Tableau5[[#This Row],[Code]]=AF44,"ok","nn")</f>
        <v>ok</v>
      </c>
      <c r="AE44" s="68"/>
      <c r="AF44" s="65" t="s">
        <v>124</v>
      </c>
      <c r="AG44">
        <v>85680</v>
      </c>
      <c r="AH44">
        <v>33530</v>
      </c>
    </row>
    <row r="45" spans="1:34" x14ac:dyDescent="0.25">
      <c r="A45" s="65" t="s">
        <v>116</v>
      </c>
      <c r="B45" t="s">
        <v>57</v>
      </c>
      <c r="C45" t="s">
        <v>87</v>
      </c>
      <c r="D45">
        <v>63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O45" s="18" t="s">
        <v>84</v>
      </c>
      <c r="P45" s="18" t="s">
        <v>41</v>
      </c>
      <c r="Q45" s="18" t="s">
        <v>22</v>
      </c>
      <c r="R45" s="18">
        <f>SUMIF(Tableau4[Code],Tableau5[[#This Row],[Code]],Tableau4[Les heures (H)])</f>
        <v>198.5</v>
      </c>
      <c r="S45" s="18">
        <f>SUMIF(Tableau4[Code],Tableau5[[#This Row],[Code]],Tableau4[Gasoil (L)])</f>
        <v>4674</v>
      </c>
      <c r="T45" s="18">
        <f>SUMIF(Tableau4[Code],Tableau5[[#This Row],[Code]],Tableau4[Huile 15/40(L)])</f>
        <v>10</v>
      </c>
      <c r="U45" s="18">
        <f>SUMIF(Tableau4[Code],Tableau5[[#This Row],[Code]],Tableau4[Huile 90 (L)])</f>
        <v>0</v>
      </c>
      <c r="V45" s="18">
        <f>SUMIF(Tableau4[Code],Tableau5[[#This Row],[Code]],Tableau4[Huile 10 (L)])</f>
        <v>55</v>
      </c>
      <c r="W45" s="18">
        <f>SUMIF(Tableau4[Code],Tableau5[[#This Row],[Code]],Tableau4[Graisse (kg)])</f>
        <v>45</v>
      </c>
      <c r="X45" s="22">
        <f>Tableau5[[#This Row],[Gasoil (L)]]/Tableau5[[#This Row],[Quantité (H)]]</f>
        <v>23.546599496221663</v>
      </c>
      <c r="Y45" s="22">
        <f>Tableau5[[#This Row],[Gasoil (L)]]/SUMIF(Tableau4[Code],Tableau5[[#This Row],[Code]],Tableau4[Km H (Dist)])*100</f>
        <v>46.405877680698964</v>
      </c>
      <c r="Z45" s="68">
        <v>83370</v>
      </c>
      <c r="AA45" s="68">
        <v>74412.27</v>
      </c>
      <c r="AB45" s="68"/>
      <c r="AC45" s="68"/>
      <c r="AD45" s="68" t="str">
        <f>IF(Tableau5[[#This Row],[Code]]=AF45,"ok","nn")</f>
        <v>ok</v>
      </c>
      <c r="AE45" s="68"/>
      <c r="AF45" s="65" t="s">
        <v>22</v>
      </c>
      <c r="AG45">
        <v>83370</v>
      </c>
      <c r="AH45">
        <v>74412.27</v>
      </c>
    </row>
    <row r="46" spans="1:34" x14ac:dyDescent="0.25">
      <c r="A46" s="65" t="s">
        <v>158</v>
      </c>
      <c r="B46" t="s">
        <v>57</v>
      </c>
      <c r="C46" t="s">
        <v>87</v>
      </c>
      <c r="D46">
        <v>45</v>
      </c>
      <c r="E46">
        <v>0</v>
      </c>
      <c r="F46">
        <v>425</v>
      </c>
      <c r="G46">
        <v>0</v>
      </c>
      <c r="H46">
        <v>0</v>
      </c>
      <c r="I46">
        <v>0</v>
      </c>
      <c r="J46">
        <v>0</v>
      </c>
      <c r="O46" s="18" t="s">
        <v>84</v>
      </c>
      <c r="P46" s="18" t="s">
        <v>41</v>
      </c>
      <c r="Q46" s="18" t="s">
        <v>23</v>
      </c>
      <c r="R46" s="18">
        <f>SUMIF(Tableau4[Code],Tableau5[[#This Row],[Code]],Tableau4[Les heures (H)])</f>
        <v>194.5</v>
      </c>
      <c r="S46" s="18">
        <f>SUMIF(Tableau4[Code],Tableau5[[#This Row],[Code]],Tableau4[Gasoil (L)])</f>
        <v>4840</v>
      </c>
      <c r="T46" s="18">
        <f>SUMIF(Tableau4[Code],Tableau5[[#This Row],[Code]],Tableau4[Huile 15/40(L)])</f>
        <v>10</v>
      </c>
      <c r="U46" s="18">
        <f>SUMIF(Tableau4[Code],Tableau5[[#This Row],[Code]],Tableau4[Huile 90 (L)])</f>
        <v>0</v>
      </c>
      <c r="V46" s="18">
        <f>SUMIF(Tableau4[Code],Tableau5[[#This Row],[Code]],Tableau4[Huile 10 (L)])</f>
        <v>20</v>
      </c>
      <c r="W46" s="18">
        <f>SUMIF(Tableau4[Code],Tableau5[[#This Row],[Code]],Tableau4[Graisse (kg)])</f>
        <v>45</v>
      </c>
      <c r="X46" s="22">
        <f>Tableau5[[#This Row],[Gasoil (L)]]/Tableau5[[#This Row],[Quantité (H)]]</f>
        <v>24.884318766066837</v>
      </c>
      <c r="Y46" s="22">
        <f>Tableau5[[#This Row],[Gasoil (L)]]/SUMIF(Tableau4[Code],Tableau5[[#This Row],[Code]],Tableau4[Km H (Dist)])*100</f>
        <v>2456.8527918781724</v>
      </c>
      <c r="Z46" s="68">
        <v>81690</v>
      </c>
      <c r="AA46" s="68">
        <v>73313.97</v>
      </c>
      <c r="AB46" s="68"/>
      <c r="AC46" s="68"/>
      <c r="AD46" s="68" t="str">
        <f>IF(Tableau5[[#This Row],[Code]]=AF46,"ok","nn")</f>
        <v>ok</v>
      </c>
      <c r="AE46" s="68"/>
      <c r="AF46" s="65" t="s">
        <v>23</v>
      </c>
      <c r="AG46">
        <v>81690</v>
      </c>
      <c r="AH46">
        <v>73313.97</v>
      </c>
    </row>
    <row r="47" spans="1:34" x14ac:dyDescent="0.25">
      <c r="A47" s="65" t="s">
        <v>84</v>
      </c>
      <c r="B47" t="s">
        <v>55</v>
      </c>
      <c r="C47" t="s">
        <v>87</v>
      </c>
      <c r="D47">
        <v>94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O47" s="18" t="s">
        <v>84</v>
      </c>
      <c r="P47" s="18" t="s">
        <v>41</v>
      </c>
      <c r="Q47" s="18" t="s">
        <v>24</v>
      </c>
      <c r="R47" s="18">
        <f>SUMIF(Tableau4[Code],Tableau5[[#This Row],[Code]],Tableau4[Les heures (H)])</f>
        <v>208.5</v>
      </c>
      <c r="S47" s="18">
        <f>SUMIF(Tableau4[Code],Tableau5[[#This Row],[Code]],Tableau4[Gasoil (L)])</f>
        <v>4704</v>
      </c>
      <c r="T47" s="18">
        <f>SUMIF(Tableau4[Code],Tableau5[[#This Row],[Code]],Tableau4[Huile 15/40(L)])</f>
        <v>45</v>
      </c>
      <c r="U47" s="18">
        <f>SUMIF(Tableau4[Code],Tableau5[[#This Row],[Code]],Tableau4[Huile 90 (L)])</f>
        <v>0</v>
      </c>
      <c r="V47" s="18">
        <f>SUMIF(Tableau4[Code],Tableau5[[#This Row],[Code]],Tableau4[Huile 10 (L)])</f>
        <v>40</v>
      </c>
      <c r="W47" s="18">
        <f>SUMIF(Tableau4[Code],Tableau5[[#This Row],[Code]],Tableau4[Graisse (kg)])</f>
        <v>25</v>
      </c>
      <c r="X47" s="22">
        <f>Tableau5[[#This Row],[Gasoil (L)]]/Tableau5[[#This Row],[Quantité (H)]]</f>
        <v>22.561151079136689</v>
      </c>
      <c r="Y47" s="22">
        <f>Tableau5[[#This Row],[Gasoil (L)]]/SUMIF(Tableau4[Code],Tableau5[[#This Row],[Code]],Tableau4[Km H (Dist)])*100</f>
        <v>2229.3838862559242</v>
      </c>
      <c r="Z47" s="68">
        <v>87570</v>
      </c>
      <c r="AA47" s="68">
        <v>416203.65</v>
      </c>
      <c r="AB47" s="68"/>
      <c r="AC47" s="68"/>
      <c r="AD47" s="68" t="str">
        <f>IF(Tableau5[[#This Row],[Code]]=AF47,"ok","nn")</f>
        <v>ok</v>
      </c>
      <c r="AE47" s="68"/>
      <c r="AF47" s="65" t="s">
        <v>24</v>
      </c>
      <c r="AG47">
        <v>87570</v>
      </c>
      <c r="AH47">
        <v>416203.65</v>
      </c>
    </row>
    <row r="48" spans="1:34" x14ac:dyDescent="0.25">
      <c r="A48" s="65" t="s">
        <v>116</v>
      </c>
      <c r="B48" t="s">
        <v>134</v>
      </c>
      <c r="C48" t="s">
        <v>87</v>
      </c>
      <c r="D48">
        <v>28</v>
      </c>
      <c r="E48">
        <v>0</v>
      </c>
      <c r="F48">
        <v>0</v>
      </c>
      <c r="G48">
        <v>0</v>
      </c>
      <c r="H48">
        <v>0</v>
      </c>
      <c r="I48">
        <v>0</v>
      </c>
      <c r="J48">
        <v>5</v>
      </c>
      <c r="O48" s="18" t="s">
        <v>84</v>
      </c>
      <c r="P48" s="18" t="s">
        <v>41</v>
      </c>
      <c r="Q48" s="18" t="s">
        <v>25</v>
      </c>
      <c r="R48" s="18">
        <f>SUMIF(Tableau4[Code],Tableau5[[#This Row],[Code]],Tableau4[Les heures (H)])</f>
        <v>167.5</v>
      </c>
      <c r="S48" s="18">
        <f>SUMIF(Tableau4[Code],Tableau5[[#This Row],[Code]],Tableau4[Gasoil (L)])</f>
        <v>3310</v>
      </c>
      <c r="T48" s="18">
        <f>SUMIF(Tableau4[Code],Tableau5[[#This Row],[Code]],Tableau4[Huile 15/40(L)])</f>
        <v>35</v>
      </c>
      <c r="U48" s="18">
        <f>SUMIF(Tableau4[Code],Tableau5[[#This Row],[Code]],Tableau4[Huile 90 (L)])</f>
        <v>0</v>
      </c>
      <c r="V48" s="18">
        <f>SUMIF(Tableau4[Code],Tableau5[[#This Row],[Code]],Tableau4[Huile 10 (L)])</f>
        <v>25</v>
      </c>
      <c r="W48" s="18">
        <f>SUMIF(Tableau4[Code],Tableau5[[#This Row],[Code]],Tableau4[Graisse (kg)])</f>
        <v>25</v>
      </c>
      <c r="X48" s="22">
        <f>Tableau5[[#This Row],[Gasoil (L)]]/Tableau5[[#This Row],[Quantité (H)]]</f>
        <v>19.761194029850746</v>
      </c>
      <c r="Y48" s="22">
        <f>Tableau5[[#This Row],[Gasoil (L)]]/SUMIF(Tableau4[Code],Tableau5[[#This Row],[Code]],Tableau4[Km H (Dist)])*100</f>
        <v>2018.2926829268292</v>
      </c>
      <c r="Z48" s="68">
        <v>70350</v>
      </c>
      <c r="AA48" s="68">
        <v>59111.46</v>
      </c>
      <c r="AB48" s="68"/>
      <c r="AC48" s="68"/>
      <c r="AD48" s="68" t="str">
        <f>IF(Tableau5[[#This Row],[Code]]=AF48,"ok","nn")</f>
        <v>ok</v>
      </c>
      <c r="AE48" s="68"/>
      <c r="AF48" s="65" t="s">
        <v>25</v>
      </c>
      <c r="AG48">
        <v>70350</v>
      </c>
      <c r="AH48">
        <v>59111.46</v>
      </c>
    </row>
    <row r="49" spans="1:34" x14ac:dyDescent="0.25">
      <c r="A49" s="65" t="s">
        <v>84</v>
      </c>
      <c r="B49" t="s">
        <v>149</v>
      </c>
      <c r="C49" t="s">
        <v>87</v>
      </c>
      <c r="D49">
        <v>148</v>
      </c>
      <c r="E49">
        <v>0</v>
      </c>
      <c r="F49">
        <v>231</v>
      </c>
      <c r="G49">
        <v>0</v>
      </c>
      <c r="H49">
        <v>0</v>
      </c>
      <c r="I49">
        <v>0</v>
      </c>
      <c r="J49">
        <v>0</v>
      </c>
      <c r="O49" s="18" t="s">
        <v>84</v>
      </c>
      <c r="P49" s="18" t="s">
        <v>41</v>
      </c>
      <c r="Q49" s="18" t="s">
        <v>26</v>
      </c>
      <c r="R49" s="18">
        <f>SUMIF(Tableau4[Code],Tableau5[[#This Row],[Code]],Tableau4[Les heures (H)])</f>
        <v>142</v>
      </c>
      <c r="S49" s="18">
        <f>SUMIF(Tableau4[Code],Tableau5[[#This Row],[Code]],Tableau4[Gasoil (L)])</f>
        <v>4882</v>
      </c>
      <c r="T49" s="18">
        <f>SUMIF(Tableau4[Code],Tableau5[[#This Row],[Code]],Tableau4[Huile 15/40(L)])</f>
        <v>5</v>
      </c>
      <c r="U49" s="18">
        <f>SUMIF(Tableau4[Code],Tableau5[[#This Row],[Code]],Tableau4[Huile 90 (L)])</f>
        <v>0</v>
      </c>
      <c r="V49" s="18">
        <f>SUMIF(Tableau4[Code],Tableau5[[#This Row],[Code]],Tableau4[Huile 10 (L)])</f>
        <v>75</v>
      </c>
      <c r="W49" s="18">
        <f>SUMIF(Tableau4[Code],Tableau5[[#This Row],[Code]],Tableau4[Graisse (kg)])</f>
        <v>20</v>
      </c>
      <c r="X49" s="22">
        <f>Tableau5[[#This Row],[Gasoil (L)]]/Tableau5[[#This Row],[Quantité (H)]]</f>
        <v>34.380281690140848</v>
      </c>
      <c r="Y49" s="22">
        <f>Tableau5[[#This Row],[Gasoil (L)]]/SUMIF(Tableau4[Code],Tableau5[[#This Row],[Code]],Tableau4[Km H (Dist)])*100</f>
        <v>3211.8421052631584</v>
      </c>
      <c r="Z49" s="68">
        <v>59640</v>
      </c>
      <c r="AA49" s="68">
        <v>73087.3</v>
      </c>
      <c r="AB49" s="68"/>
      <c r="AC49" s="68"/>
      <c r="AD49" s="68" t="str">
        <f>IF(Tableau5[[#This Row],[Code]]=AF49,"ok","nn")</f>
        <v>ok</v>
      </c>
      <c r="AE49" s="68"/>
      <c r="AF49" s="65" t="s">
        <v>26</v>
      </c>
      <c r="AG49">
        <v>59640</v>
      </c>
      <c r="AH49">
        <v>73087.3</v>
      </c>
    </row>
    <row r="50" spans="1:34" x14ac:dyDescent="0.25">
      <c r="A50" s="65" t="s">
        <v>193</v>
      </c>
      <c r="B50" t="s">
        <v>148</v>
      </c>
      <c r="C50" t="s">
        <v>87</v>
      </c>
      <c r="D50">
        <v>0</v>
      </c>
      <c r="E50">
        <v>0</v>
      </c>
      <c r="F50">
        <v>54</v>
      </c>
      <c r="G50">
        <v>0</v>
      </c>
      <c r="H50">
        <v>0</v>
      </c>
      <c r="I50">
        <v>0</v>
      </c>
      <c r="J50">
        <v>0</v>
      </c>
      <c r="O50" s="18" t="s">
        <v>160</v>
      </c>
      <c r="P50" s="18" t="s">
        <v>41</v>
      </c>
      <c r="Q50" s="18" t="s">
        <v>27</v>
      </c>
      <c r="R50" s="18">
        <f>SUMIF(Tableau4[Code],Tableau5[[#This Row],[Code]],Tableau4[Les heures (H)])</f>
        <v>71</v>
      </c>
      <c r="S50" s="18">
        <f>SUMIF(Tableau4[Code],Tableau5[[#This Row],[Code]],Tableau4[Gasoil (L)])</f>
        <v>690</v>
      </c>
      <c r="T50" s="18">
        <f>SUMIF(Tableau4[Code],Tableau5[[#This Row],[Code]],Tableau4[Huile 15/40(L)])</f>
        <v>0</v>
      </c>
      <c r="U50" s="18">
        <f>SUMIF(Tableau4[Code],Tableau5[[#This Row],[Code]],Tableau4[Huile 90 (L)])</f>
        <v>0</v>
      </c>
      <c r="V50" s="18">
        <f>SUMIF(Tableau4[Code],Tableau5[[#This Row],[Code]],Tableau4[Huile 10 (L)])</f>
        <v>75</v>
      </c>
      <c r="W50" s="18">
        <f>SUMIF(Tableau4[Code],Tableau5[[#This Row],[Code]],Tableau4[Graisse (kg)])</f>
        <v>0</v>
      </c>
      <c r="X50" s="22">
        <f>Tableau5[[#This Row],[Gasoil (L)]]/Tableau5[[#This Row],[Quantité (H)]]</f>
        <v>9.71830985915493</v>
      </c>
      <c r="Y50" s="22">
        <f>Tableau5[[#This Row],[Gasoil (L)]]/SUMIF(Tableau4[Code],Tableau5[[#This Row],[Code]],Tableau4[Km H (Dist)])*100</f>
        <v>118.76075731497417</v>
      </c>
      <c r="Z50" s="68">
        <v>15620</v>
      </c>
      <c r="AA50" s="68">
        <v>9525</v>
      </c>
      <c r="AB50" s="68"/>
      <c r="AC50" s="68"/>
      <c r="AD50" s="68" t="str">
        <f>IF(Tableau5[[#This Row],[Code]]=AF50,"ok","nn")</f>
        <v>ok</v>
      </c>
      <c r="AE50" s="68"/>
      <c r="AF50" s="65" t="s">
        <v>27</v>
      </c>
      <c r="AG50">
        <v>15620</v>
      </c>
      <c r="AH50">
        <v>9525</v>
      </c>
    </row>
    <row r="51" spans="1:34" x14ac:dyDescent="0.25">
      <c r="A51" s="65" t="s">
        <v>160</v>
      </c>
      <c r="B51" s="65" t="s">
        <v>151</v>
      </c>
      <c r="C51" t="s">
        <v>190</v>
      </c>
      <c r="D51">
        <v>7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O51" s="18" t="s">
        <v>84</v>
      </c>
      <c r="P51" s="18" t="s">
        <v>41</v>
      </c>
      <c r="Q51" s="18" t="s">
        <v>130</v>
      </c>
      <c r="R51" s="18">
        <f>SUMIF(Tableau4[Code],Tableau5[[#This Row],[Code]],Tableau4[Les heures (H)])</f>
        <v>166.5</v>
      </c>
      <c r="S51" s="18">
        <f>SUMIF(Tableau4[Code],Tableau5[[#This Row],[Code]],Tableau4[Gasoil (L)])</f>
        <v>3171</v>
      </c>
      <c r="T51" s="18">
        <f>SUMIF(Tableau4[Code],Tableau5[[#This Row],[Code]],Tableau4[Huile 15/40(L)])</f>
        <v>5</v>
      </c>
      <c r="U51" s="18">
        <f>SUMIF(Tableau4[Code],Tableau5[[#This Row],[Code]],Tableau4[Huile 90 (L)])</f>
        <v>0</v>
      </c>
      <c r="V51" s="18">
        <f>SUMIF(Tableau4[Code],Tableau5[[#This Row],[Code]],Tableau4[Huile 10 (L)])</f>
        <v>10</v>
      </c>
      <c r="W51" s="18">
        <f>SUMIF(Tableau4[Code],Tableau5[[#This Row],[Code]],Tableau4[Graisse (kg)])</f>
        <v>13</v>
      </c>
      <c r="X51" s="22">
        <f>Tableau5[[#This Row],[Gasoil (L)]]/Tableau5[[#This Row],[Quantité (H)]]</f>
        <v>19.045045045045047</v>
      </c>
      <c r="Y51" s="22">
        <f>Tableau5[[#This Row],[Gasoil (L)]]/SUMIF(Tableau4[Code],Tableau5[[#This Row],[Code]],Tableau4[Km H (Dist)])*100</f>
        <v>26.709905660377359</v>
      </c>
      <c r="Z51" s="68">
        <v>69930</v>
      </c>
      <c r="AA51" s="68">
        <v>32715</v>
      </c>
      <c r="AB51" s="68"/>
      <c r="AC51" s="68"/>
      <c r="AD51" s="68" t="str">
        <f>IF(Tableau5[[#This Row],[Code]]=AF51,"ok","nn")</f>
        <v>ok</v>
      </c>
      <c r="AE51" s="68"/>
      <c r="AF51" s="65" t="s">
        <v>130</v>
      </c>
      <c r="AG51">
        <v>69930</v>
      </c>
      <c r="AH51">
        <v>32715</v>
      </c>
    </row>
    <row r="52" spans="1:34" x14ac:dyDescent="0.25">
      <c r="A52" s="65" t="s">
        <v>193</v>
      </c>
      <c r="B52" s="65" t="s">
        <v>29</v>
      </c>
      <c r="C52" t="s">
        <v>190</v>
      </c>
      <c r="D52">
        <v>8</v>
      </c>
      <c r="E52">
        <v>0</v>
      </c>
      <c r="F52">
        <v>140.11000000000001</v>
      </c>
      <c r="G52">
        <v>0</v>
      </c>
      <c r="H52">
        <v>0</v>
      </c>
      <c r="I52">
        <v>0</v>
      </c>
      <c r="J52">
        <v>0</v>
      </c>
      <c r="O52" s="18" t="s">
        <v>84</v>
      </c>
      <c r="P52" s="18" t="s">
        <v>41</v>
      </c>
      <c r="Q52" s="18" t="s">
        <v>137</v>
      </c>
      <c r="R52" s="18">
        <f>SUMIF(Tableau4[Code],Tableau5[[#This Row],[Code]],Tableau4[Les heures (H)])</f>
        <v>35</v>
      </c>
      <c r="S52" s="18">
        <f>SUMIF(Tableau4[Code],Tableau5[[#This Row],[Code]],Tableau4[Gasoil (L)])</f>
        <v>429</v>
      </c>
      <c r="T52" s="18">
        <f>SUMIF(Tableau4[Code],Tableau5[[#This Row],[Code]],Tableau4[Huile 15/40(L)])</f>
        <v>0</v>
      </c>
      <c r="U52" s="18">
        <f>SUMIF(Tableau4[Code],Tableau5[[#This Row],[Code]],Tableau4[Huile 90 (L)])</f>
        <v>0</v>
      </c>
      <c r="V52" s="18">
        <f>SUMIF(Tableau4[Code],Tableau5[[#This Row],[Code]],Tableau4[Huile 10 (L)])</f>
        <v>0</v>
      </c>
      <c r="W52" s="18">
        <f>SUMIF(Tableau4[Code],Tableau5[[#This Row],[Code]],Tableau4[Graisse (kg)])</f>
        <v>5</v>
      </c>
      <c r="X52" s="22">
        <f>Tableau5[[#This Row],[Gasoil (L)]]/Tableau5[[#This Row],[Quantité (H)]]</f>
        <v>12.257142857142858</v>
      </c>
      <c r="Y52" s="22">
        <f>Tableau5[[#This Row],[Gasoil (L)]]/SUMIF(Tableau4[Code],Tableau5[[#This Row],[Code]],Tableau4[Km H (Dist)])*100</f>
        <v>269.81132075471697</v>
      </c>
      <c r="Z52" s="68">
        <v>7700</v>
      </c>
      <c r="AA52" s="68">
        <v>9516.65</v>
      </c>
      <c r="AB52" s="68"/>
      <c r="AC52" s="68"/>
      <c r="AD52" s="68" t="str">
        <f>IF(Tableau5[[#This Row],[Code]]=AF52,"ok","nn")</f>
        <v>ok</v>
      </c>
      <c r="AE52" s="68"/>
      <c r="AF52" s="65" t="s">
        <v>137</v>
      </c>
      <c r="AG52">
        <v>7700</v>
      </c>
      <c r="AH52">
        <v>9516.65</v>
      </c>
    </row>
    <row r="53" spans="1:34" x14ac:dyDescent="0.25">
      <c r="A53" s="65" t="s">
        <v>84</v>
      </c>
      <c r="B53" s="65" t="s">
        <v>28</v>
      </c>
      <c r="C53">
        <v>0</v>
      </c>
      <c r="D53">
        <v>8</v>
      </c>
      <c r="E53">
        <v>0</v>
      </c>
      <c r="F53">
        <v>243</v>
      </c>
      <c r="G53">
        <v>0</v>
      </c>
      <c r="H53">
        <v>0</v>
      </c>
      <c r="I53">
        <v>0</v>
      </c>
      <c r="J53">
        <v>0</v>
      </c>
      <c r="O53" s="18" t="s">
        <v>116</v>
      </c>
      <c r="P53" s="18" t="s">
        <v>41</v>
      </c>
      <c r="Q53" s="18" t="s">
        <v>123</v>
      </c>
      <c r="R53" s="18">
        <f>SUMIF(Tableau4[Code],Tableau5[[#This Row],[Code]],Tableau4[Les heures (H)])</f>
        <v>97</v>
      </c>
      <c r="S53" s="18">
        <f>SUMIF(Tableau4[Code],Tableau5[[#This Row],[Code]],Tableau4[Gasoil (L)])</f>
        <v>1252</v>
      </c>
      <c r="T53" s="18">
        <f>SUMIF(Tableau4[Code],Tableau5[[#This Row],[Code]],Tableau4[Huile 15/40(L)])</f>
        <v>5</v>
      </c>
      <c r="U53" s="18">
        <f>SUMIF(Tableau4[Code],Tableau5[[#This Row],[Code]],Tableau4[Huile 90 (L)])</f>
        <v>0</v>
      </c>
      <c r="V53" s="18">
        <f>SUMIF(Tableau4[Code],Tableau5[[#This Row],[Code]],Tableau4[Huile 10 (L)])</f>
        <v>15</v>
      </c>
      <c r="W53" s="18">
        <f>SUMIF(Tableau4[Code],Tableau5[[#This Row],[Code]],Tableau4[Graisse (kg)])</f>
        <v>7</v>
      </c>
      <c r="X53" s="22">
        <f>Tableau5[[#This Row],[Gasoil (L)]]/Tableau5[[#This Row],[Quantité (H)]]</f>
        <v>12.907216494845361</v>
      </c>
      <c r="Y53" s="22">
        <f>Tableau5[[#This Row],[Gasoil (L)]]/SUMIF(Tableau4[Code],Tableau5[[#This Row],[Code]],Tableau4[Km H (Dist)])*100</f>
        <v>18.365311271489762</v>
      </c>
      <c r="Z53" s="68">
        <v>26620</v>
      </c>
      <c r="AA53" s="68">
        <v>10595</v>
      </c>
      <c r="AB53" s="68"/>
      <c r="AC53" s="68"/>
      <c r="AD53" s="68" t="str">
        <f>IF(Tableau5[[#This Row],[Code]]=AF53,"ok","nn")</f>
        <v>ok</v>
      </c>
      <c r="AE53" s="68"/>
      <c r="AF53" s="65" t="s">
        <v>123</v>
      </c>
      <c r="AG53">
        <v>26620</v>
      </c>
      <c r="AH53">
        <v>10595</v>
      </c>
    </row>
    <row r="54" spans="1:34" x14ac:dyDescent="0.25">
      <c r="A54" s="65" t="s">
        <v>193</v>
      </c>
      <c r="B54" s="65" t="s">
        <v>192</v>
      </c>
      <c r="C54" t="s">
        <v>190</v>
      </c>
      <c r="D54">
        <v>85.7</v>
      </c>
      <c r="E54" s="65">
        <v>0</v>
      </c>
      <c r="F54">
        <v>0</v>
      </c>
      <c r="G54">
        <v>0</v>
      </c>
      <c r="H54">
        <v>0</v>
      </c>
      <c r="I54">
        <v>0</v>
      </c>
      <c r="J54">
        <v>60</v>
      </c>
      <c r="O54" s="18" t="s">
        <v>84</v>
      </c>
      <c r="P54" s="18" t="s">
        <v>41</v>
      </c>
      <c r="Q54" s="18" t="s">
        <v>128</v>
      </c>
      <c r="R54" s="18">
        <f>SUMIF(Tableau4[Code],Tableau5[[#This Row],[Code]],Tableau4[Les heures (H)])</f>
        <v>166</v>
      </c>
      <c r="S54" s="18">
        <f>SUMIF(Tableau4[Code],Tableau5[[#This Row],[Code]],Tableau4[Gasoil (L)])</f>
        <v>3030</v>
      </c>
      <c r="T54" s="18">
        <f>SUMIF(Tableau4[Code],Tableau5[[#This Row],[Code]],Tableau4[Huile 15/40(L)])</f>
        <v>5</v>
      </c>
      <c r="U54" s="18">
        <f>SUMIF(Tableau4[Code],Tableau5[[#This Row],[Code]],Tableau4[Huile 90 (L)])</f>
        <v>0</v>
      </c>
      <c r="V54" s="18">
        <f>SUMIF(Tableau4[Code],Tableau5[[#This Row],[Code]],Tableau4[Huile 10 (L)])</f>
        <v>0</v>
      </c>
      <c r="W54" s="18">
        <f>SUMIF(Tableau4[Code],Tableau5[[#This Row],[Code]],Tableau4[Graisse (kg)])</f>
        <v>20</v>
      </c>
      <c r="X54" s="22">
        <f>Tableau5[[#This Row],[Gasoil (L)]]/Tableau5[[#This Row],[Quantité (H)]]</f>
        <v>18.253012048192772</v>
      </c>
      <c r="Y54" s="22" t="e">
        <f>Tableau5[[#This Row],[Gasoil (L)]]/SUMIF(Tableau4[Code],Tableau5[[#This Row],[Code]],Tableau4[Km H (Dist)])*100</f>
        <v>#DIV/0!</v>
      </c>
      <c r="Z54" s="68">
        <v>69720</v>
      </c>
      <c r="AA54" s="68">
        <v>31200</v>
      </c>
      <c r="AB54" s="68"/>
      <c r="AC54" s="68"/>
      <c r="AD54" s="68" t="str">
        <f>IF(Tableau5[[#This Row],[Code]]=AF54,"ok","nn")</f>
        <v>ok</v>
      </c>
      <c r="AE54" s="68"/>
      <c r="AF54" s="65" t="s">
        <v>128</v>
      </c>
      <c r="AG54">
        <v>69720</v>
      </c>
      <c r="AH54">
        <v>31200</v>
      </c>
    </row>
    <row r="55" spans="1:34" x14ac:dyDescent="0.25">
      <c r="A55" s="65" t="s">
        <v>116</v>
      </c>
      <c r="B55" s="65" t="s">
        <v>51</v>
      </c>
      <c r="C55" t="s">
        <v>87</v>
      </c>
      <c r="D55">
        <v>33</v>
      </c>
      <c r="E55">
        <v>0</v>
      </c>
      <c r="F55">
        <v>90</v>
      </c>
      <c r="G55">
        <v>0</v>
      </c>
      <c r="H55">
        <v>0</v>
      </c>
      <c r="I55">
        <v>0</v>
      </c>
      <c r="J55">
        <v>5</v>
      </c>
      <c r="O55" s="18" t="s">
        <v>84</v>
      </c>
      <c r="P55" s="18" t="s">
        <v>41</v>
      </c>
      <c r="Q55" s="18" t="s">
        <v>127</v>
      </c>
      <c r="R55" s="18">
        <f>SUMIF(Tableau4[Code],Tableau5[[#This Row],[Code]],Tableau4[Les heures (H)])</f>
        <v>222.5</v>
      </c>
      <c r="S55" s="18">
        <f>SUMIF(Tableau4[Code],Tableau5[[#This Row],[Code]],Tableau4[Gasoil (L)])</f>
        <v>3557</v>
      </c>
      <c r="T55" s="18">
        <f>SUMIF(Tableau4[Code],Tableau5[[#This Row],[Code]],Tableau4[Huile 15/40(L)])</f>
        <v>25</v>
      </c>
      <c r="U55" s="18">
        <f>SUMIF(Tableau4[Code],Tableau5[[#This Row],[Code]],Tableau4[Huile 90 (L)])</f>
        <v>0</v>
      </c>
      <c r="V55" s="18">
        <f>SUMIF(Tableau4[Code],Tableau5[[#This Row],[Code]],Tableau4[Huile 10 (L)])</f>
        <v>5</v>
      </c>
      <c r="W55" s="18">
        <f>SUMIF(Tableau4[Code],Tableau5[[#This Row],[Code]],Tableau4[Graisse (kg)])</f>
        <v>25</v>
      </c>
      <c r="X55" s="22">
        <f>Tableau5[[#This Row],[Gasoil (L)]]/Tableau5[[#This Row],[Quantité (H)]]</f>
        <v>15.986516853932585</v>
      </c>
      <c r="Y55" s="22">
        <f>Tableau5[[#This Row],[Gasoil (L)]]/SUMIF(Tableau4[Code],Tableau5[[#This Row],[Code]],Tableau4[Km H (Dist)])*100</f>
        <v>1616.8181818181818</v>
      </c>
      <c r="Z55" s="68">
        <v>93450</v>
      </c>
      <c r="AA55" s="68">
        <v>37620</v>
      </c>
      <c r="AB55" s="68"/>
      <c r="AC55" s="68"/>
      <c r="AD55" s="68" t="str">
        <f>IF(Tableau5[[#This Row],[Code]]=AF55,"ok","nn")</f>
        <v>ok</v>
      </c>
      <c r="AE55" s="68"/>
      <c r="AF55" s="65" t="s">
        <v>127</v>
      </c>
      <c r="AG55">
        <v>93450</v>
      </c>
      <c r="AH55">
        <v>37620</v>
      </c>
    </row>
    <row r="56" spans="1:34" x14ac:dyDescent="0.25">
      <c r="A56" s="65" t="s">
        <v>116</v>
      </c>
      <c r="B56" s="65" t="s">
        <v>51</v>
      </c>
      <c r="C56" t="s">
        <v>87</v>
      </c>
      <c r="D56">
        <v>10</v>
      </c>
      <c r="E56">
        <v>0</v>
      </c>
      <c r="F56">
        <v>20</v>
      </c>
      <c r="G56">
        <v>0</v>
      </c>
      <c r="H56">
        <v>0</v>
      </c>
      <c r="I56">
        <v>0</v>
      </c>
      <c r="J56">
        <v>3</v>
      </c>
      <c r="O56" s="18" t="s">
        <v>84</v>
      </c>
      <c r="P56" s="18" t="s">
        <v>41</v>
      </c>
      <c r="Q56" s="18" t="s">
        <v>129</v>
      </c>
      <c r="R56" s="18">
        <f>SUMIF(Tableau4[Code],Tableau5[[#This Row],[Code]],Tableau4[Les heures (H)])</f>
        <v>206</v>
      </c>
      <c r="S56" s="18">
        <f>SUMIF(Tableau4[Code],Tableau5[[#This Row],[Code]],Tableau4[Gasoil (L)])</f>
        <v>2723</v>
      </c>
      <c r="T56" s="18">
        <f>SUMIF(Tableau4[Code],Tableau5[[#This Row],[Code]],Tableau4[Huile 15/40(L)])</f>
        <v>10</v>
      </c>
      <c r="U56" s="18">
        <f>SUMIF(Tableau4[Code],Tableau5[[#This Row],[Code]],Tableau4[Huile 90 (L)])</f>
        <v>0</v>
      </c>
      <c r="V56" s="18">
        <f>SUMIF(Tableau4[Code],Tableau5[[#This Row],[Code]],Tableau4[Huile 10 (L)])</f>
        <v>0</v>
      </c>
      <c r="W56" s="18">
        <f>SUMIF(Tableau4[Code],Tableau5[[#This Row],[Code]],Tableau4[Graisse (kg)])</f>
        <v>15</v>
      </c>
      <c r="X56" s="22">
        <f>Tableau5[[#This Row],[Gasoil (L)]]/Tableau5[[#This Row],[Quantité (H)]]</f>
        <v>13.218446601941748</v>
      </c>
      <c r="Y56" s="22">
        <f>Tableau5[[#This Row],[Gasoil (L)]]/SUMIF(Tableau4[Code],Tableau5[[#This Row],[Code]],Tableau4[Km H (Dist)])*100</f>
        <v>1354.726368159204</v>
      </c>
      <c r="Z56" s="68">
        <v>86520</v>
      </c>
      <c r="AA56" s="68">
        <v>28521.65</v>
      </c>
      <c r="AB56" s="68"/>
      <c r="AC56" s="68"/>
      <c r="AD56" s="68" t="str">
        <f>IF(Tableau5[[#This Row],[Code]]=AF56,"ok","nn")</f>
        <v>ok</v>
      </c>
      <c r="AE56" s="68"/>
      <c r="AF56" s="65" t="s">
        <v>129</v>
      </c>
      <c r="AG56">
        <v>86520</v>
      </c>
      <c r="AH56">
        <v>28521.65</v>
      </c>
    </row>
    <row r="57" spans="1:34" x14ac:dyDescent="0.25">
      <c r="A57" s="65" t="s">
        <v>160</v>
      </c>
      <c r="B57" s="65" t="s">
        <v>51</v>
      </c>
      <c r="C57" t="s">
        <v>190</v>
      </c>
      <c r="D57">
        <v>8</v>
      </c>
      <c r="E57">
        <v>0</v>
      </c>
      <c r="F57">
        <v>190</v>
      </c>
      <c r="G57">
        <v>0</v>
      </c>
      <c r="H57">
        <v>0</v>
      </c>
      <c r="I57">
        <v>0</v>
      </c>
      <c r="J57">
        <v>0</v>
      </c>
      <c r="O57" s="18" t="s">
        <v>158</v>
      </c>
      <c r="P57" s="18" t="s">
        <v>86</v>
      </c>
      <c r="Q57" s="18" t="s">
        <v>58</v>
      </c>
      <c r="R57" s="18">
        <f>SUMIF(Tableau4[Code],Tableau5[[#This Row],[Code]],Tableau4[Les heures (H)])</f>
        <v>252</v>
      </c>
      <c r="S57" s="18">
        <f>SUMIF(Tableau4[Code],Tableau5[[#This Row],[Code]],Tableau4[Gasoil (L)])</f>
        <v>380</v>
      </c>
      <c r="T57" s="18">
        <f>SUMIF(Tableau4[Code],Tableau5[[#This Row],[Code]],Tableau4[Huile 15/40(L)])</f>
        <v>15</v>
      </c>
      <c r="U57" s="18">
        <f>SUMIF(Tableau4[Code],Tableau5[[#This Row],[Code]],Tableau4[Huile 90 (L)])</f>
        <v>0</v>
      </c>
      <c r="V57" s="18">
        <f>SUMIF(Tableau4[Code],Tableau5[[#This Row],[Code]],Tableau4[Huile 10 (L)])</f>
        <v>0</v>
      </c>
      <c r="W57" s="18">
        <f>SUMIF(Tableau4[Code],Tableau5[[#This Row],[Code]],Tableau4[Graisse (kg)])</f>
        <v>0</v>
      </c>
      <c r="X57" s="22">
        <f>Tableau5[[#This Row],[Gasoil (L)]]/Tableau5[[#This Row],[Quantité (H)]]</f>
        <v>1.5079365079365079</v>
      </c>
      <c r="Y57" s="22">
        <f>Tableau5[[#This Row],[Gasoil (L)]]/SUMIF(Tableau4[Code],Tableau5[[#This Row],[Code]],Tableau4[Km H (Dist)])*100</f>
        <v>12.790306294177045</v>
      </c>
      <c r="Z57" s="68">
        <v>16380</v>
      </c>
      <c r="AA57" s="68">
        <v>4400</v>
      </c>
      <c r="AB57" s="68"/>
      <c r="AC57" s="68"/>
      <c r="AD57" s="68" t="str">
        <f>IF(Tableau5[[#This Row],[Code]]=AF57,"ok","nn")</f>
        <v>ok</v>
      </c>
      <c r="AE57" s="68"/>
      <c r="AF57" s="65" t="s">
        <v>58</v>
      </c>
      <c r="AG57">
        <v>16380</v>
      </c>
      <c r="AH57">
        <v>4400</v>
      </c>
    </row>
    <row r="58" spans="1:34" x14ac:dyDescent="0.25">
      <c r="A58" s="65" t="s">
        <v>193</v>
      </c>
      <c r="B58" s="65" t="s">
        <v>136</v>
      </c>
      <c r="C58" t="s">
        <v>190</v>
      </c>
      <c r="D58">
        <v>5</v>
      </c>
      <c r="E58">
        <v>0</v>
      </c>
      <c r="F58">
        <v>25</v>
      </c>
      <c r="G58">
        <v>5</v>
      </c>
      <c r="H58">
        <v>0</v>
      </c>
      <c r="I58">
        <v>0</v>
      </c>
      <c r="J58">
        <v>0</v>
      </c>
      <c r="O58" s="18" t="s">
        <v>160</v>
      </c>
      <c r="P58" s="18" t="s">
        <v>86</v>
      </c>
      <c r="Q58" s="18" t="s">
        <v>59</v>
      </c>
      <c r="R58" s="18">
        <f>SUMIF(Tableau4[Code],Tableau5[[#This Row],[Code]],Tableau4[Les heures (H)])</f>
        <v>144</v>
      </c>
      <c r="S58" s="18">
        <f>SUMIF(Tableau4[Code],Tableau5[[#This Row],[Code]],Tableau4[Gasoil (L)])</f>
        <v>220</v>
      </c>
      <c r="T58" s="18">
        <f>SUMIF(Tableau4[Code],Tableau5[[#This Row],[Code]],Tableau4[Huile 15/40(L)])</f>
        <v>0</v>
      </c>
      <c r="U58" s="18">
        <f>SUMIF(Tableau4[Code],Tableau5[[#This Row],[Code]],Tableau4[Huile 90 (L)])</f>
        <v>0</v>
      </c>
      <c r="V58" s="18">
        <f>SUMIF(Tableau4[Code],Tableau5[[#This Row],[Code]],Tableau4[Huile 10 (L)])</f>
        <v>0</v>
      </c>
      <c r="W58" s="18">
        <f>SUMIF(Tableau4[Code],Tableau5[[#This Row],[Code]],Tableau4[Graisse (kg)])</f>
        <v>0</v>
      </c>
      <c r="X58" s="22">
        <f>Tableau5[[#This Row],[Gasoil (L)]]/Tableau5[[#This Row],[Quantité (H)]]</f>
        <v>1.5277777777777777</v>
      </c>
      <c r="Y58" s="22" t="e">
        <f>Tableau5[[#This Row],[Gasoil (L)]]/SUMIF(Tableau4[Code],Tableau5[[#This Row],[Code]],Tableau4[Km H (Dist)])*100</f>
        <v>#DIV/0!</v>
      </c>
      <c r="Z58" s="68">
        <v>9360</v>
      </c>
      <c r="AA58" s="68">
        <v>2200</v>
      </c>
      <c r="AB58" s="68"/>
      <c r="AC58" s="68"/>
      <c r="AD58" s="68" t="str">
        <f>IF(Tableau5[[#This Row],[Code]]=AF58,"ok","nn")</f>
        <v>ok</v>
      </c>
      <c r="AE58" s="68"/>
      <c r="AF58" s="65" t="s">
        <v>59</v>
      </c>
      <c r="AG58">
        <v>9360</v>
      </c>
      <c r="AH58">
        <v>2200</v>
      </c>
    </row>
    <row r="59" spans="1:34" x14ac:dyDescent="0.25">
      <c r="A59" s="65" t="s">
        <v>160</v>
      </c>
      <c r="B59" s="65" t="s">
        <v>11</v>
      </c>
      <c r="C59" t="s">
        <v>191</v>
      </c>
      <c r="D59">
        <v>108</v>
      </c>
      <c r="E59">
        <v>0</v>
      </c>
      <c r="F59">
        <v>1438</v>
      </c>
      <c r="G59">
        <v>5</v>
      </c>
      <c r="H59">
        <v>0</v>
      </c>
      <c r="I59">
        <v>10</v>
      </c>
      <c r="J59">
        <v>0</v>
      </c>
      <c r="O59" s="18" t="s">
        <v>116</v>
      </c>
      <c r="P59" s="18" t="s">
        <v>86</v>
      </c>
      <c r="Q59" s="18" t="s">
        <v>60</v>
      </c>
      <c r="R59" s="18">
        <f>SUMIF(Tableau4[Code],Tableau5[[#This Row],[Code]],Tableau4[Les heures (H)])</f>
        <v>261</v>
      </c>
      <c r="S59" s="18">
        <f>SUMIF(Tableau4[Code],Tableau5[[#This Row],[Code]],Tableau4[Gasoil (L)])</f>
        <v>480</v>
      </c>
      <c r="T59" s="18">
        <f>SUMIF(Tableau4[Code],Tableau5[[#This Row],[Code]],Tableau4[Huile 15/40(L)])</f>
        <v>0</v>
      </c>
      <c r="U59" s="18">
        <f>SUMIF(Tableau4[Code],Tableau5[[#This Row],[Code]],Tableau4[Huile 90 (L)])</f>
        <v>0</v>
      </c>
      <c r="V59" s="18">
        <f>SUMIF(Tableau4[Code],Tableau5[[#This Row],[Code]],Tableau4[Huile 10 (L)])</f>
        <v>0</v>
      </c>
      <c r="W59" s="18">
        <f>SUMIF(Tableau4[Code],Tableau5[[#This Row],[Code]],Tableau4[Graisse (kg)])</f>
        <v>0</v>
      </c>
      <c r="X59" s="22">
        <f>Tableau5[[#This Row],[Gasoil (L)]]/Tableau5[[#This Row],[Quantité (H)]]</f>
        <v>1.8390804597701149</v>
      </c>
      <c r="Y59" s="22" t="e">
        <f>Tableau5[[#This Row],[Gasoil (L)]]/SUMIF(Tableau4[Code],Tableau5[[#This Row],[Code]],Tableau4[Km H (Dist)])*100</f>
        <v>#DIV/0!</v>
      </c>
      <c r="Z59" s="68">
        <v>16965</v>
      </c>
      <c r="AA59" s="68">
        <v>4800</v>
      </c>
      <c r="AB59" s="68"/>
      <c r="AC59" s="68"/>
      <c r="AD59" s="68" t="str">
        <f>IF(Tableau5[[#This Row],[Code]]=AF59,"ok","nn")</f>
        <v>ok</v>
      </c>
      <c r="AE59" s="68"/>
      <c r="AF59" s="65" t="s">
        <v>60</v>
      </c>
      <c r="AG59">
        <v>16965</v>
      </c>
      <c r="AH59">
        <v>4800</v>
      </c>
    </row>
    <row r="60" spans="1:34" x14ac:dyDescent="0.25">
      <c r="A60" s="65" t="s">
        <v>84</v>
      </c>
      <c r="B60" t="s">
        <v>12</v>
      </c>
      <c r="C60" t="s">
        <v>190</v>
      </c>
      <c r="D60">
        <v>60</v>
      </c>
      <c r="E60">
        <v>0</v>
      </c>
      <c r="F60">
        <v>1195</v>
      </c>
      <c r="G60">
        <v>0</v>
      </c>
      <c r="H60">
        <v>0</v>
      </c>
      <c r="I60">
        <v>35</v>
      </c>
      <c r="J60">
        <v>0</v>
      </c>
      <c r="O60" s="18" t="s">
        <v>84</v>
      </c>
      <c r="P60" s="18" t="s">
        <v>86</v>
      </c>
      <c r="Q60" s="18" t="s">
        <v>61</v>
      </c>
      <c r="R60" s="18">
        <f>SUMIF(Tableau4[Code],Tableau5[[#This Row],[Code]],Tableau4[Les heures (H)])</f>
        <v>125</v>
      </c>
      <c r="S60" s="18">
        <f>SUMIF(Tableau4[Code],Tableau5[[#This Row],[Code]],Tableau4[Gasoil (L)])</f>
        <v>504.93</v>
      </c>
      <c r="T60" s="18">
        <f>SUMIF(Tableau4[Code],Tableau5[[#This Row],[Code]],Tableau4[Huile 15/40(L)])</f>
        <v>0</v>
      </c>
      <c r="U60" s="18">
        <f>SUMIF(Tableau4[Code],Tableau5[[#This Row],[Code]],Tableau4[Huile 90 (L)])</f>
        <v>0</v>
      </c>
      <c r="V60" s="18">
        <f>SUMIF(Tableau4[Code],Tableau5[[#This Row],[Code]],Tableau4[Huile 10 (L)])</f>
        <v>0</v>
      </c>
      <c r="W60" s="18">
        <f>SUMIF(Tableau4[Code],Tableau5[[#This Row],[Code]],Tableau4[Graisse (kg)])</f>
        <v>0</v>
      </c>
      <c r="X60" s="22">
        <f>Tableau5[[#This Row],[Gasoil (L)]]/Tableau5[[#This Row],[Quantité (H)]]</f>
        <v>4.0394399999999999</v>
      </c>
      <c r="Y60" s="22">
        <f>Tableau5[[#This Row],[Gasoil (L)]]/SUMIF(Tableau4[Code],Tableau5[[#This Row],[Code]],Tableau4[Km H (Dist)])*100</f>
        <v>10.406636438582028</v>
      </c>
      <c r="Z60" s="68">
        <v>0</v>
      </c>
      <c r="AA60" s="68">
        <v>5049</v>
      </c>
      <c r="AB60" s="68"/>
      <c r="AC60" s="68"/>
      <c r="AD60" s="68" t="str">
        <f>IF(Tableau5[[#This Row],[Code]]=AF60,"ok","nn")</f>
        <v>ok</v>
      </c>
      <c r="AE60" s="68"/>
      <c r="AF60" s="65" t="s">
        <v>61</v>
      </c>
      <c r="AG60">
        <v>0</v>
      </c>
      <c r="AH60">
        <v>5049</v>
      </c>
    </row>
    <row r="61" spans="1:34" x14ac:dyDescent="0.25">
      <c r="A61" s="65" t="s">
        <v>116</v>
      </c>
      <c r="B61" t="s">
        <v>13</v>
      </c>
      <c r="C61" t="s">
        <v>191</v>
      </c>
      <c r="D61">
        <v>35.5</v>
      </c>
      <c r="E61">
        <v>0</v>
      </c>
      <c r="F61">
        <v>485</v>
      </c>
      <c r="G61">
        <v>0</v>
      </c>
      <c r="H61">
        <v>0</v>
      </c>
      <c r="I61">
        <v>0</v>
      </c>
      <c r="J61">
        <v>5</v>
      </c>
      <c r="O61" s="18" t="s">
        <v>84</v>
      </c>
      <c r="P61" s="18" t="s">
        <v>92</v>
      </c>
      <c r="Q61" s="18" t="s">
        <v>133</v>
      </c>
      <c r="R61" s="18">
        <f>SUMIF(Tableau4[Code],Tableau5[[#This Row],[Code]],Tableau4[Les heures (H)])</f>
        <v>0</v>
      </c>
      <c r="S61" s="18">
        <f>SUMIF(Tableau4[Code],Tableau5[[#This Row],[Code]],Tableau4[Gasoil (L)])</f>
        <v>0</v>
      </c>
      <c r="T61" s="18">
        <f>SUMIF(Tableau4[Code],Tableau5[[#This Row],[Code]],Tableau4[Huile 15/40(L)])</f>
        <v>0</v>
      </c>
      <c r="U61" s="18">
        <f>SUMIF(Tableau4[Code],Tableau5[[#This Row],[Code]],Tableau4[Huile 90 (L)])</f>
        <v>0</v>
      </c>
      <c r="V61" s="18">
        <f>SUMIF(Tableau4[Code],Tableau5[[#This Row],[Code]],Tableau4[Huile 10 (L)])</f>
        <v>0</v>
      </c>
      <c r="W61" s="18">
        <f>SUMIF(Tableau4[Code],Tableau5[[#This Row],[Code]],Tableau4[Graisse (kg)])</f>
        <v>0</v>
      </c>
      <c r="X61" s="22" t="e">
        <f>Tableau5[[#This Row],[Gasoil (L)]]/Tableau5[[#This Row],[Quantité (H)]]</f>
        <v>#DIV/0!</v>
      </c>
      <c r="Y61" s="22" t="e">
        <f>Tableau5[[#This Row],[Gasoil (L)]]/SUMIF(Tableau4[Code],Tableau5[[#This Row],[Code]],Tableau4[Km H (Dist)])*100</f>
        <v>#DIV/0!</v>
      </c>
      <c r="Z61" s="68"/>
      <c r="AA61" s="68"/>
      <c r="AB61" s="68"/>
      <c r="AC61" s="68"/>
      <c r="AD61" s="68" t="str">
        <f>IF(Tableau5[[#This Row],[Code]]=AF61,"ok","nn")</f>
        <v>ok</v>
      </c>
      <c r="AE61" s="68"/>
      <c r="AF61" s="65" t="s">
        <v>133</v>
      </c>
    </row>
    <row r="62" spans="1:34" x14ac:dyDescent="0.25">
      <c r="A62" t="s">
        <v>116</v>
      </c>
      <c r="B62" t="s">
        <v>14</v>
      </c>
      <c r="C62" t="s">
        <v>190</v>
      </c>
      <c r="D62">
        <v>98.5</v>
      </c>
      <c r="E62">
        <v>0</v>
      </c>
      <c r="F62">
        <v>200</v>
      </c>
      <c r="G62">
        <v>0</v>
      </c>
      <c r="H62">
        <v>0</v>
      </c>
      <c r="I62">
        <v>10</v>
      </c>
      <c r="J62">
        <v>7</v>
      </c>
      <c r="O62" s="18" t="s">
        <v>160</v>
      </c>
      <c r="P62" s="18" t="s">
        <v>43</v>
      </c>
      <c r="Q62" s="18" t="s">
        <v>33</v>
      </c>
      <c r="R62" s="18">
        <f>SUMIF(Tableau4[Code],Tableau5[[#This Row],[Code]],Tableau4[Les heures (H)])</f>
        <v>76</v>
      </c>
      <c r="S62" s="18">
        <f>SUMIF(Tableau4[Code],Tableau5[[#This Row],[Code]],Tableau4[Gasoil (L)])</f>
        <v>455</v>
      </c>
      <c r="T62" s="18">
        <f>SUMIF(Tableau4[Code],Tableau5[[#This Row],[Code]],Tableau4[Huile 15/40(L)])</f>
        <v>0</v>
      </c>
      <c r="U62" s="18">
        <f>SUMIF(Tableau4[Code],Tableau5[[#This Row],[Code]],Tableau4[Huile 90 (L)])</f>
        <v>0</v>
      </c>
      <c r="V62" s="18">
        <f>SUMIF(Tableau4[Code],Tableau5[[#This Row],[Code]],Tableau4[Huile 10 (L)])</f>
        <v>0</v>
      </c>
      <c r="W62" s="18">
        <f>SUMIF(Tableau4[Code],Tableau5[[#This Row],[Code]],Tableau4[Graisse (kg)])</f>
        <v>0</v>
      </c>
      <c r="X62" s="22">
        <f>Tableau5[[#This Row],[Gasoil (L)]]/Tableau5[[#This Row],[Quantité (H)]]</f>
        <v>5.9868421052631575</v>
      </c>
      <c r="Y62" s="22" t="e">
        <f>Tableau5[[#This Row],[Gasoil (L)]]/SUMIF(Tableau4[Code],Tableau5[[#This Row],[Code]],Tableau4[Km H (Dist)])*100</f>
        <v>#DIV/0!</v>
      </c>
      <c r="Z62" s="68">
        <v>13680</v>
      </c>
      <c r="AA62" s="68">
        <v>4550</v>
      </c>
      <c r="AB62" s="68"/>
      <c r="AC62" s="68"/>
      <c r="AD62" s="68" t="str">
        <f>IF(Tableau5[[#This Row],[Code]]=AF62,"ok","nn")</f>
        <v>ok</v>
      </c>
      <c r="AE62" s="68"/>
      <c r="AF62" s="65" t="s">
        <v>33</v>
      </c>
      <c r="AG62">
        <v>13680</v>
      </c>
      <c r="AH62">
        <v>4550</v>
      </c>
    </row>
    <row r="63" spans="1:34" x14ac:dyDescent="0.25">
      <c r="A63" s="65" t="s">
        <v>160</v>
      </c>
      <c r="B63" t="s">
        <v>15</v>
      </c>
      <c r="C63" t="s">
        <v>190</v>
      </c>
      <c r="D63">
        <v>18</v>
      </c>
      <c r="E63">
        <v>0</v>
      </c>
      <c r="F63">
        <v>252</v>
      </c>
      <c r="G63">
        <v>0</v>
      </c>
      <c r="H63">
        <v>0</v>
      </c>
      <c r="I63">
        <v>5</v>
      </c>
      <c r="J63">
        <v>0</v>
      </c>
      <c r="O63" s="18" t="s">
        <v>116</v>
      </c>
      <c r="P63" s="18" t="s">
        <v>43</v>
      </c>
      <c r="Q63" s="18" t="s">
        <v>34</v>
      </c>
      <c r="R63" s="18">
        <f>SUMIF(Tableau4[Code],Tableau5[[#This Row],[Code]],Tableau4[Les heures (H)])</f>
        <v>52</v>
      </c>
      <c r="S63" s="18">
        <f>SUMIF(Tableau4[Code],Tableau5[[#This Row],[Code]],Tableau4[Gasoil (L)])</f>
        <v>623</v>
      </c>
      <c r="T63" s="18">
        <f>SUMIF(Tableau4[Code],Tableau5[[#This Row],[Code]],Tableau4[Huile 15/40(L)])</f>
        <v>20</v>
      </c>
      <c r="U63" s="18">
        <f>SUMIF(Tableau4[Code],Tableau5[[#This Row],[Code]],Tableau4[Huile 90 (L)])</f>
        <v>0</v>
      </c>
      <c r="V63" s="18">
        <f>SUMIF(Tableau4[Code],Tableau5[[#This Row],[Code]],Tableau4[Huile 10 (L)])</f>
        <v>20</v>
      </c>
      <c r="W63" s="18">
        <f>SUMIF(Tableau4[Code],Tableau5[[#This Row],[Code]],Tableau4[Graisse (kg)])</f>
        <v>6</v>
      </c>
      <c r="X63" s="22">
        <f>Tableau5[[#This Row],[Gasoil (L)]]/Tableau5[[#This Row],[Quantité (H)]]</f>
        <v>11.98076923076923</v>
      </c>
      <c r="Y63" s="22" t="e">
        <f>Tableau5[[#This Row],[Gasoil (L)]]/SUMIF(Tableau4[Code],Tableau5[[#This Row],[Code]],Tableau4[Km H (Dist)])*100</f>
        <v>#DIV/0!</v>
      </c>
      <c r="Z63" s="68">
        <v>8370</v>
      </c>
      <c r="AA63" s="68">
        <v>7530</v>
      </c>
      <c r="AB63" s="68"/>
      <c r="AC63" s="68"/>
      <c r="AD63" s="68" t="str">
        <f>IF(Tableau5[[#This Row],[Code]]=AF63,"ok","nn")</f>
        <v>ok</v>
      </c>
      <c r="AE63" s="68"/>
      <c r="AF63" s="65" t="s">
        <v>34</v>
      </c>
      <c r="AG63">
        <v>8370</v>
      </c>
      <c r="AH63">
        <v>7530</v>
      </c>
    </row>
    <row r="64" spans="1:34" x14ac:dyDescent="0.25">
      <c r="A64" s="65" t="s">
        <v>84</v>
      </c>
      <c r="B64" t="s">
        <v>20</v>
      </c>
      <c r="C64" t="s">
        <v>190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O64" s="18" t="s">
        <v>196</v>
      </c>
      <c r="P64" s="18" t="s">
        <v>43</v>
      </c>
      <c r="Q64" s="18" t="s">
        <v>35</v>
      </c>
      <c r="R64" s="18">
        <f>SUMIF(Tableau4[Code],Tableau5[[#This Row],[Code]],Tableau4[Les heures (H)])</f>
        <v>0</v>
      </c>
      <c r="S64" s="18">
        <f>SUMIF(Tableau4[Code],Tableau5[[#This Row],[Code]],Tableau4[Gasoil (L)])</f>
        <v>0</v>
      </c>
      <c r="T64" s="18">
        <f>SUMIF(Tableau4[Code],Tableau5[[#This Row],[Code]],Tableau4[Huile 15/40(L)])</f>
        <v>0</v>
      </c>
      <c r="U64" s="18">
        <f>SUMIF(Tableau4[Code],Tableau5[[#This Row],[Code]],Tableau4[Huile 90 (L)])</f>
        <v>0</v>
      </c>
      <c r="V64" s="18">
        <f>SUMIF(Tableau4[Code],Tableau5[[#This Row],[Code]],Tableau4[Huile 10 (L)])</f>
        <v>0</v>
      </c>
      <c r="W64" s="18">
        <f>SUMIF(Tableau4[Code],Tableau5[[#This Row],[Code]],Tableau4[Graisse (kg)])</f>
        <v>0</v>
      </c>
      <c r="X64" s="22" t="e">
        <f>Tableau5[[#This Row],[Gasoil (L)]]/Tableau5[[#This Row],[Quantité (H)]]</f>
        <v>#DIV/0!</v>
      </c>
      <c r="Y64" s="22" t="e">
        <f>Tableau5[[#This Row],[Gasoil (L)]]/SUMIF(Tableau4[Code],Tableau5[[#This Row],[Code]],Tableau4[Km H (Dist)])*100</f>
        <v>#DIV/0!</v>
      </c>
      <c r="Z64" s="68">
        <v>21600</v>
      </c>
      <c r="AA64" s="68">
        <v>1275</v>
      </c>
      <c r="AB64" s="68"/>
      <c r="AC64" s="68"/>
      <c r="AD64" s="68" t="str">
        <f>IF(Tableau5[[#This Row],[Code]]=AF64,"ok","nn")</f>
        <v>ok</v>
      </c>
      <c r="AE64" s="68"/>
      <c r="AF64" s="65" t="s">
        <v>35</v>
      </c>
      <c r="AG64">
        <v>21600</v>
      </c>
      <c r="AH64">
        <v>1275</v>
      </c>
    </row>
    <row r="65" spans="1:34" x14ac:dyDescent="0.25">
      <c r="A65" s="65" t="s">
        <v>116</v>
      </c>
      <c r="B65" t="s">
        <v>124</v>
      </c>
      <c r="C65" t="s">
        <v>190</v>
      </c>
      <c r="D65">
        <v>4</v>
      </c>
      <c r="E65">
        <v>0</v>
      </c>
      <c r="F65">
        <v>0</v>
      </c>
      <c r="G65">
        <v>0</v>
      </c>
      <c r="H65">
        <v>0</v>
      </c>
      <c r="I65">
        <v>0</v>
      </c>
      <c r="J65">
        <v>2</v>
      </c>
      <c r="O65" s="18" t="s">
        <v>84</v>
      </c>
      <c r="P65" s="18" t="s">
        <v>87</v>
      </c>
      <c r="Q65" s="18" t="s">
        <v>63</v>
      </c>
      <c r="R65" s="18">
        <f>SUMIF(Tableau4[Code],Tableau5[[#This Row],[Code]],Tableau4[Les heures (H)])</f>
        <v>150</v>
      </c>
      <c r="S65" s="18">
        <f>SUMIF(Tableau4[Code],Tableau5[[#This Row],[Code]],Tableau4[Gasoil (L)])</f>
        <v>315</v>
      </c>
      <c r="T65" s="18">
        <f>SUMIF(Tableau4[Code],Tableau5[[#This Row],[Code]],Tableau4[Huile 15/40(L)])</f>
        <v>15</v>
      </c>
      <c r="U65" s="18">
        <f>SUMIF(Tableau4[Code],Tableau5[[#This Row],[Code]],Tableau4[Huile 90 (L)])</f>
        <v>0</v>
      </c>
      <c r="V65" s="18">
        <f>SUMIF(Tableau4[Code],Tableau5[[#This Row],[Code]],Tableau4[Huile 10 (L)])</f>
        <v>0</v>
      </c>
      <c r="W65" s="18">
        <f>SUMIF(Tableau4[Code],Tableau5[[#This Row],[Code]],Tableau4[Graisse (kg)])</f>
        <v>0</v>
      </c>
      <c r="X65" s="22">
        <f>Tableau5[[#This Row],[Gasoil (L)]]/Tableau5[[#This Row],[Quantité (H)]]</f>
        <v>2.1</v>
      </c>
      <c r="Y65" s="22" t="e">
        <f>Tableau5[[#This Row],[Gasoil (L)]]/SUMIF(Tableau4[Code],Tableau5[[#This Row],[Code]],Tableau4[Km H (Dist)])*100</f>
        <v>#DIV/0!</v>
      </c>
      <c r="Z65" s="68">
        <v>9750</v>
      </c>
      <c r="AA65" s="68">
        <v>3941.66</v>
      </c>
      <c r="AB65" s="68"/>
      <c r="AC65" s="68"/>
      <c r="AD65" s="68" t="str">
        <f>IF(Tableau5[[#This Row],[Code]]=AF65,"ok","nn")</f>
        <v>ok</v>
      </c>
      <c r="AE65" s="68"/>
      <c r="AF65" s="65" t="s">
        <v>63</v>
      </c>
      <c r="AG65">
        <v>9750</v>
      </c>
      <c r="AH65">
        <v>3941.66</v>
      </c>
    </row>
    <row r="66" spans="1:34" x14ac:dyDescent="0.25">
      <c r="A66" s="65" t="s">
        <v>193</v>
      </c>
      <c r="B66" t="s">
        <v>130</v>
      </c>
      <c r="C66" t="s">
        <v>190</v>
      </c>
      <c r="D66">
        <v>0</v>
      </c>
      <c r="E66">
        <v>0</v>
      </c>
      <c r="F66">
        <v>534</v>
      </c>
      <c r="G66">
        <v>0</v>
      </c>
      <c r="H66">
        <v>0</v>
      </c>
      <c r="I66">
        <v>0</v>
      </c>
      <c r="J66">
        <v>0</v>
      </c>
      <c r="O66" s="18" t="s">
        <v>84</v>
      </c>
      <c r="P66" s="18" t="s">
        <v>87</v>
      </c>
      <c r="Q66" s="18" t="s">
        <v>105</v>
      </c>
      <c r="R66" s="18">
        <f>SUMIF(Tableau4[Code],Tableau5[[#This Row],[Code]],Tableau4[Les heures (H)])</f>
        <v>150</v>
      </c>
      <c r="S66" s="18">
        <f>SUMIF(Tableau4[Code],Tableau5[[#This Row],[Code]],Tableau4[Gasoil (L)])</f>
        <v>89</v>
      </c>
      <c r="T66" s="18">
        <f>SUMIF(Tableau4[Code],Tableau5[[#This Row],[Code]],Tableau4[Huile 15/40(L)])</f>
        <v>6</v>
      </c>
      <c r="U66" s="18">
        <f>SUMIF(Tableau4[Code],Tableau5[[#This Row],[Code]],Tableau4[Huile 90 (L)])</f>
        <v>0</v>
      </c>
      <c r="V66" s="18">
        <f>SUMIF(Tableau4[Code],Tableau5[[#This Row],[Code]],Tableau4[Huile 10 (L)])</f>
        <v>0</v>
      </c>
      <c r="W66" s="18">
        <f>SUMIF(Tableau4[Code],Tableau5[[#This Row],[Code]],Tableau4[Graisse (kg)])</f>
        <v>0</v>
      </c>
      <c r="X66" s="22">
        <f>Tableau5[[#This Row],[Gasoil (L)]]/Tableau5[[#This Row],[Quantité (H)]]</f>
        <v>0.59333333333333338</v>
      </c>
      <c r="Y66" s="22" t="e">
        <f>Tableau5[[#This Row],[Gasoil (L)]]/SUMIF(Tableau4[Code],Tableau5[[#This Row],[Code]],Tableau4[Km H (Dist)])*100</f>
        <v>#DIV/0!</v>
      </c>
      <c r="Z66" s="68">
        <v>9750</v>
      </c>
      <c r="AA66" s="68">
        <v>1396.66</v>
      </c>
      <c r="AB66" s="68"/>
      <c r="AC66" s="68"/>
      <c r="AD66" s="68" t="str">
        <f>IF(Tableau5[[#This Row],[Code]]=AF66,"ok","nn")</f>
        <v>ok</v>
      </c>
      <c r="AE66" s="68"/>
      <c r="AF66" s="65" t="s">
        <v>105</v>
      </c>
      <c r="AG66">
        <v>9750</v>
      </c>
      <c r="AH66">
        <v>1396.66</v>
      </c>
    </row>
    <row r="67" spans="1:34" x14ac:dyDescent="0.25">
      <c r="A67" s="65" t="s">
        <v>84</v>
      </c>
      <c r="B67" t="s">
        <v>128</v>
      </c>
      <c r="C67" t="s">
        <v>190</v>
      </c>
      <c r="D67">
        <v>166</v>
      </c>
      <c r="E67">
        <v>0</v>
      </c>
      <c r="F67">
        <v>3030</v>
      </c>
      <c r="G67">
        <v>5</v>
      </c>
      <c r="H67">
        <v>0</v>
      </c>
      <c r="I67">
        <v>0</v>
      </c>
      <c r="J67">
        <v>20</v>
      </c>
      <c r="O67" s="18" t="s">
        <v>116</v>
      </c>
      <c r="P67" s="18" t="s">
        <v>87</v>
      </c>
      <c r="Q67" s="18" t="s">
        <v>174</v>
      </c>
      <c r="R67" s="18">
        <f>SUMIF(Tableau4[Code],Tableau5[[#This Row],[Code]],Tableau4[Les heures (H)])</f>
        <v>198</v>
      </c>
      <c r="S67" s="18">
        <f>SUMIF(Tableau4[Code],Tableau5[[#This Row],[Code]],Tableau4[Gasoil (L)])</f>
        <v>289</v>
      </c>
      <c r="T67" s="18">
        <f>SUMIF(Tableau4[Code],Tableau5[[#This Row],[Code]],Tableau4[Huile 15/40(L)])</f>
        <v>25</v>
      </c>
      <c r="U67" s="18">
        <f>SUMIF(Tableau4[Code],Tableau5[[#This Row],[Code]],Tableau4[Huile 90 (L)])</f>
        <v>0</v>
      </c>
      <c r="V67" s="18">
        <f>SUMIF(Tableau4[Code],Tableau5[[#This Row],[Code]],Tableau4[Huile 10 (L)])</f>
        <v>0</v>
      </c>
      <c r="W67" s="18">
        <f>SUMIF(Tableau4[Code],Tableau5[[#This Row],[Code]],Tableau4[Graisse (kg)])</f>
        <v>0</v>
      </c>
      <c r="X67" s="22">
        <f>Tableau5[[#This Row],[Gasoil (L)]]/Tableau5[[#This Row],[Quantité (H)]]</f>
        <v>1.4595959595959596</v>
      </c>
      <c r="Y67" s="22" t="e">
        <f>Tableau5[[#This Row],[Gasoil (L)]]/SUMIF(Tableau4[Code],Tableau5[[#This Row],[Code]],Tableau4[Km H (Dist)])*100</f>
        <v>#DIV/0!</v>
      </c>
      <c r="Z67" s="68">
        <v>11700</v>
      </c>
      <c r="AA67" s="68">
        <v>2890</v>
      </c>
      <c r="AB67" s="68"/>
      <c r="AC67" s="68"/>
      <c r="AD67" s="68" t="str">
        <f>IF(Tableau5[[#This Row],[Code]]=AF67,"ok","nn")</f>
        <v>ok</v>
      </c>
      <c r="AF67" s="65" t="s">
        <v>174</v>
      </c>
      <c r="AG67">
        <v>11700</v>
      </c>
      <c r="AH67">
        <v>2890</v>
      </c>
    </row>
    <row r="68" spans="1:34" x14ac:dyDescent="0.25">
      <c r="A68" s="65" t="s">
        <v>160</v>
      </c>
      <c r="B68" t="s">
        <v>59</v>
      </c>
      <c r="C68" t="s">
        <v>87</v>
      </c>
      <c r="D68">
        <v>144</v>
      </c>
      <c r="E68">
        <v>0</v>
      </c>
      <c r="F68">
        <v>220</v>
      </c>
      <c r="G68">
        <v>0</v>
      </c>
      <c r="H68">
        <v>0</v>
      </c>
      <c r="I68">
        <v>0</v>
      </c>
      <c r="J68">
        <v>0</v>
      </c>
      <c r="O68" s="18" t="s">
        <v>84</v>
      </c>
      <c r="P68" s="18" t="s">
        <v>88</v>
      </c>
      <c r="Q68" s="18" t="s">
        <v>64</v>
      </c>
      <c r="R68" s="18">
        <f>SUMIF(Tableau4[Code],Tableau5[[#This Row],[Code]],Tableau4[Les heures (H)])</f>
        <v>0</v>
      </c>
      <c r="S68" s="18">
        <f>SUMIF(Tableau4[Code],Tableau5[[#This Row],[Code]],Tableau4[Gasoil (L)])</f>
        <v>87</v>
      </c>
      <c r="T68" s="18">
        <f>SUMIF(Tableau4[Code],Tableau5[[#This Row],[Code]],Tableau4[Huile 15/40(L)])</f>
        <v>0</v>
      </c>
      <c r="U68" s="18">
        <f>SUMIF(Tableau4[Code],Tableau5[[#This Row],[Code]],Tableau4[Huile 90 (L)])</f>
        <v>0</v>
      </c>
      <c r="V68" s="18">
        <f>SUMIF(Tableau4[Code],Tableau5[[#This Row],[Code]],Tableau4[Huile 10 (L)])</f>
        <v>0</v>
      </c>
      <c r="W68" s="18">
        <f>SUMIF(Tableau4[Code],Tableau5[[#This Row],[Code]],Tableau4[Graisse (kg)])</f>
        <v>0</v>
      </c>
      <c r="X68" s="22" t="e">
        <f>Tableau5[[#This Row],[Gasoil (L)]]/Tableau5[[#This Row],[Quantité (H)]]</f>
        <v>#DIV/0!</v>
      </c>
      <c r="Y68" s="22" t="e">
        <f>Tableau5[[#This Row],[Gasoil (L)]]/SUMIF(Tableau4[Code],Tableau5[[#This Row],[Code]],Tableau4[Km H (Dist)])*100</f>
        <v>#DIV/0!</v>
      </c>
      <c r="Z68" s="68">
        <v>9600</v>
      </c>
      <c r="AA68" s="68">
        <v>870</v>
      </c>
      <c r="AB68" s="68"/>
      <c r="AC68" s="68"/>
      <c r="AD68" s="68" t="str">
        <f>IF(Tableau5[[#This Row],[Code]]=AF68,"ok","nn")</f>
        <v>ok</v>
      </c>
      <c r="AF68" s="65" t="s">
        <v>64</v>
      </c>
      <c r="AG68">
        <v>9600</v>
      </c>
      <c r="AH68">
        <v>870</v>
      </c>
    </row>
    <row r="69" spans="1:34" x14ac:dyDescent="0.25">
      <c r="A69" s="65" t="s">
        <v>116</v>
      </c>
      <c r="B69" t="s">
        <v>60</v>
      </c>
      <c r="C69" t="s">
        <v>87</v>
      </c>
      <c r="D69">
        <v>171</v>
      </c>
      <c r="E69">
        <v>0</v>
      </c>
      <c r="F69">
        <v>69</v>
      </c>
      <c r="G69">
        <v>0</v>
      </c>
      <c r="H69">
        <v>0</v>
      </c>
      <c r="I69">
        <v>0</v>
      </c>
      <c r="J69">
        <v>0</v>
      </c>
      <c r="O69" s="18" t="s">
        <v>197</v>
      </c>
      <c r="P69" s="18" t="s">
        <v>88</v>
      </c>
      <c r="Q69" s="18" t="s">
        <v>65</v>
      </c>
      <c r="R69" s="18">
        <f>SUMIF(Tableau4[Code],Tableau5[[#This Row],[Code]],Tableau4[Les heures (H)])</f>
        <v>0</v>
      </c>
      <c r="S69" s="18">
        <f>SUMIF(Tableau4[Code],Tableau5[[#This Row],[Code]],Tableau4[Gasoil (L)])</f>
        <v>0</v>
      </c>
      <c r="T69" s="18">
        <f>SUMIF(Tableau4[Code],Tableau5[[#This Row],[Code]],Tableau4[Huile 15/40(L)])</f>
        <v>0</v>
      </c>
      <c r="U69" s="18">
        <f>SUMIF(Tableau4[Code],Tableau5[[#This Row],[Code]],Tableau4[Huile 90 (L)])</f>
        <v>0</v>
      </c>
      <c r="V69" s="18">
        <f>SUMIF(Tableau4[Code],Tableau5[[#This Row],[Code]],Tableau4[Huile 10 (L)])</f>
        <v>0</v>
      </c>
      <c r="W69" s="18">
        <f>SUMIF(Tableau4[Code],Tableau5[[#This Row],[Code]],Tableau4[Graisse (kg)])</f>
        <v>0</v>
      </c>
      <c r="X69" s="22" t="e">
        <f>Tableau5[[#This Row],[Gasoil (L)]]/Tableau5[[#This Row],[Quantité (H)]]</f>
        <v>#DIV/0!</v>
      </c>
      <c r="Y69" s="22" t="e">
        <f>Tableau5[[#This Row],[Gasoil (L)]]/SUMIF(Tableau4[Code],Tableau5[[#This Row],[Code]],Tableau4[Km H (Dist)])*100</f>
        <v>#DIV/0!</v>
      </c>
      <c r="Z69" s="68">
        <v>9600</v>
      </c>
      <c r="AA69" s="68">
        <v>7889.68</v>
      </c>
      <c r="AB69" s="68"/>
      <c r="AC69" s="68"/>
      <c r="AD69" s="68" t="str">
        <f>IF(Tableau5[[#This Row],[Code]]=AF69,"ok","nn")</f>
        <v>ok</v>
      </c>
      <c r="AF69" s="65" t="s">
        <v>65</v>
      </c>
      <c r="AG69">
        <v>9600</v>
      </c>
      <c r="AH69">
        <v>7889.68</v>
      </c>
    </row>
    <row r="70" spans="1:34" x14ac:dyDescent="0.25">
      <c r="A70" s="65" t="s">
        <v>160</v>
      </c>
      <c r="B70" t="s">
        <v>60</v>
      </c>
      <c r="C70" t="s">
        <v>191</v>
      </c>
      <c r="D70">
        <v>90</v>
      </c>
      <c r="E70">
        <v>0</v>
      </c>
      <c r="F70">
        <v>411</v>
      </c>
      <c r="G70">
        <v>0</v>
      </c>
      <c r="H70">
        <v>0</v>
      </c>
      <c r="I70">
        <v>0</v>
      </c>
      <c r="J70">
        <v>0</v>
      </c>
      <c r="O70" s="18" t="s">
        <v>160</v>
      </c>
      <c r="P70" s="18" t="s">
        <v>88</v>
      </c>
      <c r="Q70" s="18" t="s">
        <v>66</v>
      </c>
      <c r="R70" s="18">
        <f>SUMIF(Tableau4[Code],Tableau5[[#This Row],[Code]],Tableau4[Les heures (H)])</f>
        <v>0</v>
      </c>
      <c r="S70" s="18">
        <f>SUMIF(Tableau4[Code],Tableau5[[#This Row],[Code]],Tableau4[Gasoil (L)])</f>
        <v>36</v>
      </c>
      <c r="T70" s="18">
        <f>SUMIF(Tableau4[Code],Tableau5[[#This Row],[Code]],Tableau4[Huile 15/40(L)])</f>
        <v>0</v>
      </c>
      <c r="U70" s="18">
        <f>SUMIF(Tableau4[Code],Tableau5[[#This Row],[Code]],Tableau4[Huile 90 (L)])</f>
        <v>0</v>
      </c>
      <c r="V70" s="18">
        <f>SUMIF(Tableau4[Code],Tableau5[[#This Row],[Code]],Tableau4[Huile 10 (L)])</f>
        <v>0</v>
      </c>
      <c r="W70" s="18">
        <f>SUMIF(Tableau4[Code],Tableau5[[#This Row],[Code]],Tableau4[Graisse (kg)])</f>
        <v>0</v>
      </c>
      <c r="X70" s="22" t="e">
        <f>Tableau5[[#This Row],[Gasoil (L)]]/Tableau5[[#This Row],[Quantité (H)]]</f>
        <v>#DIV/0!</v>
      </c>
      <c r="Y70" s="22" t="e">
        <f>Tableau5[[#This Row],[Gasoil (L)]]/SUMIF(Tableau4[Code],Tableau5[[#This Row],[Code]],Tableau4[Km H (Dist)])*100</f>
        <v>#DIV/0!</v>
      </c>
      <c r="Z70" s="68">
        <v>9600</v>
      </c>
      <c r="AA70" s="68">
        <v>16937.32</v>
      </c>
      <c r="AB70" s="68"/>
      <c r="AC70" s="68"/>
      <c r="AD70" s="68" t="str">
        <f>IF(Tableau5[[#This Row],[Code]]=AF70,"ok","nn")</f>
        <v>ok</v>
      </c>
      <c r="AF70" s="65" t="s">
        <v>66</v>
      </c>
      <c r="AG70">
        <v>9600</v>
      </c>
      <c r="AH70">
        <v>16937.32</v>
      </c>
    </row>
    <row r="71" spans="1:34" x14ac:dyDescent="0.25">
      <c r="A71" s="65" t="s">
        <v>116</v>
      </c>
      <c r="B71" t="s">
        <v>174</v>
      </c>
      <c r="C71" t="s">
        <v>87</v>
      </c>
      <c r="D71">
        <v>45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O71" s="18" t="s">
        <v>160</v>
      </c>
      <c r="P71" s="18" t="s">
        <v>88</v>
      </c>
      <c r="Q71" s="18" t="s">
        <v>67</v>
      </c>
      <c r="R71" s="18">
        <f>SUMIF(Tableau4[Code],Tableau5[[#This Row],[Code]],Tableau4[Les heures (H)])</f>
        <v>180</v>
      </c>
      <c r="S71" s="18">
        <f>SUMIF(Tableau4[Code],Tableau5[[#This Row],[Code]],Tableau4[Gasoil (L)])</f>
        <v>139</v>
      </c>
      <c r="T71" s="18">
        <f>SUMIF(Tableau4[Code],Tableau5[[#This Row],[Code]],Tableau4[Huile 15/40(L)])</f>
        <v>0</v>
      </c>
      <c r="U71" s="18">
        <f>SUMIF(Tableau4[Code],Tableau5[[#This Row],[Code]],Tableau4[Huile 90 (L)])</f>
        <v>0</v>
      </c>
      <c r="V71" s="18">
        <f>SUMIF(Tableau4[Code],Tableau5[[#This Row],[Code]],Tableau4[Huile 10 (L)])</f>
        <v>0</v>
      </c>
      <c r="W71" s="18">
        <f>SUMIF(Tableau4[Code],Tableau5[[#This Row],[Code]],Tableau4[Graisse (kg)])</f>
        <v>0</v>
      </c>
      <c r="X71" s="22">
        <f>Tableau5[[#This Row],[Gasoil (L)]]/Tableau5[[#This Row],[Quantité (H)]]</f>
        <v>0.77222222222222225</v>
      </c>
      <c r="Y71" s="22">
        <f>Tableau5[[#This Row],[Gasoil (L)]]/SUMIF(Tableau4[Code],Tableau5[[#This Row],[Code]],Tableau4[Km H (Dist)])*100</f>
        <v>7.808988764044944</v>
      </c>
      <c r="Z71" s="68">
        <v>6000</v>
      </c>
      <c r="AA71" s="68">
        <v>4291.82</v>
      </c>
      <c r="AB71" s="68"/>
      <c r="AC71" s="68"/>
      <c r="AD71" s="68" t="str">
        <f>IF(Tableau5[[#This Row],[Code]]=AF71,"ok","nn")</f>
        <v>ok</v>
      </c>
      <c r="AF71" s="65" t="s">
        <v>67</v>
      </c>
      <c r="AG71">
        <v>6000</v>
      </c>
      <c r="AH71">
        <v>4291.82</v>
      </c>
    </row>
    <row r="72" spans="1:34" x14ac:dyDescent="0.25">
      <c r="A72" s="65" t="s">
        <v>160</v>
      </c>
      <c r="B72" t="s">
        <v>33</v>
      </c>
      <c r="C72" t="s">
        <v>191</v>
      </c>
      <c r="D72">
        <v>76</v>
      </c>
      <c r="E72">
        <v>0</v>
      </c>
      <c r="F72">
        <v>455</v>
      </c>
      <c r="G72">
        <v>0</v>
      </c>
      <c r="H72">
        <v>0</v>
      </c>
      <c r="I72">
        <v>0</v>
      </c>
      <c r="J72">
        <v>0</v>
      </c>
      <c r="O72" s="18" t="s">
        <v>197</v>
      </c>
      <c r="P72" s="18" t="s">
        <v>88</v>
      </c>
      <c r="Q72" s="18" t="s">
        <v>68</v>
      </c>
      <c r="R72" s="18">
        <f>SUMIF(Tableau4[Code],Tableau5[[#This Row],[Code]],Tableau4[Les heures (H)])</f>
        <v>0</v>
      </c>
      <c r="S72" s="18">
        <f>SUMIF(Tableau4[Code],Tableau5[[#This Row],[Code]],Tableau4[Gasoil (L)])</f>
        <v>0</v>
      </c>
      <c r="T72" s="18">
        <f>SUMIF(Tableau4[Code],Tableau5[[#This Row],[Code]],Tableau4[Huile 15/40(L)])</f>
        <v>0</v>
      </c>
      <c r="U72" s="18">
        <f>SUMIF(Tableau4[Code],Tableau5[[#This Row],[Code]],Tableau4[Huile 90 (L)])</f>
        <v>0</v>
      </c>
      <c r="V72" s="18">
        <f>SUMIF(Tableau4[Code],Tableau5[[#This Row],[Code]],Tableau4[Huile 10 (L)])</f>
        <v>0</v>
      </c>
      <c r="W72" s="18">
        <f>SUMIF(Tableau4[Code],Tableau5[[#This Row],[Code]],Tableau4[Graisse (kg)])</f>
        <v>0</v>
      </c>
      <c r="X72" s="22" t="e">
        <f>Tableau5[[#This Row],[Gasoil (L)]]/Tableau5[[#This Row],[Quantité (H)]]</f>
        <v>#DIV/0!</v>
      </c>
      <c r="Y72" s="22" t="e">
        <f>Tableau5[[#This Row],[Gasoil (L)]]/SUMIF(Tableau4[Code],Tableau5[[#This Row],[Code]],Tableau4[Km H (Dist)])*100</f>
        <v>#DIV/0!</v>
      </c>
      <c r="Z72" s="68">
        <v>7200</v>
      </c>
      <c r="AA72" s="68"/>
      <c r="AB72" s="68"/>
      <c r="AC72" s="68"/>
      <c r="AD72" s="68" t="str">
        <f>IF(Tableau5[[#This Row],[Code]]=AF72,"ok","nn")</f>
        <v>ok</v>
      </c>
      <c r="AF72" s="65" t="s">
        <v>68</v>
      </c>
      <c r="AG72">
        <v>7200</v>
      </c>
    </row>
    <row r="73" spans="1:34" x14ac:dyDescent="0.25">
      <c r="A73" s="65" t="s">
        <v>116</v>
      </c>
      <c r="B73" t="s">
        <v>34</v>
      </c>
      <c r="C73" t="s">
        <v>191</v>
      </c>
      <c r="D73">
        <v>27</v>
      </c>
      <c r="E73">
        <v>0</v>
      </c>
      <c r="F73">
        <v>75</v>
      </c>
      <c r="G73">
        <v>5</v>
      </c>
      <c r="H73">
        <v>0</v>
      </c>
      <c r="I73">
        <v>0</v>
      </c>
      <c r="J73">
        <v>6</v>
      </c>
      <c r="O73" s="18" t="s">
        <v>116</v>
      </c>
      <c r="P73" s="18" t="s">
        <v>88</v>
      </c>
      <c r="Q73" s="18" t="s">
        <v>69</v>
      </c>
      <c r="R73" s="18">
        <f>SUMIF(Tableau4[Code],Tableau5[[#This Row],[Code]],Tableau4[Les heures (H)])</f>
        <v>185</v>
      </c>
      <c r="S73" s="18">
        <f>SUMIF(Tableau4[Code],Tableau5[[#This Row],[Code]],Tableau4[Gasoil (L)])</f>
        <v>278</v>
      </c>
      <c r="T73" s="18">
        <f>SUMIF(Tableau4[Code],Tableau5[[#This Row],[Code]],Tableau4[Huile 15/40(L)])</f>
        <v>0</v>
      </c>
      <c r="U73" s="18">
        <f>SUMIF(Tableau4[Code],Tableau5[[#This Row],[Code]],Tableau4[Huile 90 (L)])</f>
        <v>0</v>
      </c>
      <c r="V73" s="18">
        <f>SUMIF(Tableau4[Code],Tableau5[[#This Row],[Code]],Tableau4[Huile 10 (L)])</f>
        <v>0</v>
      </c>
      <c r="W73" s="18">
        <f>SUMIF(Tableau4[Code],Tableau5[[#This Row],[Code]],Tableau4[Graisse (kg)])</f>
        <v>0</v>
      </c>
      <c r="X73" s="22">
        <f>Tableau5[[#This Row],[Gasoil (L)]]/Tableau5[[#This Row],[Quantité (H)]]</f>
        <v>1.5027027027027027</v>
      </c>
      <c r="Y73" s="22">
        <f>Tableau5[[#This Row],[Gasoil (L)]]/SUMIF(Tableau4[Code],Tableau5[[#This Row],[Code]],Tableau4[Km H (Dist)])*100</f>
        <v>5.3328217916746592</v>
      </c>
      <c r="Z73" s="68">
        <v>7362</v>
      </c>
      <c r="AA73" s="68">
        <v>3394.26</v>
      </c>
      <c r="AB73" s="68"/>
      <c r="AC73" s="68"/>
      <c r="AD73" s="68" t="str">
        <f>IF(Tableau5[[#This Row],[Code]]=AF73,"ok","nn")</f>
        <v>ok</v>
      </c>
      <c r="AF73" s="65" t="s">
        <v>69</v>
      </c>
      <c r="AG73">
        <v>7362</v>
      </c>
      <c r="AH73">
        <v>3394.26</v>
      </c>
    </row>
    <row r="74" spans="1:34" x14ac:dyDescent="0.25">
      <c r="A74" s="65" t="s">
        <v>160</v>
      </c>
      <c r="B74" t="s">
        <v>34</v>
      </c>
      <c r="C74" t="s">
        <v>191</v>
      </c>
      <c r="D74">
        <v>25</v>
      </c>
      <c r="E74">
        <v>0</v>
      </c>
      <c r="F74">
        <v>548</v>
      </c>
      <c r="G74">
        <v>15</v>
      </c>
      <c r="H74">
        <v>0</v>
      </c>
      <c r="I74">
        <v>20</v>
      </c>
      <c r="J74">
        <v>0</v>
      </c>
      <c r="O74" s="18" t="s">
        <v>84</v>
      </c>
      <c r="P74" s="18" t="s">
        <v>88</v>
      </c>
      <c r="Q74" s="18" t="s">
        <v>70</v>
      </c>
      <c r="R74" s="18">
        <f>SUMIF(Tableau4[Code],Tableau5[[#This Row],[Code]],Tableau4[Les heures (H)])</f>
        <v>0</v>
      </c>
      <c r="S74" s="18">
        <f>SUMIF(Tableau4[Code],Tableau5[[#This Row],[Code]],Tableau4[Gasoil (L)])</f>
        <v>325</v>
      </c>
      <c r="T74" s="18">
        <f>SUMIF(Tableau4[Code],Tableau5[[#This Row],[Code]],Tableau4[Huile 15/40(L)])</f>
        <v>0</v>
      </c>
      <c r="U74" s="18">
        <f>SUMIF(Tableau4[Code],Tableau5[[#This Row],[Code]],Tableau4[Huile 90 (L)])</f>
        <v>0</v>
      </c>
      <c r="V74" s="18">
        <f>SUMIF(Tableau4[Code],Tableau5[[#This Row],[Code]],Tableau4[Huile 10 (L)])</f>
        <v>0</v>
      </c>
      <c r="W74" s="18">
        <f>SUMIF(Tableau4[Code],Tableau5[[#This Row],[Code]],Tableau4[Graisse (kg)])</f>
        <v>0</v>
      </c>
      <c r="X74" s="22" t="e">
        <f>Tableau5[[#This Row],[Gasoil (L)]]/Tableau5[[#This Row],[Quantité (H)]]</f>
        <v>#DIV/0!</v>
      </c>
      <c r="Y74" s="22">
        <f>Tableau5[[#This Row],[Gasoil (L)]]/SUMIF(Tableau4[Code],Tableau5[[#This Row],[Code]],Tableau4[Km H (Dist)])*100</f>
        <v>6.9862424763542572</v>
      </c>
      <c r="Z74" s="68">
        <v>7800</v>
      </c>
      <c r="AA74" s="68">
        <v>3280.93</v>
      </c>
      <c r="AB74" s="68"/>
      <c r="AC74" s="68"/>
      <c r="AD74" s="68" t="str">
        <f>IF(Tableau5[[#This Row],[Code]]=AF74,"ok","nn")</f>
        <v>ok</v>
      </c>
      <c r="AF74" s="65" t="s">
        <v>70</v>
      </c>
      <c r="AG74">
        <v>7800</v>
      </c>
      <c r="AH74">
        <v>3280.93</v>
      </c>
    </row>
    <row r="75" spans="1:34" x14ac:dyDescent="0.25">
      <c r="A75" s="65" t="s">
        <v>84</v>
      </c>
      <c r="B75" t="s">
        <v>63</v>
      </c>
      <c r="C75" t="s">
        <v>87</v>
      </c>
      <c r="D75">
        <v>150</v>
      </c>
      <c r="E75">
        <v>0</v>
      </c>
      <c r="F75">
        <v>315</v>
      </c>
      <c r="G75">
        <v>15</v>
      </c>
      <c r="H75">
        <v>0</v>
      </c>
      <c r="I75">
        <v>0</v>
      </c>
      <c r="J75">
        <v>0</v>
      </c>
      <c r="O75" s="18" t="s">
        <v>116</v>
      </c>
      <c r="P75" s="18" t="s">
        <v>88</v>
      </c>
      <c r="Q75" s="18" t="s">
        <v>71</v>
      </c>
      <c r="R75" s="18">
        <f>SUMIF(Tableau4[Code],Tableau5[[#This Row],[Code]],Tableau4[Les heures (H)])</f>
        <v>189</v>
      </c>
      <c r="S75" s="18">
        <f>SUMIF(Tableau4[Code],Tableau5[[#This Row],[Code]],Tableau4[Gasoil (L)])</f>
        <v>343</v>
      </c>
      <c r="T75" s="18">
        <f>SUMIF(Tableau4[Code],Tableau5[[#This Row],[Code]],Tableau4[Huile 15/40(L)])</f>
        <v>0</v>
      </c>
      <c r="U75" s="18">
        <f>SUMIF(Tableau4[Code],Tableau5[[#This Row],[Code]],Tableau4[Huile 90 (L)])</f>
        <v>0</v>
      </c>
      <c r="V75" s="18">
        <f>SUMIF(Tableau4[Code],Tableau5[[#This Row],[Code]],Tableau4[Huile 10 (L)])</f>
        <v>0</v>
      </c>
      <c r="W75" s="18">
        <f>SUMIF(Tableau4[Code],Tableau5[[#This Row],[Code]],Tableau4[Graisse (kg)])</f>
        <v>0</v>
      </c>
      <c r="X75" s="22">
        <f>Tableau5[[#This Row],[Gasoil (L)]]/Tableau5[[#This Row],[Quantité (H)]]</f>
        <v>1.8148148148148149</v>
      </c>
      <c r="Y75" s="22">
        <f>Tableau5[[#This Row],[Gasoil (L)]]/SUMIF(Tableau4[Code],Tableau5[[#This Row],[Code]],Tableau4[Km H (Dist)])*100</f>
        <v>3.2669778074102296</v>
      </c>
      <c r="Z75" s="68">
        <v>7800</v>
      </c>
      <c r="AA75" s="68">
        <v>3430</v>
      </c>
      <c r="AB75" s="68"/>
      <c r="AC75" s="68"/>
      <c r="AD75" s="68" t="str">
        <f>IF(Tableau5[[#This Row],[Code]]=AF75,"ok","nn")</f>
        <v>ok</v>
      </c>
      <c r="AF75" t="s">
        <v>71</v>
      </c>
      <c r="AG75">
        <v>7800</v>
      </c>
      <c r="AH75">
        <v>3430</v>
      </c>
    </row>
    <row r="76" spans="1:34" x14ac:dyDescent="0.25">
      <c r="A76" s="65" t="s">
        <v>84</v>
      </c>
      <c r="B76" t="s">
        <v>105</v>
      </c>
      <c r="C76" t="s">
        <v>87</v>
      </c>
      <c r="D76">
        <v>150</v>
      </c>
      <c r="E76">
        <v>0</v>
      </c>
      <c r="F76">
        <v>89</v>
      </c>
      <c r="G76">
        <v>6</v>
      </c>
      <c r="H76">
        <v>0</v>
      </c>
      <c r="I76">
        <v>0</v>
      </c>
      <c r="J76">
        <v>0</v>
      </c>
      <c r="O76" s="18" t="s">
        <v>84</v>
      </c>
      <c r="P76" s="18" t="s">
        <v>88</v>
      </c>
      <c r="Q76" s="18" t="s">
        <v>72</v>
      </c>
      <c r="R76" s="18">
        <f>SUMIF(Tableau4[Code],Tableau5[[#This Row],[Code]],Tableau4[Les heures (H)])</f>
        <v>0</v>
      </c>
      <c r="S76" s="18">
        <f>SUMIF(Tableau4[Code],Tableau5[[#This Row],[Code]],Tableau4[Gasoil (L)])</f>
        <v>127</v>
      </c>
      <c r="T76" s="18">
        <f>SUMIF(Tableau4[Code],Tableau5[[#This Row],[Code]],Tableau4[Huile 15/40(L)])</f>
        <v>0</v>
      </c>
      <c r="U76" s="18">
        <f>SUMIF(Tableau4[Code],Tableau5[[#This Row],[Code]],Tableau4[Huile 90 (L)])</f>
        <v>0</v>
      </c>
      <c r="V76" s="18">
        <f>SUMIF(Tableau4[Code],Tableau5[[#This Row],[Code]],Tableau4[Huile 10 (L)])</f>
        <v>0</v>
      </c>
      <c r="W76" s="18">
        <f>SUMIF(Tableau4[Code],Tableau5[[#This Row],[Code]],Tableau4[Graisse (kg)])</f>
        <v>0</v>
      </c>
      <c r="X76" s="22" t="e">
        <f>Tableau5[[#This Row],[Gasoil (L)]]/Tableau5[[#This Row],[Quantité (H)]]</f>
        <v>#DIV/0!</v>
      </c>
      <c r="Y76" s="22">
        <f>Tableau5[[#This Row],[Gasoil (L)]]/SUMIF(Tableau4[Code],Tableau5[[#This Row],[Code]],Tableau4[Km H (Dist)])*100</f>
        <v>0.13127700481693577</v>
      </c>
      <c r="Z76" s="68">
        <v>7500</v>
      </c>
      <c r="AA76" s="68">
        <v>2398.3200000000002</v>
      </c>
      <c r="AB76" s="68"/>
      <c r="AC76" s="68"/>
      <c r="AD76" s="68" t="str">
        <f>IF(Tableau5[[#This Row],[Code]]=AF76,"ok","nn")</f>
        <v>ok</v>
      </c>
      <c r="AF76" t="s">
        <v>72</v>
      </c>
      <c r="AG76">
        <v>7500</v>
      </c>
      <c r="AH76">
        <v>2398.3200000000002</v>
      </c>
    </row>
    <row r="77" spans="1:34" x14ac:dyDescent="0.25">
      <c r="A77" s="65" t="s">
        <v>160</v>
      </c>
      <c r="B77" t="s">
        <v>174</v>
      </c>
      <c r="C77" t="s">
        <v>191</v>
      </c>
      <c r="D77">
        <v>153</v>
      </c>
      <c r="E77">
        <v>0</v>
      </c>
      <c r="F77">
        <v>289</v>
      </c>
      <c r="G77">
        <v>25</v>
      </c>
      <c r="H77">
        <v>0</v>
      </c>
      <c r="I77">
        <v>0</v>
      </c>
      <c r="J77">
        <v>0</v>
      </c>
      <c r="O77" s="18" t="s">
        <v>159</v>
      </c>
      <c r="P77" s="18" t="s">
        <v>88</v>
      </c>
      <c r="Q77" s="18" t="s">
        <v>176</v>
      </c>
      <c r="R77" s="18">
        <f>SUMIF(Tableau4[Code],Tableau5[[#This Row],[Code]],Tableau4[Les heures (H)])</f>
        <v>184</v>
      </c>
      <c r="S77" s="18">
        <f>SUMIF(Tableau4[Code],Tableau5[[#This Row],[Code]],Tableau4[Gasoil (L)])</f>
        <v>144.97999999999999</v>
      </c>
      <c r="T77" s="18">
        <f>SUMIF(Tableau4[Code],Tableau5[[#This Row],[Code]],Tableau4[Huile 15/40(L)])</f>
        <v>0</v>
      </c>
      <c r="U77" s="18">
        <f>SUMIF(Tableau4[Code],Tableau5[[#This Row],[Code]],Tableau4[Huile 90 (L)])</f>
        <v>0</v>
      </c>
      <c r="V77" s="18">
        <f>SUMIF(Tableau4[Code],Tableau5[[#This Row],[Code]],Tableau4[Huile 10 (L)])</f>
        <v>0</v>
      </c>
      <c r="W77" s="18">
        <f>SUMIF(Tableau4[Code],Tableau5[[#This Row],[Code]],Tableau4[Graisse (kg)])</f>
        <v>0</v>
      </c>
      <c r="X77" s="22">
        <f>Tableau5[[#This Row],[Gasoil (L)]]/Tableau5[[#This Row],[Quantité (H)]]</f>
        <v>0.78793478260869565</v>
      </c>
      <c r="Y77" s="22" t="e">
        <f>Tableau5[[#This Row],[Gasoil (L)]]/SUMIF(Tableau4[Code],Tableau5[[#This Row],[Code]],Tableau4[Km H (Dist)])*100</f>
        <v>#DIV/0!</v>
      </c>
      <c r="Z77" s="68">
        <v>6072</v>
      </c>
      <c r="AA77" s="68">
        <v>1450</v>
      </c>
      <c r="AB77" s="68"/>
      <c r="AC77" s="68"/>
      <c r="AD77" s="68" t="str">
        <f>IF(Tableau5[[#This Row],[Code]]=AF77,"ok","nn")</f>
        <v>ok</v>
      </c>
      <c r="AF77" t="s">
        <v>73</v>
      </c>
      <c r="AG77">
        <v>6072</v>
      </c>
      <c r="AH77">
        <v>1450</v>
      </c>
    </row>
    <row r="78" spans="1:34" x14ac:dyDescent="0.25">
      <c r="A78" s="65" t="s">
        <v>84</v>
      </c>
      <c r="B78" t="s">
        <v>64</v>
      </c>
      <c r="C78">
        <v>0</v>
      </c>
      <c r="D78">
        <v>0</v>
      </c>
      <c r="E78">
        <v>0</v>
      </c>
      <c r="F78">
        <v>87</v>
      </c>
      <c r="G78">
        <v>0</v>
      </c>
      <c r="H78">
        <v>0</v>
      </c>
      <c r="I78">
        <v>0</v>
      </c>
      <c r="J78">
        <v>0</v>
      </c>
      <c r="O78" s="18" t="s">
        <v>116</v>
      </c>
      <c r="P78" s="18" t="s">
        <v>88</v>
      </c>
      <c r="Q78" s="18" t="s">
        <v>74</v>
      </c>
      <c r="R78" s="68">
        <f>SUMIF(Tableau4[Code],Tableau5[[#This Row],[Code]],Tableau4[Les heures (H)])</f>
        <v>100</v>
      </c>
      <c r="S78" s="68">
        <f>SUMIF(Tableau4[Code],Tableau5[[#This Row],[Code]],Tableau4[Gasoil (L)])</f>
        <v>188</v>
      </c>
      <c r="T78" s="68">
        <f>SUMIF(Tableau4[Code],Tableau5[[#This Row],[Code]],Tableau4[Huile 15/40(L)])</f>
        <v>0</v>
      </c>
      <c r="U78" s="68">
        <f>SUMIF(Tableau4[Code],Tableau5[[#This Row],[Code]],Tableau4[Huile 90 (L)])</f>
        <v>0</v>
      </c>
      <c r="V78" s="68">
        <f>SUMIF(Tableau4[Code],Tableau5[[#This Row],[Code]],Tableau4[Huile 10 (L)])</f>
        <v>0</v>
      </c>
      <c r="W78" s="68">
        <f>SUMIF(Tableau4[Code],Tableau5[[#This Row],[Code]],Tableau4[Graisse (kg)])</f>
        <v>0</v>
      </c>
      <c r="X78" s="22">
        <f>Tableau5[[#This Row],[Gasoil (L)]]/Tableau5[[#This Row],[Quantité (H)]]</f>
        <v>1.88</v>
      </c>
      <c r="Y78" s="22">
        <f>Tableau5[[#This Row],[Gasoil (L)]]/SUMIF(Tableau4[Code],Tableau5[[#This Row],[Code]],Tableau4[Km H (Dist)])*100</f>
        <v>0.78333333333333333</v>
      </c>
      <c r="Z78" s="68">
        <v>3300</v>
      </c>
      <c r="AA78" s="68">
        <v>1090</v>
      </c>
      <c r="AB78" s="68"/>
      <c r="AC78" s="68"/>
      <c r="AD78" s="68" t="str">
        <f>IF(Tableau5[[#This Row],[Code]]=AF78,"ok","nn")</f>
        <v>ok</v>
      </c>
      <c r="AF78" t="s">
        <v>74</v>
      </c>
      <c r="AG78">
        <v>3300</v>
      </c>
      <c r="AH78">
        <v>1090</v>
      </c>
    </row>
    <row r="79" spans="1:34" x14ac:dyDescent="0.25">
      <c r="A79" s="65" t="s">
        <v>160</v>
      </c>
      <c r="B79" t="s">
        <v>64</v>
      </c>
      <c r="C79" t="s">
        <v>87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O79" s="18" t="s">
        <v>84</v>
      </c>
      <c r="P79" s="18" t="s">
        <v>88</v>
      </c>
      <c r="Q79" s="18" t="s">
        <v>75</v>
      </c>
      <c r="R79" s="68">
        <f>SUMIF(Tableau4[Code],Tableau5[[#This Row],[Code]],Tableau4[Les heures (H)])</f>
        <v>204</v>
      </c>
      <c r="S79" s="68">
        <f>SUMIF(Tableau4[Code],Tableau5[[#This Row],[Code]],Tableau4[Gasoil (L)])</f>
        <v>245</v>
      </c>
      <c r="T79" s="68">
        <f>SUMIF(Tableau4[Code],Tableau5[[#This Row],[Code]],Tableau4[Huile 15/40(L)])</f>
        <v>0</v>
      </c>
      <c r="U79" s="68">
        <f>SUMIF(Tableau4[Code],Tableau5[[#This Row],[Code]],Tableau4[Huile 90 (L)])</f>
        <v>0</v>
      </c>
      <c r="V79" s="68">
        <f>SUMIF(Tableau4[Code],Tableau5[[#This Row],[Code]],Tableau4[Huile 10 (L)])</f>
        <v>0</v>
      </c>
      <c r="W79" s="68">
        <f>SUMIF(Tableau4[Code],Tableau5[[#This Row],[Code]],Tableau4[Graisse (kg)])</f>
        <v>0</v>
      </c>
      <c r="X79" s="22">
        <f>Tableau5[[#This Row],[Gasoil (L)]]/Tableau5[[#This Row],[Quantité (H)]]</f>
        <v>1.2009803921568627</v>
      </c>
      <c r="Y79" s="22">
        <f>Tableau5[[#This Row],[Gasoil (L)]]/SUMIF(Tableau4[Code],Tableau5[[#This Row],[Code]],Tableau4[Km H (Dist)])*100</f>
        <v>6.0196560196560194</v>
      </c>
      <c r="Z79" s="68">
        <v>6749.4</v>
      </c>
      <c r="AA79" s="68">
        <v>2100</v>
      </c>
      <c r="AB79" s="68"/>
      <c r="AC79" s="68"/>
      <c r="AD79" s="68" t="str">
        <f>IF(Tableau5[[#This Row],[Code]]=AF79,"ok","nn")</f>
        <v>ok</v>
      </c>
      <c r="AF79" t="s">
        <v>75</v>
      </c>
      <c r="AG79">
        <v>6749.4</v>
      </c>
      <c r="AH79">
        <v>2100</v>
      </c>
    </row>
    <row r="80" spans="1:34" x14ac:dyDescent="0.25">
      <c r="A80" s="65" t="s">
        <v>160</v>
      </c>
      <c r="B80" t="s">
        <v>66</v>
      </c>
      <c r="C80" t="s">
        <v>87</v>
      </c>
      <c r="D80">
        <v>0</v>
      </c>
      <c r="E80">
        <v>0</v>
      </c>
      <c r="F80">
        <v>36</v>
      </c>
      <c r="G80">
        <v>0</v>
      </c>
      <c r="H80">
        <v>0</v>
      </c>
      <c r="I80">
        <v>0</v>
      </c>
      <c r="J80">
        <v>0</v>
      </c>
      <c r="O80" s="18" t="s">
        <v>84</v>
      </c>
      <c r="P80" s="18" t="s">
        <v>88</v>
      </c>
      <c r="Q80" s="18" t="s">
        <v>76</v>
      </c>
      <c r="R80" s="68">
        <f>SUMIF(Tableau4[Code],Tableau5[[#This Row],[Code]],Tableau4[Les heures (H)])</f>
        <v>184</v>
      </c>
      <c r="S80" s="68">
        <f>SUMIF(Tableau4[Code],Tableau5[[#This Row],[Code]],Tableau4[Gasoil (L)])</f>
        <v>159.53</v>
      </c>
      <c r="T80" s="68">
        <f>SUMIF(Tableau4[Code],Tableau5[[#This Row],[Code]],Tableau4[Huile 15/40(L)])</f>
        <v>0</v>
      </c>
      <c r="U80" s="68">
        <f>SUMIF(Tableau4[Code],Tableau5[[#This Row],[Code]],Tableau4[Huile 90 (L)])</f>
        <v>0</v>
      </c>
      <c r="V80" s="68">
        <f>SUMIF(Tableau4[Code],Tableau5[[#This Row],[Code]],Tableau4[Huile 10 (L)])</f>
        <v>0</v>
      </c>
      <c r="W80" s="68">
        <f>SUMIF(Tableau4[Code],Tableau5[[#This Row],[Code]],Tableau4[Graisse (kg)])</f>
        <v>0</v>
      </c>
      <c r="X80" s="22">
        <f>Tableau5[[#This Row],[Gasoil (L)]]/Tableau5[[#This Row],[Quantité (H)]]</f>
        <v>0.86701086956521745</v>
      </c>
      <c r="Y80" s="22">
        <f>Tableau5[[#This Row],[Gasoil (L)]]/SUMIF(Tableau4[Code],Tableau5[[#This Row],[Code]],Tableau4[Km H (Dist)])*100</f>
        <v>8.004515805318615</v>
      </c>
      <c r="Z80" s="68">
        <v>7800</v>
      </c>
      <c r="AA80" s="68">
        <v>1781.66</v>
      </c>
      <c r="AB80" s="68"/>
      <c r="AC80" s="68"/>
      <c r="AD80" s="68" t="str">
        <f>IF(Tableau5[[#This Row],[Code]]=AF80,"ok","nn")</f>
        <v>ok</v>
      </c>
      <c r="AF80" t="s">
        <v>76</v>
      </c>
      <c r="AG80">
        <v>7800</v>
      </c>
      <c r="AH80">
        <v>1781.66</v>
      </c>
    </row>
    <row r="81" spans="1:34" x14ac:dyDescent="0.25">
      <c r="A81" s="65" t="s">
        <v>116</v>
      </c>
      <c r="B81" s="67" t="s">
        <v>69</v>
      </c>
      <c r="C81" t="s">
        <v>87</v>
      </c>
      <c r="D81">
        <v>126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O81" s="18" t="s">
        <v>84</v>
      </c>
      <c r="P81" s="18" t="s">
        <v>88</v>
      </c>
      <c r="Q81" s="18" t="s">
        <v>77</v>
      </c>
      <c r="R81" s="68">
        <f>SUMIF(Tableau4[Code],Tableau5[[#This Row],[Code]],Tableau4[Les heures (H)])</f>
        <v>118</v>
      </c>
      <c r="S81" s="68">
        <f>SUMIF(Tableau4[Code],Tableau5[[#This Row],[Code]],Tableau4[Gasoil (L)])</f>
        <v>159</v>
      </c>
      <c r="T81" s="68">
        <f>SUMIF(Tableau4[Code],Tableau5[[#This Row],[Code]],Tableau4[Huile 15/40(L)])</f>
        <v>0</v>
      </c>
      <c r="U81" s="68">
        <f>SUMIF(Tableau4[Code],Tableau5[[#This Row],[Code]],Tableau4[Huile 90 (L)])</f>
        <v>0</v>
      </c>
      <c r="V81" s="68">
        <f>SUMIF(Tableau4[Code],Tableau5[[#This Row],[Code]],Tableau4[Huile 10 (L)])</f>
        <v>0</v>
      </c>
      <c r="W81" s="68">
        <f>SUMIF(Tableau4[Code],Tableau5[[#This Row],[Code]],Tableau4[Graisse (kg)])</f>
        <v>0</v>
      </c>
      <c r="X81" s="22">
        <f>Tableau5[[#This Row],[Gasoil (L)]]/Tableau5[[#This Row],[Quantité (H)]]</f>
        <v>1.347457627118644</v>
      </c>
      <c r="Y81" s="22">
        <f>Tableau5[[#This Row],[Gasoil (L)]]/SUMIF(Tableau4[Code],Tableau5[[#This Row],[Code]],Tableau4[Km H (Dist)])*100</f>
        <v>5.6785714285714288</v>
      </c>
      <c r="Z81" s="68">
        <v>11694</v>
      </c>
      <c r="AA81" s="68">
        <v>4491.82</v>
      </c>
      <c r="AB81" s="68"/>
      <c r="AC81" s="68"/>
      <c r="AD81" s="68" t="str">
        <f>IF(Tableau5[[#This Row],[Code]]=AF81,"ok","nn")</f>
        <v>ok</v>
      </c>
      <c r="AF81" t="s">
        <v>77</v>
      </c>
      <c r="AG81">
        <v>11694</v>
      </c>
      <c r="AH81">
        <v>4491.82</v>
      </c>
    </row>
    <row r="82" spans="1:34" x14ac:dyDescent="0.25">
      <c r="A82" s="65" t="s">
        <v>84</v>
      </c>
      <c r="B82" s="67" t="s">
        <v>69</v>
      </c>
      <c r="C82">
        <v>0</v>
      </c>
      <c r="D82">
        <v>14</v>
      </c>
      <c r="E82">
        <v>0</v>
      </c>
      <c r="F82">
        <v>61</v>
      </c>
      <c r="G82">
        <v>0</v>
      </c>
      <c r="H82">
        <v>0</v>
      </c>
      <c r="I82">
        <v>0</v>
      </c>
      <c r="J82">
        <v>0</v>
      </c>
      <c r="O82" s="18" t="s">
        <v>116</v>
      </c>
      <c r="P82" s="18" t="s">
        <v>88</v>
      </c>
      <c r="Q82" s="18" t="s">
        <v>78</v>
      </c>
      <c r="R82" s="68">
        <f>SUMIF(Tableau4[Code],Tableau5[[#This Row],[Code]],Tableau4[Les heures (H)])</f>
        <v>154</v>
      </c>
      <c r="S82" s="68">
        <f>SUMIF(Tableau4[Code],Tableau5[[#This Row],[Code]],Tableau4[Gasoil (L)])</f>
        <v>251</v>
      </c>
      <c r="T82" s="68">
        <f>SUMIF(Tableau4[Code],Tableau5[[#This Row],[Code]],Tableau4[Huile 15/40(L)])</f>
        <v>0</v>
      </c>
      <c r="U82" s="68">
        <f>SUMIF(Tableau4[Code],Tableau5[[#This Row],[Code]],Tableau4[Huile 90 (L)])</f>
        <v>0</v>
      </c>
      <c r="V82" s="68">
        <f>SUMIF(Tableau4[Code],Tableau5[[#This Row],[Code]],Tableau4[Huile 10 (L)])</f>
        <v>0</v>
      </c>
      <c r="W82" s="68">
        <f>SUMIF(Tableau4[Code],Tableau5[[#This Row],[Code]],Tableau4[Graisse (kg)])</f>
        <v>0</v>
      </c>
      <c r="X82" s="22">
        <f>Tableau5[[#This Row],[Gasoil (L)]]/Tableau5[[#This Row],[Quantité (H)]]</f>
        <v>1.6298701298701299</v>
      </c>
      <c r="Y82" s="22">
        <f>Tableau5[[#This Row],[Gasoil (L)]]/SUMIF(Tableau4[Code],Tableau5[[#This Row],[Code]],Tableau4[Km H (Dist)])*100</f>
        <v>7.0525428491149205</v>
      </c>
      <c r="Z82" s="68">
        <v>5196</v>
      </c>
      <c r="AA82" s="68">
        <v>5981.82</v>
      </c>
      <c r="AB82" s="68"/>
      <c r="AC82" s="68"/>
      <c r="AD82" s="68" t="str">
        <f>IF(Tableau5[[#This Row],[Code]]=AF82,"ok","nn")</f>
        <v>ok</v>
      </c>
      <c r="AF82" t="s">
        <v>78</v>
      </c>
      <c r="AG82">
        <v>5196</v>
      </c>
      <c r="AH82">
        <v>5981.82</v>
      </c>
    </row>
    <row r="83" spans="1:34" x14ac:dyDescent="0.25">
      <c r="A83" s="65" t="s">
        <v>116</v>
      </c>
      <c r="B83" s="67" t="s">
        <v>71</v>
      </c>
      <c r="C83" t="s">
        <v>87</v>
      </c>
      <c r="D83">
        <v>153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O83" s="18" t="s">
        <v>84</v>
      </c>
      <c r="P83" s="18" t="s">
        <v>88</v>
      </c>
      <c r="Q83" s="18" t="s">
        <v>132</v>
      </c>
      <c r="R83" s="68">
        <f>SUMIF(Tableau4[Code],Tableau5[[#This Row],[Code]],Tableau4[Les heures (H)])</f>
        <v>0</v>
      </c>
      <c r="S83" s="68">
        <f>SUMIF(Tableau4[Code],Tableau5[[#This Row],[Code]],Tableau4[Gasoil (L)])</f>
        <v>210</v>
      </c>
      <c r="T83" s="68">
        <f>SUMIF(Tableau4[Code],Tableau5[[#This Row],[Code]],Tableau4[Huile 15/40(L)])</f>
        <v>0</v>
      </c>
      <c r="U83" s="68">
        <f>SUMIF(Tableau4[Code],Tableau5[[#This Row],[Code]],Tableau4[Huile 90 (L)])</f>
        <v>0</v>
      </c>
      <c r="V83" s="68">
        <f>SUMIF(Tableau4[Code],Tableau5[[#This Row],[Code]],Tableau4[Huile 10 (L)])</f>
        <v>0</v>
      </c>
      <c r="W83" s="68">
        <f>SUMIF(Tableau4[Code],Tableau5[[#This Row],[Code]],Tableau4[Graisse (kg)])</f>
        <v>0</v>
      </c>
      <c r="X83" s="22" t="e">
        <f>Tableau5[[#This Row],[Gasoil (L)]]/Tableau5[[#This Row],[Quantité (H)]]</f>
        <v>#DIV/0!</v>
      </c>
      <c r="Y83" s="22">
        <f>Tableau5[[#This Row],[Gasoil (L)]]/SUMIF(Tableau4[Code],Tableau5[[#This Row],[Code]],Tableau4[Km H (Dist)])*100</f>
        <v>4.8599861143253875</v>
      </c>
      <c r="Z83" s="68">
        <v>7800</v>
      </c>
      <c r="AA83" s="68">
        <v>2383.33</v>
      </c>
      <c r="AB83" s="68"/>
      <c r="AC83" s="68"/>
      <c r="AD83" s="68" t="str">
        <f>IF(Tableau5[[#This Row],[Code]]=AF83,"ok","nn")</f>
        <v>ok</v>
      </c>
      <c r="AF83" t="s">
        <v>132</v>
      </c>
      <c r="AG83">
        <v>7800</v>
      </c>
      <c r="AH83">
        <v>2383.33</v>
      </c>
    </row>
    <row r="84" spans="1:34" x14ac:dyDescent="0.25">
      <c r="A84" s="65" t="s">
        <v>158</v>
      </c>
      <c r="B84" s="67" t="s">
        <v>71</v>
      </c>
      <c r="C84">
        <v>0</v>
      </c>
      <c r="D84">
        <v>0</v>
      </c>
      <c r="E84" s="65">
        <v>0</v>
      </c>
      <c r="F84">
        <v>42</v>
      </c>
      <c r="G84">
        <v>0</v>
      </c>
      <c r="H84">
        <v>0</v>
      </c>
      <c r="I84">
        <v>0</v>
      </c>
      <c r="J84">
        <v>0</v>
      </c>
      <c r="O84" s="18" t="s">
        <v>160</v>
      </c>
      <c r="P84" s="18" t="s">
        <v>88</v>
      </c>
      <c r="Q84" s="18" t="s">
        <v>165</v>
      </c>
      <c r="R84" s="68">
        <f>SUMIF(Tableau4[Code],Tableau5[[#This Row],[Code]],Tableau4[Les heures (H)])</f>
        <v>0</v>
      </c>
      <c r="S84" s="68">
        <f>SUMIF(Tableau4[Code],Tableau5[[#This Row],[Code]],Tableau4[Gasoil (L)])</f>
        <v>247</v>
      </c>
      <c r="T84" s="68">
        <f>SUMIF(Tableau4[Code],Tableau5[[#This Row],[Code]],Tableau4[Huile 15/40(L)])</f>
        <v>0</v>
      </c>
      <c r="U84" s="68">
        <f>SUMIF(Tableau4[Code],Tableau5[[#This Row],[Code]],Tableau4[Huile 90 (L)])</f>
        <v>0</v>
      </c>
      <c r="V84" s="68">
        <f>SUMIF(Tableau4[Code],Tableau5[[#This Row],[Code]],Tableau4[Huile 10 (L)])</f>
        <v>0</v>
      </c>
      <c r="W84" s="68">
        <f>SUMIF(Tableau4[Code],Tableau5[[#This Row],[Code]],Tableau4[Graisse (kg)])</f>
        <v>0</v>
      </c>
      <c r="X84" s="22" t="e">
        <f>Tableau5[[#This Row],[Gasoil (L)]]/Tableau5[[#This Row],[Quantité (H)]]</f>
        <v>#DIV/0!</v>
      </c>
      <c r="Y84" s="22">
        <f>Tableau5[[#This Row],[Gasoil (L)]]/SUMIF(Tableau4[Code],Tableau5[[#This Row],[Code]],Tableau4[Km H (Dist)])*100</f>
        <v>5.6560567895580487</v>
      </c>
      <c r="Z84" s="68">
        <v>7800</v>
      </c>
      <c r="AA84" s="68">
        <v>2860</v>
      </c>
      <c r="AB84" s="68"/>
      <c r="AC84" s="68"/>
      <c r="AD84" s="68" t="str">
        <f>IF(Tableau5[[#This Row],[Code]]=AF84,"ok","nn")</f>
        <v>ok</v>
      </c>
      <c r="AF84" t="s">
        <v>165</v>
      </c>
      <c r="AG84">
        <v>7800</v>
      </c>
      <c r="AH84">
        <v>2860</v>
      </c>
    </row>
    <row r="85" spans="1:34" x14ac:dyDescent="0.25">
      <c r="A85" s="65" t="s">
        <v>193</v>
      </c>
      <c r="B85" s="67" t="s">
        <v>73</v>
      </c>
      <c r="C85" t="s">
        <v>87</v>
      </c>
      <c r="D85">
        <v>184</v>
      </c>
      <c r="E85" s="65">
        <v>0</v>
      </c>
      <c r="F85">
        <v>144.97999999999999</v>
      </c>
      <c r="G85">
        <v>0</v>
      </c>
      <c r="H85">
        <v>0</v>
      </c>
      <c r="I85">
        <v>0</v>
      </c>
      <c r="J85">
        <v>0</v>
      </c>
      <c r="O85" s="18" t="s">
        <v>197</v>
      </c>
      <c r="P85" s="18" t="s">
        <v>88</v>
      </c>
      <c r="Q85" s="18" t="s">
        <v>183</v>
      </c>
      <c r="R85" s="68">
        <f>SUMIF(Tableau4[Code],Tableau5[[#This Row],[Code]],Tableau4[Les heures (H)])</f>
        <v>0</v>
      </c>
      <c r="S85" s="68">
        <f>SUMIF(Tableau4[Code],Tableau5[[#This Row],[Code]],Tableau4[Gasoil (L)])</f>
        <v>0</v>
      </c>
      <c r="T85" s="68">
        <f>SUMIF(Tableau4[Code],Tableau5[[#This Row],[Code]],Tableau4[Huile 15/40(L)])</f>
        <v>0</v>
      </c>
      <c r="U85" s="68">
        <f>SUMIF(Tableau4[Code],Tableau5[[#This Row],[Code]],Tableau4[Huile 90 (L)])</f>
        <v>0</v>
      </c>
      <c r="V85" s="68">
        <f>SUMIF(Tableau4[Code],Tableau5[[#This Row],[Code]],Tableau4[Huile 10 (L)])</f>
        <v>0</v>
      </c>
      <c r="W85" s="68">
        <f>SUMIF(Tableau4[Code],Tableau5[[#This Row],[Code]],Tableau4[Graisse (kg)])</f>
        <v>0</v>
      </c>
      <c r="X85" s="22" t="e">
        <f>Tableau5[[#This Row],[Gasoil (L)]]/Tableau5[[#This Row],[Quantité (H)]]</f>
        <v>#DIV/0!</v>
      </c>
      <c r="Y85" s="22" t="e">
        <f>Tableau5[[#This Row],[Gasoil (L)]]/SUMIF(Tableau4[Code],Tableau5[[#This Row],[Code]],Tableau4[Km H (Dist)])*100</f>
        <v>#DIV/0!</v>
      </c>
      <c r="Z85" s="68">
        <v>7200</v>
      </c>
      <c r="AA85" s="68"/>
      <c r="AB85" s="68"/>
      <c r="AD85" s="68" t="str">
        <f>IF(Tableau5[[#This Row],[Code]]=AF85,"ok","nn")</f>
        <v>ok</v>
      </c>
      <c r="AF85" t="s">
        <v>183</v>
      </c>
      <c r="AG85">
        <v>7200</v>
      </c>
    </row>
    <row r="86" spans="1:34" x14ac:dyDescent="0.25">
      <c r="A86" s="65" t="s">
        <v>116</v>
      </c>
      <c r="B86" s="67" t="s">
        <v>74</v>
      </c>
      <c r="C86" t="s">
        <v>87</v>
      </c>
      <c r="D86">
        <v>0</v>
      </c>
      <c r="E86" s="65">
        <v>0</v>
      </c>
      <c r="F86">
        <v>0</v>
      </c>
      <c r="G86">
        <v>0</v>
      </c>
      <c r="H86">
        <v>0</v>
      </c>
      <c r="I86">
        <v>0</v>
      </c>
      <c r="J86">
        <v>0</v>
      </c>
      <c r="O86" s="18" t="s">
        <v>199</v>
      </c>
      <c r="P86" s="18"/>
      <c r="Q86" s="18"/>
      <c r="R86" s="68">
        <f>SUMIF(Tableau4[Code],Tableau5[[#This Row],[Code]],Tableau4[Les heures (H)])</f>
        <v>0</v>
      </c>
      <c r="S86" s="68">
        <f>SUMIF(Tableau4[Code],Tableau5[[#This Row],[Code]],Tableau4[Gasoil (L)])</f>
        <v>0</v>
      </c>
      <c r="T86" s="68">
        <f>SUMIF(Tableau4[Code],Tableau5[[#This Row],[Code]],Tableau4[Huile 15/40(L)])</f>
        <v>0</v>
      </c>
      <c r="U86" s="68">
        <f>SUMIF(Tableau4[Code],Tableau5[[#This Row],[Code]],Tableau4[Huile 90 (L)])</f>
        <v>0</v>
      </c>
      <c r="V86" s="68">
        <f>SUMIF(Tableau4[Code],Tableau5[[#This Row],[Code]],Tableau4[Huile 10 (L)])</f>
        <v>0</v>
      </c>
      <c r="W86" s="68">
        <f>SUMIF(Tableau4[Code],Tableau5[[#This Row],[Code]],Tableau4[Graisse (kg)])</f>
        <v>0</v>
      </c>
      <c r="X86" s="22" t="e">
        <f>Tableau5[[#This Row],[Gasoil (L)]]/Tableau5[[#This Row],[Quantité (H)]]</f>
        <v>#DIV/0!</v>
      </c>
      <c r="Y86" s="70" t="e">
        <f>Tableau5[[#This Row],[Gasoil (L)]]/SUMIF(Tableau4[Code],Tableau5[[#This Row],[Code]],Tableau4[Km H (Dist)])*100</f>
        <v>#DIV/0!</v>
      </c>
      <c r="Z86" s="68">
        <v>1867.71</v>
      </c>
      <c r="AA86" s="68">
        <v>1295.06</v>
      </c>
      <c r="AB86" s="68"/>
      <c r="AF86" t="s">
        <v>199</v>
      </c>
      <c r="AG86">
        <v>1867.71</v>
      </c>
      <c r="AH86">
        <v>1295.06</v>
      </c>
    </row>
    <row r="87" spans="1:34" x14ac:dyDescent="0.25">
      <c r="A87" s="65" t="s">
        <v>160</v>
      </c>
      <c r="B87" s="67" t="s">
        <v>74</v>
      </c>
      <c r="C87">
        <v>0</v>
      </c>
      <c r="D87">
        <v>0</v>
      </c>
      <c r="E87" s="65">
        <v>0</v>
      </c>
      <c r="F87">
        <v>35</v>
      </c>
      <c r="G87">
        <v>0</v>
      </c>
      <c r="H87">
        <v>0</v>
      </c>
      <c r="I87">
        <v>0</v>
      </c>
      <c r="J87">
        <v>0</v>
      </c>
    </row>
    <row r="88" spans="1:34" x14ac:dyDescent="0.25">
      <c r="A88" s="65" t="s">
        <v>84</v>
      </c>
      <c r="B88" s="67" t="s">
        <v>76</v>
      </c>
      <c r="C88" t="s">
        <v>87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>
        <v>0</v>
      </c>
    </row>
    <row r="89" spans="1:34" x14ac:dyDescent="0.25">
      <c r="A89" s="65" t="s">
        <v>116</v>
      </c>
      <c r="B89" s="67" t="s">
        <v>78</v>
      </c>
      <c r="C89" t="s">
        <v>87</v>
      </c>
      <c r="D89">
        <v>36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34" x14ac:dyDescent="0.25">
      <c r="A90" s="65" t="s">
        <v>160</v>
      </c>
      <c r="B90" t="s">
        <v>19</v>
      </c>
      <c r="C90" t="s">
        <v>190</v>
      </c>
      <c r="D90">
        <v>2</v>
      </c>
      <c r="E90" s="65">
        <v>4</v>
      </c>
      <c r="F90">
        <v>355</v>
      </c>
      <c r="G90">
        <v>10</v>
      </c>
      <c r="H90">
        <v>0</v>
      </c>
      <c r="I90">
        <v>5</v>
      </c>
      <c r="J90">
        <v>0</v>
      </c>
    </row>
    <row r="91" spans="1:34" x14ac:dyDescent="0.25">
      <c r="A91" s="65" t="s">
        <v>160</v>
      </c>
      <c r="B91" t="s">
        <v>13</v>
      </c>
      <c r="C91" t="s">
        <v>191</v>
      </c>
      <c r="D91">
        <v>141</v>
      </c>
      <c r="E91" s="65">
        <v>19.200000000000728</v>
      </c>
      <c r="F91">
        <v>1609</v>
      </c>
      <c r="G91">
        <v>35</v>
      </c>
      <c r="H91">
        <v>0</v>
      </c>
      <c r="I91">
        <v>15</v>
      </c>
      <c r="J91">
        <v>0</v>
      </c>
    </row>
    <row r="92" spans="1:34" x14ac:dyDescent="0.25">
      <c r="A92" s="65" t="s">
        <v>116</v>
      </c>
      <c r="B92" t="s">
        <v>19</v>
      </c>
      <c r="C92" t="s">
        <v>190</v>
      </c>
      <c r="D92">
        <v>61</v>
      </c>
      <c r="E92" s="65">
        <v>42.900000000000546</v>
      </c>
      <c r="F92">
        <v>495</v>
      </c>
      <c r="G92">
        <v>15</v>
      </c>
      <c r="H92">
        <v>0</v>
      </c>
      <c r="I92">
        <v>0</v>
      </c>
      <c r="J92">
        <v>14</v>
      </c>
    </row>
    <row r="93" spans="1:34" x14ac:dyDescent="0.25">
      <c r="A93" s="65" t="s">
        <v>116</v>
      </c>
      <c r="B93" t="s">
        <v>123</v>
      </c>
      <c r="C93" t="s">
        <v>190</v>
      </c>
      <c r="D93">
        <v>50</v>
      </c>
      <c r="E93" s="65">
        <v>44.199999999999818</v>
      </c>
      <c r="F93">
        <v>440</v>
      </c>
      <c r="G93">
        <v>0</v>
      </c>
      <c r="H93">
        <v>0</v>
      </c>
      <c r="I93">
        <v>0</v>
      </c>
      <c r="J93">
        <v>7</v>
      </c>
    </row>
    <row r="94" spans="1:34" x14ac:dyDescent="0.25">
      <c r="A94" s="65" t="s">
        <v>158</v>
      </c>
      <c r="B94" t="s">
        <v>36</v>
      </c>
      <c r="C94" t="s">
        <v>190</v>
      </c>
      <c r="D94">
        <v>39</v>
      </c>
      <c r="E94" s="65">
        <v>45</v>
      </c>
      <c r="F94">
        <v>1640</v>
      </c>
      <c r="G94">
        <v>5</v>
      </c>
      <c r="H94">
        <v>0</v>
      </c>
      <c r="I94">
        <v>0</v>
      </c>
      <c r="J94">
        <v>15</v>
      </c>
    </row>
    <row r="95" spans="1:34" x14ac:dyDescent="0.25">
      <c r="A95" t="s">
        <v>84</v>
      </c>
      <c r="B95" t="s">
        <v>15</v>
      </c>
      <c r="C95">
        <v>0</v>
      </c>
      <c r="D95">
        <v>67</v>
      </c>
      <c r="E95">
        <v>66</v>
      </c>
      <c r="F95">
        <v>757</v>
      </c>
      <c r="G95">
        <v>4</v>
      </c>
      <c r="H95">
        <v>40</v>
      </c>
      <c r="I95">
        <v>15</v>
      </c>
      <c r="J95">
        <v>0</v>
      </c>
    </row>
    <row r="96" spans="1:34" x14ac:dyDescent="0.25">
      <c r="A96" s="65" t="s">
        <v>84</v>
      </c>
      <c r="B96" t="s">
        <v>94</v>
      </c>
      <c r="C96" t="s">
        <v>190</v>
      </c>
      <c r="D96">
        <v>141.5</v>
      </c>
      <c r="E96" s="65">
        <v>85</v>
      </c>
      <c r="F96">
        <v>1363</v>
      </c>
      <c r="G96">
        <v>10</v>
      </c>
      <c r="H96">
        <v>0</v>
      </c>
      <c r="I96">
        <v>5</v>
      </c>
      <c r="J96">
        <v>0</v>
      </c>
    </row>
    <row r="97" spans="1:13" x14ac:dyDescent="0.25">
      <c r="A97" s="65" t="s">
        <v>84</v>
      </c>
      <c r="B97" t="s">
        <v>148</v>
      </c>
      <c r="C97">
        <v>0</v>
      </c>
      <c r="D97">
        <v>13</v>
      </c>
      <c r="E97" s="65">
        <v>0</v>
      </c>
      <c r="F97">
        <v>162</v>
      </c>
      <c r="G97">
        <v>0</v>
      </c>
      <c r="H97">
        <v>0</v>
      </c>
      <c r="I97">
        <v>0</v>
      </c>
      <c r="J97">
        <v>0</v>
      </c>
    </row>
    <row r="98" spans="1:13" x14ac:dyDescent="0.25">
      <c r="A98" s="65" t="s">
        <v>84</v>
      </c>
      <c r="B98" t="s">
        <v>130</v>
      </c>
      <c r="C98" t="s">
        <v>190</v>
      </c>
      <c r="D98">
        <v>106.5</v>
      </c>
      <c r="E98" s="65">
        <v>94</v>
      </c>
      <c r="F98">
        <v>1624</v>
      </c>
      <c r="G98">
        <v>5</v>
      </c>
      <c r="H98">
        <v>0</v>
      </c>
      <c r="I98">
        <v>10</v>
      </c>
      <c r="J98">
        <v>5</v>
      </c>
    </row>
    <row r="99" spans="1:13" x14ac:dyDescent="0.25">
      <c r="A99" s="65" t="s">
        <v>160</v>
      </c>
      <c r="B99" s="65" t="s">
        <v>14</v>
      </c>
      <c r="C99" t="s">
        <v>190</v>
      </c>
      <c r="D99">
        <v>36.5</v>
      </c>
      <c r="E99" s="65">
        <v>101</v>
      </c>
      <c r="F99">
        <v>2311</v>
      </c>
      <c r="G99">
        <v>0</v>
      </c>
      <c r="H99">
        <v>0</v>
      </c>
      <c r="I99">
        <v>70</v>
      </c>
      <c r="J99">
        <v>0</v>
      </c>
    </row>
    <row r="100" spans="1:13" x14ac:dyDescent="0.25">
      <c r="A100" s="65" t="s">
        <v>84</v>
      </c>
      <c r="B100" t="s">
        <v>38</v>
      </c>
      <c r="C100" t="s">
        <v>190</v>
      </c>
      <c r="D100">
        <v>109.5</v>
      </c>
      <c r="E100" s="65">
        <v>109</v>
      </c>
      <c r="F100">
        <v>2407</v>
      </c>
      <c r="G100">
        <v>30</v>
      </c>
      <c r="H100">
        <v>60</v>
      </c>
      <c r="I100">
        <v>25</v>
      </c>
      <c r="J100">
        <v>0</v>
      </c>
    </row>
    <row r="101" spans="1:13" x14ac:dyDescent="0.25">
      <c r="A101" s="65" t="s">
        <v>160</v>
      </c>
      <c r="B101" s="65" t="s">
        <v>156</v>
      </c>
      <c r="C101" t="s">
        <v>190</v>
      </c>
      <c r="D101">
        <v>97</v>
      </c>
      <c r="E101" s="65">
        <v>113.39999999999964</v>
      </c>
      <c r="F101">
        <v>1462</v>
      </c>
      <c r="G101">
        <v>0</v>
      </c>
      <c r="H101">
        <v>0</v>
      </c>
      <c r="I101">
        <v>0</v>
      </c>
      <c r="J101">
        <v>0</v>
      </c>
      <c r="L101" s="65">
        <v>41128</v>
      </c>
      <c r="M101" s="65">
        <v>44687</v>
      </c>
    </row>
    <row r="102" spans="1:13" x14ac:dyDescent="0.25">
      <c r="A102" s="65" t="s">
        <v>193</v>
      </c>
      <c r="B102" t="s">
        <v>20</v>
      </c>
      <c r="C102" t="s">
        <v>190</v>
      </c>
      <c r="D102">
        <v>158</v>
      </c>
      <c r="E102" s="65">
        <v>125</v>
      </c>
      <c r="F102">
        <v>1880</v>
      </c>
      <c r="G102">
        <v>0</v>
      </c>
      <c r="H102">
        <v>0</v>
      </c>
      <c r="I102">
        <v>40</v>
      </c>
      <c r="J102">
        <v>0</v>
      </c>
      <c r="M102" s="65">
        <f>L101-M101</f>
        <v>-3559</v>
      </c>
    </row>
    <row r="103" spans="1:13" x14ac:dyDescent="0.25">
      <c r="A103" s="65" t="s">
        <v>84</v>
      </c>
      <c r="B103" s="65" t="s">
        <v>29</v>
      </c>
      <c r="C103" t="s">
        <v>190</v>
      </c>
      <c r="D103">
        <v>133</v>
      </c>
      <c r="E103" s="65">
        <v>129</v>
      </c>
      <c r="F103">
        <v>1425</v>
      </c>
      <c r="G103">
        <v>0</v>
      </c>
      <c r="H103">
        <v>0</v>
      </c>
      <c r="I103">
        <v>0</v>
      </c>
      <c r="J103">
        <v>0</v>
      </c>
    </row>
    <row r="104" spans="1:13" x14ac:dyDescent="0.25">
      <c r="A104" s="65" t="s">
        <v>84</v>
      </c>
      <c r="B104" s="65" t="s">
        <v>26</v>
      </c>
      <c r="C104" t="s">
        <v>190</v>
      </c>
      <c r="D104">
        <v>142</v>
      </c>
      <c r="E104" s="65">
        <v>152</v>
      </c>
      <c r="F104">
        <v>4882</v>
      </c>
      <c r="G104">
        <v>5</v>
      </c>
      <c r="H104">
        <v>0</v>
      </c>
      <c r="I104">
        <v>75</v>
      </c>
      <c r="J104">
        <v>20</v>
      </c>
    </row>
    <row r="105" spans="1:13" x14ac:dyDescent="0.25">
      <c r="A105" s="65" t="s">
        <v>84</v>
      </c>
      <c r="B105" s="65" t="s">
        <v>137</v>
      </c>
      <c r="C105" t="s">
        <v>190</v>
      </c>
      <c r="D105">
        <v>35</v>
      </c>
      <c r="E105" s="65">
        <v>159</v>
      </c>
      <c r="F105">
        <v>429</v>
      </c>
      <c r="G105">
        <v>0</v>
      </c>
      <c r="H105">
        <v>0</v>
      </c>
      <c r="I105">
        <v>0</v>
      </c>
      <c r="J105">
        <v>5</v>
      </c>
    </row>
    <row r="106" spans="1:13" x14ac:dyDescent="0.25">
      <c r="A106" s="65" t="s">
        <v>84</v>
      </c>
      <c r="B106" s="65" t="s">
        <v>25</v>
      </c>
      <c r="C106" t="s">
        <v>190</v>
      </c>
      <c r="D106">
        <v>167.5</v>
      </c>
      <c r="E106" s="65">
        <v>164</v>
      </c>
      <c r="F106">
        <v>3310</v>
      </c>
      <c r="G106">
        <v>35</v>
      </c>
      <c r="H106">
        <v>0</v>
      </c>
      <c r="I106">
        <v>25</v>
      </c>
      <c r="J106">
        <v>25</v>
      </c>
    </row>
    <row r="107" spans="1:13" x14ac:dyDescent="0.25">
      <c r="A107" t="s">
        <v>158</v>
      </c>
      <c r="B107" s="65" t="s">
        <v>21</v>
      </c>
      <c r="C107" t="s">
        <v>190</v>
      </c>
      <c r="D107">
        <v>189</v>
      </c>
      <c r="E107" s="65">
        <v>178</v>
      </c>
      <c r="F107">
        <v>1776</v>
      </c>
      <c r="G107">
        <v>25</v>
      </c>
      <c r="H107">
        <v>0</v>
      </c>
      <c r="I107">
        <v>60</v>
      </c>
      <c r="J107">
        <v>4</v>
      </c>
    </row>
    <row r="108" spans="1:13" x14ac:dyDescent="0.25">
      <c r="A108" s="65" t="s">
        <v>84</v>
      </c>
      <c r="B108" s="65" t="s">
        <v>23</v>
      </c>
      <c r="C108" t="s">
        <v>190</v>
      </c>
      <c r="D108">
        <v>194.5</v>
      </c>
      <c r="E108" s="65">
        <v>197</v>
      </c>
      <c r="F108">
        <v>4840</v>
      </c>
      <c r="G108">
        <v>10</v>
      </c>
      <c r="H108">
        <v>0</v>
      </c>
      <c r="I108">
        <v>20</v>
      </c>
      <c r="J108">
        <v>45</v>
      </c>
    </row>
    <row r="109" spans="1:13" x14ac:dyDescent="0.25">
      <c r="A109" s="65" t="s">
        <v>158</v>
      </c>
      <c r="B109" s="65" t="s">
        <v>30</v>
      </c>
      <c r="C109" t="s">
        <v>190</v>
      </c>
      <c r="D109">
        <v>112</v>
      </c>
      <c r="E109" s="65">
        <v>201</v>
      </c>
      <c r="F109">
        <v>900</v>
      </c>
      <c r="G109">
        <v>70</v>
      </c>
      <c r="H109">
        <v>0</v>
      </c>
      <c r="I109">
        <v>0</v>
      </c>
      <c r="J109">
        <v>3</v>
      </c>
    </row>
    <row r="110" spans="1:13" x14ac:dyDescent="0.25">
      <c r="A110" s="65" t="s">
        <v>84</v>
      </c>
      <c r="B110" s="65" t="s">
        <v>129</v>
      </c>
      <c r="C110" t="s">
        <v>190</v>
      </c>
      <c r="D110">
        <v>206</v>
      </c>
      <c r="E110" s="65">
        <v>201</v>
      </c>
      <c r="F110">
        <v>2723</v>
      </c>
      <c r="G110">
        <v>10</v>
      </c>
      <c r="H110">
        <v>0</v>
      </c>
      <c r="I110">
        <v>0</v>
      </c>
      <c r="J110">
        <v>15</v>
      </c>
    </row>
    <row r="111" spans="1:13" x14ac:dyDescent="0.25">
      <c r="A111" s="65" t="s">
        <v>84</v>
      </c>
      <c r="B111" s="65" t="s">
        <v>24</v>
      </c>
      <c r="C111" t="s">
        <v>190</v>
      </c>
      <c r="D111">
        <v>208.5</v>
      </c>
      <c r="E111" s="65">
        <v>211</v>
      </c>
      <c r="F111">
        <v>4704</v>
      </c>
      <c r="G111">
        <v>45</v>
      </c>
      <c r="H111">
        <v>0</v>
      </c>
      <c r="I111">
        <v>40</v>
      </c>
      <c r="J111">
        <v>25</v>
      </c>
    </row>
    <row r="112" spans="1:13" x14ac:dyDescent="0.25">
      <c r="A112" s="65" t="s">
        <v>84</v>
      </c>
      <c r="B112" s="65" t="s">
        <v>126</v>
      </c>
      <c r="C112" t="s">
        <v>190</v>
      </c>
      <c r="D112">
        <v>220.5</v>
      </c>
      <c r="E112" s="65">
        <v>212</v>
      </c>
      <c r="F112">
        <v>1794</v>
      </c>
      <c r="G112">
        <v>25</v>
      </c>
      <c r="H112">
        <v>0</v>
      </c>
      <c r="I112">
        <v>0</v>
      </c>
      <c r="J112">
        <v>0</v>
      </c>
    </row>
    <row r="113" spans="1:10" x14ac:dyDescent="0.25">
      <c r="A113" s="65" t="s">
        <v>84</v>
      </c>
      <c r="B113" s="65" t="s">
        <v>127</v>
      </c>
      <c r="C113" t="s">
        <v>190</v>
      </c>
      <c r="D113">
        <v>222.5</v>
      </c>
      <c r="E113" s="65">
        <v>220</v>
      </c>
      <c r="F113">
        <v>3557</v>
      </c>
      <c r="G113">
        <v>25</v>
      </c>
      <c r="H113">
        <v>0</v>
      </c>
      <c r="I113">
        <v>5</v>
      </c>
      <c r="J113">
        <v>25</v>
      </c>
    </row>
    <row r="114" spans="1:10" x14ac:dyDescent="0.25">
      <c r="A114" s="65" t="s">
        <v>160</v>
      </c>
      <c r="B114" s="67" t="s">
        <v>78</v>
      </c>
      <c r="C114" t="s">
        <v>87</v>
      </c>
      <c r="D114">
        <v>5</v>
      </c>
      <c r="E114" s="65">
        <v>0</v>
      </c>
      <c r="F114">
        <v>70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 s="65" t="s">
        <v>160</v>
      </c>
      <c r="B115" s="65" t="s">
        <v>27</v>
      </c>
      <c r="C115" t="s">
        <v>190</v>
      </c>
      <c r="D115">
        <v>71</v>
      </c>
      <c r="E115">
        <v>581</v>
      </c>
      <c r="F115">
        <v>690</v>
      </c>
      <c r="G115">
        <v>0</v>
      </c>
      <c r="H115">
        <v>0</v>
      </c>
      <c r="I115">
        <v>75</v>
      </c>
      <c r="J115">
        <v>0</v>
      </c>
    </row>
    <row r="116" spans="1:10" x14ac:dyDescent="0.25">
      <c r="A116" s="65" t="s">
        <v>158</v>
      </c>
      <c r="B116" s="65" t="s">
        <v>151</v>
      </c>
      <c r="C116" t="s">
        <v>87</v>
      </c>
      <c r="D116">
        <v>171</v>
      </c>
      <c r="E116" s="65">
        <v>0</v>
      </c>
      <c r="F116">
        <v>1343</v>
      </c>
      <c r="G116">
        <v>0</v>
      </c>
      <c r="H116">
        <v>0</v>
      </c>
      <c r="I116">
        <v>0</v>
      </c>
      <c r="J116">
        <v>0</v>
      </c>
    </row>
    <row r="117" spans="1:10" x14ac:dyDescent="0.25">
      <c r="A117" s="65" t="s">
        <v>84</v>
      </c>
      <c r="B117" s="65" t="s">
        <v>156</v>
      </c>
      <c r="C117">
        <v>0</v>
      </c>
      <c r="D117">
        <v>30</v>
      </c>
      <c r="E117">
        <v>1017</v>
      </c>
      <c r="F117">
        <v>467</v>
      </c>
      <c r="G117">
        <v>0</v>
      </c>
      <c r="H117">
        <v>0</v>
      </c>
      <c r="I117">
        <v>0</v>
      </c>
      <c r="J117">
        <v>0</v>
      </c>
    </row>
    <row r="118" spans="1:10" x14ac:dyDescent="0.25">
      <c r="A118" s="65" t="s">
        <v>158</v>
      </c>
      <c r="B118" s="65" t="s">
        <v>28</v>
      </c>
      <c r="C118" t="s">
        <v>191</v>
      </c>
      <c r="D118">
        <v>196</v>
      </c>
      <c r="E118" s="65">
        <v>2075</v>
      </c>
      <c r="F118">
        <v>2412</v>
      </c>
      <c r="G118">
        <v>5</v>
      </c>
      <c r="H118">
        <v>0</v>
      </c>
      <c r="I118">
        <v>5</v>
      </c>
      <c r="J118">
        <v>4</v>
      </c>
    </row>
    <row r="119" spans="1:10" x14ac:dyDescent="0.25">
      <c r="A119" s="65" t="s">
        <v>160</v>
      </c>
      <c r="B119" s="65" t="s">
        <v>123</v>
      </c>
      <c r="C119" t="s">
        <v>190</v>
      </c>
      <c r="D119">
        <v>47</v>
      </c>
      <c r="E119" s="65">
        <v>6773</v>
      </c>
      <c r="F119">
        <v>812</v>
      </c>
      <c r="G119">
        <v>5</v>
      </c>
      <c r="H119">
        <v>0</v>
      </c>
      <c r="I119">
        <v>15</v>
      </c>
      <c r="J119">
        <v>0</v>
      </c>
    </row>
    <row r="120" spans="1:10" x14ac:dyDescent="0.25">
      <c r="A120" s="65" t="s">
        <v>84</v>
      </c>
      <c r="B120" s="65" t="s">
        <v>57</v>
      </c>
      <c r="C120">
        <v>0</v>
      </c>
      <c r="D120">
        <v>16</v>
      </c>
      <c r="E120">
        <v>0</v>
      </c>
      <c r="F120">
        <v>2498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 s="65" t="s">
        <v>84</v>
      </c>
      <c r="B121" s="65" t="s">
        <v>22</v>
      </c>
      <c r="C121" t="s">
        <v>190</v>
      </c>
      <c r="D121">
        <v>198.5</v>
      </c>
      <c r="E121" s="65">
        <v>10072</v>
      </c>
      <c r="F121">
        <v>4674</v>
      </c>
      <c r="G121">
        <v>10</v>
      </c>
      <c r="H121">
        <v>0</v>
      </c>
      <c r="I121">
        <v>55</v>
      </c>
      <c r="J121">
        <v>45</v>
      </c>
    </row>
    <row r="122" spans="1:10" x14ac:dyDescent="0.25">
      <c r="A122" s="65" t="s">
        <v>158</v>
      </c>
      <c r="B122" s="65" t="s">
        <v>130</v>
      </c>
      <c r="C122" t="s">
        <v>190</v>
      </c>
      <c r="D122">
        <v>60</v>
      </c>
      <c r="E122" s="65">
        <v>11778</v>
      </c>
      <c r="F122">
        <v>1013</v>
      </c>
      <c r="G122">
        <v>0</v>
      </c>
      <c r="H122">
        <v>0</v>
      </c>
      <c r="I122">
        <v>0</v>
      </c>
      <c r="J122">
        <v>8</v>
      </c>
    </row>
    <row r="123" spans="1:10" x14ac:dyDescent="0.25">
      <c r="A123" s="65" t="s">
        <v>158</v>
      </c>
      <c r="B123" s="65" t="s">
        <v>124</v>
      </c>
      <c r="C123" t="s">
        <v>190</v>
      </c>
      <c r="D123">
        <v>200</v>
      </c>
      <c r="E123" s="65">
        <v>111154</v>
      </c>
      <c r="F123">
        <v>3288</v>
      </c>
      <c r="G123">
        <v>4</v>
      </c>
      <c r="H123">
        <v>0</v>
      </c>
      <c r="I123">
        <v>10</v>
      </c>
      <c r="J123">
        <v>4</v>
      </c>
    </row>
    <row r="124" spans="1:10" x14ac:dyDescent="0.25">
      <c r="A124" s="65" t="s">
        <v>193</v>
      </c>
      <c r="B124" s="65" t="s">
        <v>61</v>
      </c>
      <c r="C124" t="s">
        <v>87</v>
      </c>
      <c r="D124">
        <v>0</v>
      </c>
      <c r="E124" s="65"/>
      <c r="F124">
        <v>75.930000000000007</v>
      </c>
      <c r="G124">
        <v>0</v>
      </c>
      <c r="H124">
        <v>0</v>
      </c>
      <c r="I124">
        <v>0</v>
      </c>
      <c r="J124">
        <v>0</v>
      </c>
    </row>
  </sheetData>
  <phoneticPr fontId="9" type="noConversion"/>
  <pageMargins left="0" right="0" top="0" bottom="0" header="0" footer="0"/>
  <pageSetup paperSize="9" scale="20"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0B329-FB01-4D3A-BED4-6596DE5E0D0C}">
  <sheetPr codeName="Feuil4"/>
  <dimension ref="A1:U330"/>
  <sheetViews>
    <sheetView topLeftCell="A274" workbookViewId="0">
      <selection activeCell="H303" sqref="H303"/>
    </sheetView>
  </sheetViews>
  <sheetFormatPr baseColWidth="10" defaultRowHeight="15" x14ac:dyDescent="0.25"/>
  <cols>
    <col min="1" max="1" width="11.42578125" style="17"/>
    <col min="2" max="3" width="11.42578125" style="18"/>
    <col min="4" max="4" width="11.5703125" style="22" customWidth="1"/>
    <col min="5" max="6" width="11.42578125" style="22"/>
    <col min="8" max="8" width="17.5703125" customWidth="1"/>
    <col min="9" max="9" width="11.42578125" style="23"/>
    <col min="10" max="10" width="11.42578125" style="44"/>
    <col min="11" max="11" width="11.42578125" style="43"/>
    <col min="12" max="12" width="11.42578125" style="42"/>
    <col min="13" max="13" width="11.42578125" style="41"/>
    <col min="14" max="14" width="11.42578125" style="42"/>
    <col min="15" max="15" width="11.42578125" style="41"/>
    <col min="21" max="21" width="11.42578125" style="23"/>
  </cols>
  <sheetData>
    <row r="1" spans="1:21" x14ac:dyDescent="0.25">
      <c r="A1" s="25" t="s">
        <v>9</v>
      </c>
      <c r="B1" s="26" t="s">
        <v>1</v>
      </c>
      <c r="C1" s="26" t="s">
        <v>2</v>
      </c>
      <c r="D1" s="27" t="s">
        <v>89</v>
      </c>
      <c r="E1" s="27" t="s">
        <v>90</v>
      </c>
      <c r="F1" s="28" t="s">
        <v>91</v>
      </c>
      <c r="I1" s="23" t="s">
        <v>1</v>
      </c>
      <c r="J1" s="44" t="s">
        <v>119</v>
      </c>
      <c r="K1" s="43" t="s">
        <v>119</v>
      </c>
      <c r="L1" s="42" t="s">
        <v>114</v>
      </c>
      <c r="M1" s="41" t="s">
        <v>114</v>
      </c>
      <c r="N1" s="42" t="s">
        <v>3</v>
      </c>
      <c r="O1" s="41" t="s">
        <v>3</v>
      </c>
      <c r="P1" t="s">
        <v>4</v>
      </c>
      <c r="Q1" t="s">
        <v>5</v>
      </c>
      <c r="R1" t="s">
        <v>6</v>
      </c>
      <c r="S1" t="s">
        <v>7</v>
      </c>
      <c r="T1" s="23" t="s">
        <v>117</v>
      </c>
      <c r="U1" s="23" t="s">
        <v>118</v>
      </c>
    </row>
    <row r="2" spans="1:21" x14ac:dyDescent="0.25">
      <c r="A2" s="17">
        <v>44227</v>
      </c>
      <c r="B2" s="18" t="s">
        <v>11</v>
      </c>
      <c r="D2" s="22">
        <v>1640</v>
      </c>
      <c r="E2" s="22">
        <v>0</v>
      </c>
      <c r="F2" s="22">
        <f>Tableau3[[#This Row],[Produit]]-Tableau3[[#This Row],[Charges]]</f>
        <v>-1640</v>
      </c>
      <c r="H2" t="s">
        <v>80</v>
      </c>
      <c r="I2" s="23" t="s">
        <v>31</v>
      </c>
      <c r="J2" s="42">
        <v>0</v>
      </c>
      <c r="K2" s="41">
        <v>0</v>
      </c>
      <c r="L2" s="42">
        <v>0</v>
      </c>
      <c r="M2" s="41">
        <v>0</v>
      </c>
      <c r="N2" s="40">
        <v>55</v>
      </c>
      <c r="O2">
        <v>55</v>
      </c>
      <c r="P2">
        <v>0</v>
      </c>
      <c r="Q2">
        <v>0</v>
      </c>
      <c r="R2">
        <v>5</v>
      </c>
      <c r="S2" s="35">
        <v>0</v>
      </c>
      <c r="T2" s="23" t="e">
        <f t="shared" ref="T2:T33" si="0">O2/K2</f>
        <v>#DIV/0!</v>
      </c>
      <c r="U2" s="23" t="e">
        <f t="shared" ref="U2:U33" si="1">O2*100/M2</f>
        <v>#DIV/0!</v>
      </c>
    </row>
    <row r="3" spans="1:21" x14ac:dyDescent="0.25">
      <c r="A3" s="17">
        <v>44227</v>
      </c>
      <c r="B3" s="18" t="s">
        <v>12</v>
      </c>
      <c r="D3" s="22">
        <v>13627.26</v>
      </c>
      <c r="E3" s="22">
        <v>0</v>
      </c>
      <c r="F3" s="22">
        <f>Tableau3[[#This Row],[Produit]]-Tableau3[[#This Row],[Charges]]</f>
        <v>-13627.26</v>
      </c>
      <c r="H3" t="s">
        <v>80</v>
      </c>
      <c r="I3" s="23" t="s">
        <v>16</v>
      </c>
      <c r="J3" s="42">
        <v>30</v>
      </c>
      <c r="K3" s="41">
        <v>30</v>
      </c>
      <c r="L3" s="42">
        <v>0</v>
      </c>
      <c r="M3" s="41">
        <v>0</v>
      </c>
      <c r="N3" s="40">
        <v>456</v>
      </c>
      <c r="O3">
        <v>456</v>
      </c>
      <c r="P3">
        <v>0</v>
      </c>
      <c r="Q3">
        <v>0</v>
      </c>
      <c r="R3">
        <v>6</v>
      </c>
      <c r="S3" s="35">
        <v>0</v>
      </c>
      <c r="T3" s="23">
        <f t="shared" si="0"/>
        <v>15.2</v>
      </c>
      <c r="U3" s="23" t="e">
        <f t="shared" si="1"/>
        <v>#DIV/0!</v>
      </c>
    </row>
    <row r="4" spans="1:21" x14ac:dyDescent="0.25">
      <c r="A4" s="17">
        <v>44227</v>
      </c>
      <c r="B4" s="18" t="s">
        <v>13</v>
      </c>
      <c r="D4" s="22">
        <v>73967.260000000009</v>
      </c>
      <c r="E4" s="22">
        <v>86383.333333333328</v>
      </c>
      <c r="F4" s="22">
        <f>Tableau3[[#This Row],[Produit]]-Tableau3[[#This Row],[Charges]]</f>
        <v>12416.073333333319</v>
      </c>
      <c r="H4" t="s">
        <v>83</v>
      </c>
      <c r="I4" s="23" t="s">
        <v>17</v>
      </c>
      <c r="J4" s="44">
        <v>57</v>
      </c>
      <c r="K4" s="43">
        <v>57</v>
      </c>
      <c r="L4" s="42">
        <v>32</v>
      </c>
      <c r="M4" s="41">
        <v>32</v>
      </c>
      <c r="N4" s="42">
        <v>393</v>
      </c>
      <c r="O4" s="41">
        <v>393</v>
      </c>
      <c r="P4">
        <v>10</v>
      </c>
      <c r="Q4">
        <v>0</v>
      </c>
      <c r="R4">
        <v>0</v>
      </c>
      <c r="S4">
        <v>0</v>
      </c>
      <c r="T4" s="23">
        <f t="shared" si="0"/>
        <v>6.8947368421052628</v>
      </c>
      <c r="U4" s="23">
        <f t="shared" si="1"/>
        <v>1228.125</v>
      </c>
    </row>
    <row r="5" spans="1:21" x14ac:dyDescent="0.25">
      <c r="A5" s="17">
        <v>44227</v>
      </c>
      <c r="B5" s="18" t="s">
        <v>14</v>
      </c>
      <c r="D5" s="22">
        <v>83829.666666666657</v>
      </c>
      <c r="E5" s="22">
        <v>77055.555555555547</v>
      </c>
      <c r="F5" s="22">
        <f>Tableau3[[#This Row],[Produit]]-Tableau3[[#This Row],[Charges]]</f>
        <v>-6774.1111111111095</v>
      </c>
      <c r="H5" t="s">
        <v>80</v>
      </c>
      <c r="I5" s="23" t="s">
        <v>18</v>
      </c>
      <c r="J5" s="42">
        <v>41</v>
      </c>
      <c r="K5" s="41">
        <v>41</v>
      </c>
      <c r="L5" s="42">
        <v>0</v>
      </c>
      <c r="M5" s="41">
        <v>0</v>
      </c>
      <c r="N5" s="40">
        <v>261</v>
      </c>
      <c r="O5">
        <v>261</v>
      </c>
      <c r="P5">
        <v>5</v>
      </c>
      <c r="Q5">
        <v>0</v>
      </c>
      <c r="R5">
        <v>0</v>
      </c>
      <c r="S5" s="35">
        <v>0</v>
      </c>
      <c r="T5" s="23">
        <f t="shared" si="0"/>
        <v>6.3658536585365857</v>
      </c>
      <c r="U5" s="23" t="e">
        <f t="shared" si="1"/>
        <v>#DIV/0!</v>
      </c>
    </row>
    <row r="6" spans="1:21" x14ac:dyDescent="0.25">
      <c r="A6" s="17">
        <v>44227</v>
      </c>
      <c r="B6" s="18" t="s">
        <v>15</v>
      </c>
      <c r="D6" s="22">
        <v>8820</v>
      </c>
      <c r="E6" s="22">
        <v>0</v>
      </c>
      <c r="F6" s="22">
        <f>Tableau3[[#This Row],[Produit]]-Tableau3[[#This Row],[Charges]]</f>
        <v>-8820</v>
      </c>
      <c r="H6" t="s">
        <v>116</v>
      </c>
      <c r="I6" s="23" t="s">
        <v>19</v>
      </c>
      <c r="J6" s="44">
        <v>56</v>
      </c>
      <c r="K6" s="43">
        <v>56</v>
      </c>
      <c r="L6" s="42">
        <v>31.5</v>
      </c>
      <c r="M6" s="41">
        <v>31.5</v>
      </c>
      <c r="N6" s="42">
        <v>505</v>
      </c>
      <c r="O6" s="41">
        <v>505</v>
      </c>
      <c r="P6">
        <v>10</v>
      </c>
      <c r="Q6">
        <v>0</v>
      </c>
      <c r="R6">
        <v>5</v>
      </c>
      <c r="S6">
        <v>2</v>
      </c>
      <c r="T6" s="23">
        <f t="shared" si="0"/>
        <v>9.0178571428571423</v>
      </c>
      <c r="U6" s="23">
        <f t="shared" si="1"/>
        <v>1603.1746031746031</v>
      </c>
    </row>
    <row r="7" spans="1:21" x14ac:dyDescent="0.25">
      <c r="A7" s="17">
        <v>44227</v>
      </c>
      <c r="B7" s="18" t="s">
        <v>16</v>
      </c>
      <c r="D7" s="22">
        <v>14423.333333333332</v>
      </c>
      <c r="E7" s="22">
        <v>17333.333333333332</v>
      </c>
      <c r="F7" s="22">
        <f>Tableau3[[#This Row],[Produit]]-Tableau3[[#This Row],[Charges]]</f>
        <v>2910</v>
      </c>
      <c r="H7" t="s">
        <v>116</v>
      </c>
      <c r="I7" s="23" t="s">
        <v>44</v>
      </c>
      <c r="J7" s="44">
        <v>165.5</v>
      </c>
      <c r="K7" s="43">
        <v>165.5</v>
      </c>
      <c r="L7" s="42">
        <v>810</v>
      </c>
      <c r="M7" s="41">
        <v>810</v>
      </c>
      <c r="N7" s="42">
        <v>984</v>
      </c>
      <c r="O7" s="41">
        <v>984</v>
      </c>
      <c r="P7">
        <v>0</v>
      </c>
      <c r="Q7">
        <v>0</v>
      </c>
      <c r="R7">
        <v>0</v>
      </c>
      <c r="S7">
        <v>0</v>
      </c>
      <c r="T7" s="23">
        <f t="shared" si="0"/>
        <v>5.9456193353474323</v>
      </c>
      <c r="U7" s="23">
        <f t="shared" si="1"/>
        <v>121.48148148148148</v>
      </c>
    </row>
    <row r="8" spans="1:21" x14ac:dyDescent="0.25">
      <c r="A8" s="17">
        <v>44227</v>
      </c>
      <c r="B8" s="18" t="s">
        <v>17</v>
      </c>
      <c r="D8" s="22">
        <v>6077.5555555555557</v>
      </c>
      <c r="E8" s="22">
        <v>888.88888888888891</v>
      </c>
      <c r="F8" s="22">
        <f>Tableau3[[#This Row],[Produit]]-Tableau3[[#This Row],[Charges]]</f>
        <v>-5188.666666666667</v>
      </c>
      <c r="H8" t="s">
        <v>80</v>
      </c>
      <c r="I8" s="23" t="s">
        <v>45</v>
      </c>
      <c r="J8" s="42">
        <v>231</v>
      </c>
      <c r="K8" s="41">
        <v>231</v>
      </c>
      <c r="L8" s="42">
        <v>486</v>
      </c>
      <c r="M8" s="41">
        <v>486</v>
      </c>
      <c r="N8" s="40">
        <v>760</v>
      </c>
      <c r="O8">
        <v>760</v>
      </c>
      <c r="P8">
        <v>0</v>
      </c>
      <c r="Q8">
        <v>0</v>
      </c>
      <c r="R8">
        <v>0</v>
      </c>
      <c r="S8" s="35">
        <v>0</v>
      </c>
      <c r="T8" s="23">
        <f t="shared" si="0"/>
        <v>3.2900432900432901</v>
      </c>
      <c r="U8" s="23">
        <f t="shared" si="1"/>
        <v>156.37860082304528</v>
      </c>
    </row>
    <row r="9" spans="1:21" x14ac:dyDescent="0.25">
      <c r="A9" s="17">
        <v>44227</v>
      </c>
      <c r="B9" s="18" t="s">
        <v>18</v>
      </c>
      <c r="D9" s="22">
        <v>4790</v>
      </c>
      <c r="E9" s="22">
        <v>0</v>
      </c>
      <c r="F9" s="22">
        <f>Tableau3[[#This Row],[Produit]]-Tableau3[[#This Row],[Charges]]</f>
        <v>-4790</v>
      </c>
      <c r="H9" t="s">
        <v>83</v>
      </c>
      <c r="I9" s="23" t="s">
        <v>46</v>
      </c>
      <c r="J9" s="44">
        <v>174</v>
      </c>
      <c r="K9" s="43">
        <v>174</v>
      </c>
      <c r="L9" s="42">
        <v>2388</v>
      </c>
      <c r="M9" s="41">
        <v>2388</v>
      </c>
      <c r="N9" s="42">
        <v>1953</v>
      </c>
      <c r="O9" s="41">
        <v>1953</v>
      </c>
      <c r="P9">
        <v>0</v>
      </c>
      <c r="Q9">
        <v>0</v>
      </c>
      <c r="R9">
        <v>0</v>
      </c>
      <c r="S9">
        <v>0</v>
      </c>
      <c r="T9" s="23">
        <f t="shared" si="0"/>
        <v>11.224137931034482</v>
      </c>
      <c r="U9" s="23">
        <f t="shared" si="1"/>
        <v>81.78391959798995</v>
      </c>
    </row>
    <row r="10" spans="1:21" x14ac:dyDescent="0.25">
      <c r="A10" s="17">
        <v>44227</v>
      </c>
      <c r="B10" s="18" t="s">
        <v>19</v>
      </c>
      <c r="D10" s="22">
        <v>25693.333333333332</v>
      </c>
      <c r="E10" s="22">
        <v>27333.333333333336</v>
      </c>
      <c r="F10" s="22">
        <f>Tableau3[[#This Row],[Produit]]-Tableau3[[#This Row],[Charges]]</f>
        <v>1640.0000000000036</v>
      </c>
      <c r="H10" t="s">
        <v>80</v>
      </c>
      <c r="I10" s="23" t="s">
        <v>47</v>
      </c>
      <c r="J10" s="42">
        <v>233</v>
      </c>
      <c r="K10" s="41">
        <v>233</v>
      </c>
      <c r="L10" s="42">
        <v>620</v>
      </c>
      <c r="M10" s="41">
        <v>620</v>
      </c>
      <c r="N10" s="40">
        <v>811</v>
      </c>
      <c r="O10">
        <v>811</v>
      </c>
      <c r="P10">
        <v>0</v>
      </c>
      <c r="Q10">
        <v>0</v>
      </c>
      <c r="R10">
        <v>0</v>
      </c>
      <c r="S10" s="35">
        <v>0</v>
      </c>
      <c r="T10" s="23">
        <f t="shared" si="0"/>
        <v>3.4806866952789699</v>
      </c>
      <c r="U10" s="23">
        <f t="shared" si="1"/>
        <v>130.80645161290323</v>
      </c>
    </row>
    <row r="11" spans="1:21" x14ac:dyDescent="0.25">
      <c r="A11" s="17">
        <v>44227</v>
      </c>
      <c r="B11" s="18" t="s">
        <v>20</v>
      </c>
      <c r="D11" s="22">
        <v>52390.733333333337</v>
      </c>
      <c r="E11" s="22">
        <v>77663.888888888963</v>
      </c>
      <c r="F11" s="22">
        <f>Tableau3[[#This Row],[Produit]]-Tableau3[[#This Row],[Charges]]</f>
        <v>25273.155555555626</v>
      </c>
      <c r="H11" t="s">
        <v>80</v>
      </c>
      <c r="I11" s="23" t="s">
        <v>48</v>
      </c>
      <c r="J11" s="42">
        <v>41</v>
      </c>
      <c r="K11" s="41">
        <v>116</v>
      </c>
      <c r="L11" s="42">
        <v>2077</v>
      </c>
      <c r="M11" s="41">
        <v>2294</v>
      </c>
      <c r="N11" s="40">
        <v>319</v>
      </c>
      <c r="O11">
        <v>842</v>
      </c>
      <c r="P11">
        <v>0</v>
      </c>
      <c r="Q11">
        <v>0</v>
      </c>
      <c r="R11">
        <v>11</v>
      </c>
      <c r="S11" s="35">
        <v>0</v>
      </c>
      <c r="T11" s="23">
        <f t="shared" si="0"/>
        <v>7.2586206896551726</v>
      </c>
      <c r="U11" s="23">
        <f t="shared" si="1"/>
        <v>36.704446381865736</v>
      </c>
    </row>
    <row r="12" spans="1:21" x14ac:dyDescent="0.25">
      <c r="A12" s="17">
        <v>44227</v>
      </c>
      <c r="B12" s="18" t="s">
        <v>21</v>
      </c>
      <c r="D12" s="22">
        <v>37113.733333333337</v>
      </c>
      <c r="E12" s="22">
        <v>50897.222222222219</v>
      </c>
      <c r="F12" s="22">
        <f>Tableau3[[#This Row],[Produit]]-Tableau3[[#This Row],[Charges]]</f>
        <v>13783.488888888882</v>
      </c>
      <c r="H12" t="s">
        <v>116</v>
      </c>
      <c r="I12" s="23" t="s">
        <v>48</v>
      </c>
      <c r="J12" s="44">
        <v>75</v>
      </c>
      <c r="K12" s="41">
        <v>116</v>
      </c>
      <c r="L12" s="42">
        <v>217</v>
      </c>
      <c r="M12" s="41">
        <v>2294</v>
      </c>
      <c r="N12" s="42">
        <v>262</v>
      </c>
      <c r="O12">
        <v>842</v>
      </c>
      <c r="P12">
        <v>0</v>
      </c>
      <c r="Q12">
        <v>0</v>
      </c>
      <c r="R12">
        <v>0</v>
      </c>
      <c r="S12">
        <v>0</v>
      </c>
      <c r="T12" s="23">
        <f t="shared" si="0"/>
        <v>7.2586206896551726</v>
      </c>
      <c r="U12" s="23">
        <f t="shared" si="1"/>
        <v>36.704446381865736</v>
      </c>
    </row>
    <row r="13" spans="1:21" x14ac:dyDescent="0.25">
      <c r="A13" s="17">
        <v>44227</v>
      </c>
      <c r="B13" s="18" t="s">
        <v>22</v>
      </c>
      <c r="D13" s="22">
        <v>97818.23000000001</v>
      </c>
      <c r="E13" s="22">
        <v>87749.999999999927</v>
      </c>
      <c r="F13" s="22">
        <f>Tableau3[[#This Row],[Produit]]-Tableau3[[#This Row],[Charges]]</f>
        <v>-10068.230000000083</v>
      </c>
      <c r="H13" t="s">
        <v>79</v>
      </c>
      <c r="I13" s="23" t="s">
        <v>48</v>
      </c>
      <c r="J13" s="44">
        <v>0</v>
      </c>
      <c r="K13" s="41">
        <v>116</v>
      </c>
      <c r="L13" s="42">
        <v>0</v>
      </c>
      <c r="M13" s="41">
        <v>2294</v>
      </c>
      <c r="N13" s="42">
        <v>154</v>
      </c>
      <c r="O13">
        <v>842</v>
      </c>
      <c r="P13">
        <v>0</v>
      </c>
      <c r="Q13">
        <v>0</v>
      </c>
      <c r="R13">
        <v>0</v>
      </c>
      <c r="S13">
        <v>0</v>
      </c>
      <c r="T13" s="23">
        <f t="shared" si="0"/>
        <v>7.2586206896551726</v>
      </c>
      <c r="U13" s="23">
        <f t="shared" si="1"/>
        <v>36.704446381865736</v>
      </c>
    </row>
    <row r="14" spans="1:21" x14ac:dyDescent="0.25">
      <c r="A14" s="17">
        <v>44227</v>
      </c>
      <c r="B14" s="18" t="s">
        <v>23</v>
      </c>
      <c r="D14" s="22">
        <v>102157.91333333334</v>
      </c>
      <c r="E14" s="22">
        <v>100533.33333333326</v>
      </c>
      <c r="F14" s="22">
        <f>Tableau3[[#This Row],[Produit]]-Tableau3[[#This Row],[Charges]]</f>
        <v>-1624.5800000000891</v>
      </c>
      <c r="H14" t="s">
        <v>84</v>
      </c>
      <c r="I14" s="23" t="s">
        <v>48</v>
      </c>
      <c r="J14" s="44">
        <v>0</v>
      </c>
      <c r="K14" s="41">
        <v>116</v>
      </c>
      <c r="L14" s="42">
        <v>0</v>
      </c>
      <c r="M14" s="41">
        <v>2294</v>
      </c>
      <c r="N14" s="42">
        <v>107</v>
      </c>
      <c r="O14">
        <v>842</v>
      </c>
      <c r="P14">
        <v>0</v>
      </c>
      <c r="Q14">
        <v>0</v>
      </c>
      <c r="R14">
        <v>0</v>
      </c>
      <c r="S14">
        <v>0</v>
      </c>
      <c r="T14" s="23">
        <f t="shared" si="0"/>
        <v>7.2586206896551726</v>
      </c>
      <c r="U14" s="23">
        <f t="shared" si="1"/>
        <v>36.704446381865736</v>
      </c>
    </row>
    <row r="15" spans="1:21" x14ac:dyDescent="0.25">
      <c r="A15" s="17">
        <v>44227</v>
      </c>
      <c r="B15" s="18" t="s">
        <v>24</v>
      </c>
      <c r="D15" s="22">
        <v>84883</v>
      </c>
      <c r="E15" s="22">
        <v>77999.999999999942</v>
      </c>
      <c r="F15" s="22">
        <f>Tableau3[[#This Row],[Produit]]-Tableau3[[#This Row],[Charges]]</f>
        <v>-6883.0000000000582</v>
      </c>
      <c r="H15" t="s">
        <v>80</v>
      </c>
      <c r="I15" s="23" t="s">
        <v>49</v>
      </c>
      <c r="J15" s="42">
        <v>104</v>
      </c>
      <c r="K15" s="41">
        <v>104</v>
      </c>
      <c r="L15" s="42">
        <v>1313</v>
      </c>
      <c r="M15" s="41">
        <v>1313</v>
      </c>
      <c r="N15" s="40">
        <v>681</v>
      </c>
      <c r="O15">
        <v>681</v>
      </c>
      <c r="P15">
        <v>0</v>
      </c>
      <c r="Q15">
        <v>0</v>
      </c>
      <c r="R15">
        <v>36</v>
      </c>
      <c r="S15" s="35">
        <v>0</v>
      </c>
      <c r="T15" s="23">
        <f t="shared" si="0"/>
        <v>6.5480769230769234</v>
      </c>
      <c r="U15" s="23">
        <f t="shared" si="1"/>
        <v>51.865955826351865</v>
      </c>
    </row>
    <row r="16" spans="1:21" x14ac:dyDescent="0.25">
      <c r="A16" s="17">
        <v>44227</v>
      </c>
      <c r="B16" s="18" t="s">
        <v>25</v>
      </c>
      <c r="D16" s="22">
        <v>96810.413333333345</v>
      </c>
      <c r="E16" s="22">
        <v>101833.33333333333</v>
      </c>
      <c r="F16" s="22">
        <f>Tableau3[[#This Row],[Produit]]-Tableau3[[#This Row],[Charges]]</f>
        <v>5022.9199999999837</v>
      </c>
      <c r="H16" t="s">
        <v>83</v>
      </c>
      <c r="I16" s="23" t="s">
        <v>50</v>
      </c>
      <c r="J16" s="44">
        <v>175</v>
      </c>
      <c r="K16" s="43">
        <v>175</v>
      </c>
      <c r="L16" s="42">
        <v>652</v>
      </c>
      <c r="M16" s="41">
        <v>652</v>
      </c>
      <c r="N16" s="42">
        <v>468</v>
      </c>
      <c r="O16" s="41">
        <v>468</v>
      </c>
      <c r="P16">
        <v>0</v>
      </c>
      <c r="Q16">
        <v>0</v>
      </c>
      <c r="R16">
        <v>0</v>
      </c>
      <c r="S16">
        <v>0</v>
      </c>
      <c r="T16" s="23">
        <f t="shared" si="0"/>
        <v>2.6742857142857144</v>
      </c>
      <c r="U16" s="23">
        <f t="shared" si="1"/>
        <v>71.779141104294482</v>
      </c>
    </row>
    <row r="17" spans="1:21" x14ac:dyDescent="0.25">
      <c r="A17" s="17">
        <v>44227</v>
      </c>
      <c r="B17" s="18" t="s">
        <v>26</v>
      </c>
      <c r="D17" s="22">
        <v>118040.92666666667</v>
      </c>
      <c r="E17" s="22">
        <v>100888.88888888889</v>
      </c>
      <c r="F17" s="22">
        <f>Tableau3[[#This Row],[Produit]]-Tableau3[[#This Row],[Charges]]</f>
        <v>-17152.037777777776</v>
      </c>
      <c r="H17" t="s">
        <v>80</v>
      </c>
      <c r="I17" s="23" t="s">
        <v>54</v>
      </c>
      <c r="J17" s="42">
        <v>34</v>
      </c>
      <c r="K17" s="41">
        <v>187.5</v>
      </c>
      <c r="L17" s="42">
        <v>0</v>
      </c>
      <c r="M17" s="41">
        <v>186</v>
      </c>
      <c r="N17" s="40">
        <v>0</v>
      </c>
      <c r="O17" s="41">
        <v>656.76</v>
      </c>
      <c r="P17">
        <v>0</v>
      </c>
      <c r="Q17">
        <v>0</v>
      </c>
      <c r="R17">
        <v>0</v>
      </c>
      <c r="S17" s="35">
        <v>0</v>
      </c>
      <c r="T17" s="23">
        <f t="shared" si="0"/>
        <v>3.5027200000000001</v>
      </c>
      <c r="U17" s="23">
        <f t="shared" si="1"/>
        <v>353.09677419354841</v>
      </c>
    </row>
    <row r="18" spans="1:21" x14ac:dyDescent="0.25">
      <c r="A18" s="17">
        <v>44227</v>
      </c>
      <c r="B18" s="18" t="s">
        <v>27</v>
      </c>
      <c r="D18" s="22">
        <v>26901.666666666668</v>
      </c>
      <c r="E18" s="22">
        <v>20144.444444444445</v>
      </c>
      <c r="F18" s="22">
        <f>Tableau3[[#This Row],[Produit]]-Tableau3[[#This Row],[Charges]]</f>
        <v>-6757.2222222222226</v>
      </c>
      <c r="H18" t="s">
        <v>79</v>
      </c>
      <c r="I18" s="23" t="s">
        <v>54</v>
      </c>
      <c r="J18" s="44">
        <v>153.5</v>
      </c>
      <c r="K18" s="41">
        <v>187.5</v>
      </c>
      <c r="L18" s="42">
        <v>186</v>
      </c>
      <c r="M18" s="41">
        <v>186</v>
      </c>
      <c r="N18" s="42">
        <v>656.76</v>
      </c>
      <c r="O18" s="41">
        <v>656.76</v>
      </c>
      <c r="P18">
        <v>0</v>
      </c>
      <c r="Q18">
        <v>0</v>
      </c>
      <c r="R18">
        <v>0</v>
      </c>
      <c r="S18">
        <v>10</v>
      </c>
      <c r="T18" s="23">
        <f t="shared" si="0"/>
        <v>3.5027200000000001</v>
      </c>
      <c r="U18" s="23">
        <f t="shared" si="1"/>
        <v>353.09677419354841</v>
      </c>
    </row>
    <row r="19" spans="1:21" x14ac:dyDescent="0.25">
      <c r="A19" s="17">
        <v>44227</v>
      </c>
      <c r="B19" s="18" t="s">
        <v>28</v>
      </c>
      <c r="D19" s="22">
        <v>31316.666666666668</v>
      </c>
      <c r="E19" s="22">
        <v>38044.444444444445</v>
      </c>
      <c r="F19" s="22">
        <f>Tableau3[[#This Row],[Produit]]-Tableau3[[#This Row],[Charges]]</f>
        <v>6727.7777777777774</v>
      </c>
      <c r="H19" t="s">
        <v>80</v>
      </c>
      <c r="I19" s="23" t="s">
        <v>56</v>
      </c>
      <c r="J19" s="42">
        <v>94</v>
      </c>
      <c r="K19" s="41">
        <v>94</v>
      </c>
      <c r="L19" s="42">
        <v>1948</v>
      </c>
      <c r="M19" s="41">
        <v>1948</v>
      </c>
      <c r="N19" s="40">
        <v>1595</v>
      </c>
      <c r="O19">
        <v>1595</v>
      </c>
      <c r="P19">
        <v>0</v>
      </c>
      <c r="Q19">
        <v>0</v>
      </c>
      <c r="R19">
        <v>0</v>
      </c>
      <c r="S19" s="35">
        <v>2</v>
      </c>
      <c r="T19" s="23">
        <f t="shared" si="0"/>
        <v>16.968085106382979</v>
      </c>
      <c r="U19" s="23">
        <f t="shared" si="1"/>
        <v>81.878850102669404</v>
      </c>
    </row>
    <row r="20" spans="1:21" x14ac:dyDescent="0.25">
      <c r="A20" s="17">
        <v>44227</v>
      </c>
      <c r="B20" s="18" t="s">
        <v>29</v>
      </c>
      <c r="D20" s="22">
        <v>40804.9</v>
      </c>
      <c r="E20" s="22">
        <v>68266.666666666657</v>
      </c>
      <c r="F20" s="22">
        <f>Tableau3[[#This Row],[Produit]]-Tableau3[[#This Row],[Charges]]</f>
        <v>27461.766666666656</v>
      </c>
      <c r="H20" t="s">
        <v>80</v>
      </c>
      <c r="I20" s="23" t="s">
        <v>57</v>
      </c>
      <c r="J20" s="42">
        <v>0</v>
      </c>
      <c r="K20" s="43">
        <v>34</v>
      </c>
      <c r="L20" s="42">
        <v>4890</v>
      </c>
      <c r="M20" s="41">
        <v>6801</v>
      </c>
      <c r="N20" s="40">
        <v>1918</v>
      </c>
      <c r="O20">
        <v>2468</v>
      </c>
      <c r="P20">
        <v>0</v>
      </c>
      <c r="Q20">
        <v>0</v>
      </c>
      <c r="R20">
        <v>0</v>
      </c>
      <c r="S20" s="35">
        <v>1</v>
      </c>
      <c r="T20" s="23">
        <f t="shared" si="0"/>
        <v>72.588235294117652</v>
      </c>
      <c r="U20" s="23">
        <f t="shared" si="1"/>
        <v>36.288781061608589</v>
      </c>
    </row>
    <row r="21" spans="1:21" x14ac:dyDescent="0.25">
      <c r="A21" s="17">
        <v>44227</v>
      </c>
      <c r="B21" s="18" t="s">
        <v>30</v>
      </c>
      <c r="D21" s="22">
        <v>57715.87222222222</v>
      </c>
      <c r="E21" s="22">
        <v>113027.77777777777</v>
      </c>
      <c r="F21" s="22">
        <f>Tableau3[[#This Row],[Produit]]-Tableau3[[#This Row],[Charges]]</f>
        <v>55311.905555555546</v>
      </c>
      <c r="H21" t="s">
        <v>84</v>
      </c>
      <c r="I21" s="23" t="s">
        <v>57</v>
      </c>
      <c r="J21" s="44">
        <v>34</v>
      </c>
      <c r="K21" s="43">
        <v>34</v>
      </c>
      <c r="L21" s="42">
        <v>1911</v>
      </c>
      <c r="M21" s="41">
        <v>6801</v>
      </c>
      <c r="N21" s="42">
        <v>550</v>
      </c>
      <c r="O21">
        <v>2468</v>
      </c>
      <c r="P21">
        <v>0</v>
      </c>
      <c r="Q21">
        <v>0</v>
      </c>
      <c r="R21">
        <v>0</v>
      </c>
      <c r="S21">
        <v>0</v>
      </c>
      <c r="T21" s="23">
        <f t="shared" si="0"/>
        <v>72.588235294117652</v>
      </c>
      <c r="U21" s="23">
        <f t="shared" si="1"/>
        <v>36.288781061608589</v>
      </c>
    </row>
    <row r="22" spans="1:21" x14ac:dyDescent="0.25">
      <c r="A22" s="17">
        <v>44227</v>
      </c>
      <c r="B22" s="18" t="s">
        <v>31</v>
      </c>
      <c r="D22" s="22">
        <v>8185.5555555555557</v>
      </c>
      <c r="E22" s="22">
        <v>7572.2222222222226</v>
      </c>
      <c r="F22" s="22">
        <f>Tableau3[[#This Row],[Produit]]-Tableau3[[#This Row],[Charges]]</f>
        <v>-613.33333333333303</v>
      </c>
      <c r="H22" t="s">
        <v>79</v>
      </c>
      <c r="I22" s="23" t="s">
        <v>55</v>
      </c>
      <c r="J22" s="44">
        <v>0</v>
      </c>
      <c r="K22" s="43">
        <v>0</v>
      </c>
      <c r="L22" s="42">
        <v>0</v>
      </c>
      <c r="M22" s="41">
        <v>0</v>
      </c>
      <c r="N22" s="42">
        <v>0</v>
      </c>
      <c r="O22" s="41">
        <v>0</v>
      </c>
      <c r="P22">
        <v>0</v>
      </c>
      <c r="Q22">
        <v>0</v>
      </c>
      <c r="R22">
        <v>0</v>
      </c>
      <c r="S22">
        <v>0</v>
      </c>
      <c r="T22" s="23" t="e">
        <f t="shared" si="0"/>
        <v>#DIV/0!</v>
      </c>
      <c r="U22" s="23" t="e">
        <f t="shared" si="1"/>
        <v>#DIV/0!</v>
      </c>
    </row>
    <row r="23" spans="1:21" x14ac:dyDescent="0.25">
      <c r="A23" s="17">
        <v>44227</v>
      </c>
      <c r="B23" s="18" t="s">
        <v>32</v>
      </c>
      <c r="D23" s="22">
        <v>0</v>
      </c>
      <c r="E23" s="22">
        <v>0</v>
      </c>
      <c r="F23" s="22">
        <f>Tableau3[[#This Row],[Produit]]-Tableau3[[#This Row],[Charges]]</f>
        <v>0</v>
      </c>
      <c r="H23" t="s">
        <v>80</v>
      </c>
      <c r="I23" s="23" t="s">
        <v>55</v>
      </c>
      <c r="J23" s="42">
        <v>116</v>
      </c>
      <c r="K23" s="41">
        <v>116</v>
      </c>
      <c r="L23" s="42">
        <v>301</v>
      </c>
      <c r="M23" s="41">
        <v>301</v>
      </c>
      <c r="N23" s="40">
        <v>533</v>
      </c>
      <c r="O23">
        <v>533</v>
      </c>
      <c r="P23">
        <v>0</v>
      </c>
      <c r="Q23">
        <v>0</v>
      </c>
      <c r="R23">
        <v>0</v>
      </c>
      <c r="S23" s="35">
        <v>0</v>
      </c>
      <c r="T23" s="23">
        <f t="shared" si="0"/>
        <v>4.5948275862068968</v>
      </c>
      <c r="U23" s="23">
        <f t="shared" si="1"/>
        <v>177.0764119601329</v>
      </c>
    </row>
    <row r="24" spans="1:21" x14ac:dyDescent="0.25">
      <c r="A24" s="17">
        <v>44227</v>
      </c>
      <c r="B24" s="18" t="s">
        <v>33</v>
      </c>
      <c r="D24" s="22">
        <v>7144</v>
      </c>
      <c r="E24" s="22">
        <v>7150</v>
      </c>
      <c r="F24" s="22">
        <f>Tableau3[[#This Row],[Produit]]-Tableau3[[#This Row],[Charges]]</f>
        <v>6</v>
      </c>
      <c r="H24" t="s">
        <v>79</v>
      </c>
      <c r="I24" s="23" t="s">
        <v>134</v>
      </c>
      <c r="J24" s="44">
        <v>0</v>
      </c>
      <c r="K24" s="43">
        <v>0</v>
      </c>
      <c r="L24" s="42">
        <v>0</v>
      </c>
      <c r="M24" s="41">
        <v>0</v>
      </c>
      <c r="N24" s="42">
        <v>0</v>
      </c>
      <c r="O24" s="41">
        <v>0</v>
      </c>
      <c r="P24">
        <v>0</v>
      </c>
      <c r="Q24">
        <v>0</v>
      </c>
      <c r="R24">
        <v>15</v>
      </c>
      <c r="S24">
        <v>0</v>
      </c>
      <c r="T24" s="23" t="e">
        <f t="shared" si="0"/>
        <v>#DIV/0!</v>
      </c>
      <c r="U24" s="23" t="e">
        <f t="shared" si="1"/>
        <v>#DIV/0!</v>
      </c>
    </row>
    <row r="25" spans="1:21" x14ac:dyDescent="0.25">
      <c r="A25" s="17">
        <v>44227</v>
      </c>
      <c r="B25" s="18" t="s">
        <v>34</v>
      </c>
      <c r="D25" s="22">
        <v>23831</v>
      </c>
      <c r="E25" s="22">
        <v>17416.666666666668</v>
      </c>
      <c r="F25" s="22">
        <f>Tableau3[[#This Row],[Produit]]-Tableau3[[#This Row],[Charges]]</f>
        <v>-6414.3333333333321</v>
      </c>
      <c r="H25" t="s">
        <v>80</v>
      </c>
      <c r="I25" s="23" t="s">
        <v>134</v>
      </c>
      <c r="J25" s="42">
        <v>16</v>
      </c>
      <c r="K25" s="41">
        <v>16</v>
      </c>
      <c r="L25" s="42">
        <v>0</v>
      </c>
      <c r="M25" s="41">
        <v>0</v>
      </c>
      <c r="N25" s="40">
        <v>174</v>
      </c>
      <c r="O25">
        <v>174</v>
      </c>
      <c r="P25">
        <v>2</v>
      </c>
      <c r="Q25">
        <v>0</v>
      </c>
      <c r="R25">
        <v>35</v>
      </c>
      <c r="S25" s="35">
        <v>0</v>
      </c>
      <c r="T25" s="23">
        <f t="shared" si="0"/>
        <v>10.875</v>
      </c>
      <c r="U25" s="23" t="e">
        <f t="shared" si="1"/>
        <v>#DIV/0!</v>
      </c>
    </row>
    <row r="26" spans="1:21" x14ac:dyDescent="0.25">
      <c r="A26" s="17">
        <v>44227</v>
      </c>
      <c r="B26" s="18" t="s">
        <v>35</v>
      </c>
      <c r="D26" s="22">
        <v>0</v>
      </c>
      <c r="E26" s="22">
        <v>0</v>
      </c>
      <c r="F26" s="22">
        <f>Tableau3[[#This Row],[Produit]]-Tableau3[[#This Row],[Charges]]</f>
        <v>0</v>
      </c>
      <c r="H26" t="s">
        <v>83</v>
      </c>
      <c r="I26" s="23" t="s">
        <v>52</v>
      </c>
      <c r="J26" s="44">
        <v>67.300000000000011</v>
      </c>
      <c r="K26" s="43">
        <v>67.300000000000011</v>
      </c>
      <c r="L26" s="42">
        <v>90024</v>
      </c>
      <c r="M26" s="41">
        <v>90024</v>
      </c>
      <c r="N26" s="42">
        <v>246</v>
      </c>
      <c r="O26" s="41">
        <v>246</v>
      </c>
      <c r="P26">
        <v>0</v>
      </c>
      <c r="Q26">
        <v>0</v>
      </c>
      <c r="R26">
        <v>0</v>
      </c>
      <c r="S26">
        <v>0</v>
      </c>
      <c r="T26" s="23">
        <f t="shared" si="0"/>
        <v>3.6552748885586919</v>
      </c>
      <c r="U26" s="23">
        <f t="shared" si="1"/>
        <v>0.27326046387629965</v>
      </c>
    </row>
    <row r="27" spans="1:21" x14ac:dyDescent="0.25">
      <c r="A27" s="17">
        <v>44227</v>
      </c>
      <c r="B27" s="18" t="s">
        <v>36</v>
      </c>
      <c r="D27" s="22">
        <v>163395.68333333335</v>
      </c>
      <c r="E27" s="22">
        <v>166111.11111111112</v>
      </c>
      <c r="F27" s="22">
        <f>Tableau3[[#This Row],[Produit]]-Tableau3[[#This Row],[Charges]]</f>
        <v>2715.4277777777752</v>
      </c>
      <c r="H27" t="s">
        <v>83</v>
      </c>
      <c r="I27" s="23" t="s">
        <v>28</v>
      </c>
      <c r="J27" s="44">
        <v>170</v>
      </c>
      <c r="K27" s="43">
        <v>170</v>
      </c>
      <c r="L27" s="42">
        <v>457</v>
      </c>
      <c r="M27" s="41">
        <v>457</v>
      </c>
      <c r="N27" s="42">
        <v>2473</v>
      </c>
      <c r="O27" s="41">
        <v>2473</v>
      </c>
      <c r="P27">
        <v>5</v>
      </c>
      <c r="Q27">
        <v>0</v>
      </c>
      <c r="R27">
        <v>0</v>
      </c>
      <c r="S27">
        <v>0</v>
      </c>
      <c r="T27" s="23">
        <f t="shared" si="0"/>
        <v>14.547058823529412</v>
      </c>
      <c r="U27" s="23">
        <f t="shared" si="1"/>
        <v>541.13785557986876</v>
      </c>
    </row>
    <row r="28" spans="1:21" x14ac:dyDescent="0.25">
      <c r="A28" s="17">
        <v>44227</v>
      </c>
      <c r="B28" s="18" t="s">
        <v>37</v>
      </c>
      <c r="D28" s="22">
        <v>29556</v>
      </c>
      <c r="E28" s="22">
        <v>0</v>
      </c>
      <c r="F28" s="22">
        <f>Tableau3[[#This Row],[Produit]]-Tableau3[[#This Row],[Charges]]</f>
        <v>-29556</v>
      </c>
      <c r="H28" t="s">
        <v>80</v>
      </c>
      <c r="I28" s="23" t="s">
        <v>29</v>
      </c>
      <c r="J28" s="42">
        <v>11</v>
      </c>
      <c r="K28" s="41">
        <v>11</v>
      </c>
      <c r="L28" s="42">
        <v>0</v>
      </c>
      <c r="M28" s="41">
        <v>0</v>
      </c>
      <c r="N28" s="40">
        <v>0</v>
      </c>
      <c r="O28">
        <v>0</v>
      </c>
      <c r="P28">
        <v>0</v>
      </c>
      <c r="Q28">
        <v>0</v>
      </c>
      <c r="R28">
        <v>0</v>
      </c>
      <c r="S28" s="35">
        <v>0</v>
      </c>
      <c r="T28" s="23">
        <f t="shared" si="0"/>
        <v>0</v>
      </c>
      <c r="U28" s="23" t="e">
        <f t="shared" si="1"/>
        <v>#DIV/0!</v>
      </c>
    </row>
    <row r="29" spans="1:21" x14ac:dyDescent="0.25">
      <c r="A29" s="17">
        <v>44227</v>
      </c>
      <c r="B29" s="18" t="s">
        <v>38</v>
      </c>
      <c r="D29" s="22">
        <v>64727.466666666674</v>
      </c>
      <c r="E29" s="22">
        <v>107333.33333333334</v>
      </c>
      <c r="F29" s="22">
        <f>Tableau3[[#This Row],[Produit]]-Tableau3[[#This Row],[Charges]]</f>
        <v>42605.866666666669</v>
      </c>
      <c r="H29" t="s">
        <v>79</v>
      </c>
      <c r="I29" s="23" t="s">
        <v>29</v>
      </c>
      <c r="J29" s="44">
        <v>199</v>
      </c>
      <c r="K29" s="43">
        <v>199</v>
      </c>
      <c r="L29" s="42">
        <v>124.40000000000146</v>
      </c>
      <c r="M29" s="41">
        <v>124.40000000000146</v>
      </c>
      <c r="N29" s="42">
        <v>1659.72</v>
      </c>
      <c r="O29" s="41">
        <v>1659.72</v>
      </c>
      <c r="P29">
        <v>30</v>
      </c>
      <c r="Q29">
        <v>0</v>
      </c>
      <c r="R29">
        <v>10</v>
      </c>
      <c r="S29">
        <v>10</v>
      </c>
      <c r="T29" s="23">
        <f t="shared" si="0"/>
        <v>8.3403015075376885</v>
      </c>
      <c r="U29" s="23">
        <f t="shared" si="1"/>
        <v>1334.180064308666</v>
      </c>
    </row>
    <row r="30" spans="1:21" x14ac:dyDescent="0.25">
      <c r="A30" s="17">
        <v>44227</v>
      </c>
      <c r="B30" s="18" t="s">
        <v>44</v>
      </c>
      <c r="D30" s="22">
        <v>34714.888888888891</v>
      </c>
      <c r="E30" s="22">
        <v>41311.111111111117</v>
      </c>
      <c r="F30" s="22">
        <f>Tableau3[[#This Row],[Produit]]-Tableau3[[#This Row],[Charges]]</f>
        <v>6596.2222222222263</v>
      </c>
      <c r="H30" t="s">
        <v>84</v>
      </c>
      <c r="I30" s="23" t="s">
        <v>94</v>
      </c>
      <c r="J30" s="44">
        <v>157</v>
      </c>
      <c r="K30" s="43">
        <v>157</v>
      </c>
      <c r="L30" s="42">
        <v>133</v>
      </c>
      <c r="M30" s="41">
        <v>133</v>
      </c>
      <c r="N30" s="42">
        <v>1647</v>
      </c>
      <c r="O30" s="41">
        <v>1647</v>
      </c>
      <c r="P30">
        <v>40</v>
      </c>
      <c r="Q30">
        <v>0</v>
      </c>
      <c r="R30">
        <v>0</v>
      </c>
      <c r="S30">
        <v>10</v>
      </c>
      <c r="T30" s="23">
        <f t="shared" si="0"/>
        <v>10.490445859872612</v>
      </c>
      <c r="U30" s="23">
        <f t="shared" si="1"/>
        <v>1238.3458646616541</v>
      </c>
    </row>
    <row r="31" spans="1:21" x14ac:dyDescent="0.25">
      <c r="A31" s="17">
        <v>44227</v>
      </c>
      <c r="B31" s="18" t="s">
        <v>45</v>
      </c>
      <c r="D31" s="22">
        <v>48835.777777777781</v>
      </c>
      <c r="E31" s="22">
        <v>61822.222222222226</v>
      </c>
      <c r="F31" s="22">
        <f>Tableau3[[#This Row],[Produit]]-Tableau3[[#This Row],[Charges]]</f>
        <v>12986.444444444445</v>
      </c>
      <c r="H31" t="s">
        <v>84</v>
      </c>
      <c r="I31" s="23" t="s">
        <v>126</v>
      </c>
      <c r="J31" s="44">
        <v>189</v>
      </c>
      <c r="K31" s="43">
        <v>189</v>
      </c>
      <c r="L31" s="42">
        <v>170</v>
      </c>
      <c r="M31" s="41">
        <v>170</v>
      </c>
      <c r="N31" s="42">
        <v>1745</v>
      </c>
      <c r="O31" s="41">
        <v>1745</v>
      </c>
      <c r="P31">
        <v>35</v>
      </c>
      <c r="Q31">
        <v>0</v>
      </c>
      <c r="R31">
        <v>0</v>
      </c>
      <c r="S31">
        <v>10</v>
      </c>
      <c r="T31" s="23">
        <f t="shared" si="0"/>
        <v>9.2328042328042326</v>
      </c>
      <c r="U31" s="23">
        <f t="shared" si="1"/>
        <v>1026.4705882352941</v>
      </c>
    </row>
    <row r="32" spans="1:21" x14ac:dyDescent="0.25">
      <c r="A32" s="17">
        <v>44227</v>
      </c>
      <c r="B32" s="18" t="s">
        <v>46</v>
      </c>
      <c r="D32" s="22">
        <v>58622.222222222219</v>
      </c>
      <c r="E32" s="22">
        <v>65577.777777777781</v>
      </c>
      <c r="F32" s="22">
        <f>Tableau3[[#This Row],[Produit]]-Tableau3[[#This Row],[Charges]]</f>
        <v>6955.555555555562</v>
      </c>
      <c r="H32" t="s">
        <v>83</v>
      </c>
      <c r="I32" s="23" t="s">
        <v>36</v>
      </c>
      <c r="J32" s="44">
        <v>117</v>
      </c>
      <c r="K32" s="43">
        <v>117</v>
      </c>
      <c r="L32" s="42">
        <v>110</v>
      </c>
      <c r="M32" s="41">
        <v>110</v>
      </c>
      <c r="N32" s="42">
        <v>3884</v>
      </c>
      <c r="O32" s="41">
        <v>3884</v>
      </c>
      <c r="P32">
        <v>19</v>
      </c>
      <c r="Q32">
        <v>0</v>
      </c>
      <c r="R32">
        <v>0</v>
      </c>
      <c r="S32">
        <v>45</v>
      </c>
      <c r="T32" s="23">
        <f t="shared" si="0"/>
        <v>33.196581196581199</v>
      </c>
      <c r="U32" s="23">
        <f t="shared" si="1"/>
        <v>3530.909090909091</v>
      </c>
    </row>
    <row r="33" spans="1:21" x14ac:dyDescent="0.25">
      <c r="A33" s="17">
        <v>44227</v>
      </c>
      <c r="B33" s="18" t="s">
        <v>47</v>
      </c>
      <c r="D33" s="22">
        <v>62859.777777777781</v>
      </c>
      <c r="E33" s="22">
        <v>59222.222222222226</v>
      </c>
      <c r="F33" s="22">
        <f>Tableau3[[#This Row],[Produit]]-Tableau3[[#This Row],[Charges]]</f>
        <v>-3637.5555555555547</v>
      </c>
      <c r="H33" t="s">
        <v>79</v>
      </c>
      <c r="I33" s="23" t="s">
        <v>37</v>
      </c>
      <c r="J33" s="44">
        <v>142.5</v>
      </c>
      <c r="K33" s="43">
        <v>142.5</v>
      </c>
      <c r="L33" s="42">
        <v>0</v>
      </c>
      <c r="M33" s="41">
        <v>0</v>
      </c>
      <c r="N33" s="42">
        <v>0</v>
      </c>
      <c r="O33" s="41">
        <v>0</v>
      </c>
      <c r="P33">
        <v>0</v>
      </c>
      <c r="Q33">
        <v>0</v>
      </c>
      <c r="R33">
        <v>0</v>
      </c>
      <c r="S33">
        <v>0</v>
      </c>
      <c r="T33" s="23">
        <f t="shared" si="0"/>
        <v>0</v>
      </c>
      <c r="U33" s="23" t="e">
        <f t="shared" si="1"/>
        <v>#DIV/0!</v>
      </c>
    </row>
    <row r="34" spans="1:21" x14ac:dyDescent="0.25">
      <c r="A34" s="17">
        <v>44227</v>
      </c>
      <c r="B34" s="18" t="s">
        <v>48</v>
      </c>
      <c r="D34" s="22">
        <v>29160.455555555556</v>
      </c>
      <c r="E34" s="22">
        <v>25977.777777777774</v>
      </c>
      <c r="F34" s="22">
        <f>Tableau3[[#This Row],[Produit]]-Tableau3[[#This Row],[Charges]]</f>
        <v>-3182.6777777777825</v>
      </c>
      <c r="H34" t="s">
        <v>80</v>
      </c>
      <c r="I34" s="23" t="s">
        <v>51</v>
      </c>
      <c r="J34" s="42">
        <v>55</v>
      </c>
      <c r="K34" s="41">
        <v>55</v>
      </c>
      <c r="L34" s="42">
        <v>10292</v>
      </c>
      <c r="M34" s="41">
        <v>10292</v>
      </c>
      <c r="N34" s="40">
        <v>570</v>
      </c>
      <c r="O34">
        <v>1113</v>
      </c>
      <c r="P34">
        <v>0</v>
      </c>
      <c r="Q34">
        <v>0</v>
      </c>
      <c r="R34">
        <v>5</v>
      </c>
      <c r="S34" s="35">
        <v>0</v>
      </c>
      <c r="T34" s="23">
        <f t="shared" ref="T34:T65" si="2">O34/K34</f>
        <v>20.236363636363638</v>
      </c>
      <c r="U34" s="23">
        <f t="shared" ref="U34:U65" si="3">O34*100/M34</f>
        <v>10.814224640497473</v>
      </c>
    </row>
    <row r="35" spans="1:21" x14ac:dyDescent="0.25">
      <c r="A35" s="17">
        <v>44227</v>
      </c>
      <c r="B35" s="18" t="s">
        <v>49</v>
      </c>
      <c r="D35" s="22">
        <v>24439.222222222223</v>
      </c>
      <c r="E35" s="22">
        <v>8711.1111111111113</v>
      </c>
      <c r="F35" s="22">
        <f>Tableau3[[#This Row],[Produit]]-Tableau3[[#This Row],[Charges]]</f>
        <v>-15728.111111111111</v>
      </c>
      <c r="H35" t="s">
        <v>80</v>
      </c>
      <c r="I35" s="23" t="s">
        <v>51</v>
      </c>
      <c r="J35" s="42">
        <v>0</v>
      </c>
      <c r="K35" s="41">
        <v>55</v>
      </c>
      <c r="L35" s="42">
        <v>0</v>
      </c>
      <c r="M35" s="41">
        <v>10292</v>
      </c>
      <c r="N35" s="40">
        <v>356</v>
      </c>
      <c r="O35">
        <v>1113</v>
      </c>
      <c r="P35">
        <v>5</v>
      </c>
      <c r="Q35">
        <v>0</v>
      </c>
      <c r="R35">
        <v>0</v>
      </c>
      <c r="S35" s="35">
        <v>0</v>
      </c>
      <c r="T35" s="23">
        <f t="shared" si="2"/>
        <v>20.236363636363638</v>
      </c>
      <c r="U35" s="23">
        <f t="shared" si="3"/>
        <v>10.814224640497473</v>
      </c>
    </row>
    <row r="36" spans="1:21" x14ac:dyDescent="0.25">
      <c r="A36" s="17">
        <v>44227</v>
      </c>
      <c r="B36" s="18" t="s">
        <v>50</v>
      </c>
      <c r="D36" s="22">
        <v>27626.111111111113</v>
      </c>
      <c r="E36" s="22">
        <v>26755.555555555555</v>
      </c>
      <c r="F36" s="22">
        <f>Tableau3[[#This Row],[Produit]]-Tableau3[[#This Row],[Charges]]</f>
        <v>-870.55555555555839</v>
      </c>
      <c r="H36" t="s">
        <v>79</v>
      </c>
      <c r="I36" s="23" t="s">
        <v>51</v>
      </c>
      <c r="J36" s="44">
        <v>0</v>
      </c>
      <c r="K36" s="41">
        <v>55</v>
      </c>
      <c r="L36" s="42">
        <v>0</v>
      </c>
      <c r="M36" s="41">
        <v>10292</v>
      </c>
      <c r="N36" s="42">
        <v>187</v>
      </c>
      <c r="O36">
        <v>1113</v>
      </c>
      <c r="P36">
        <v>0</v>
      </c>
      <c r="Q36">
        <v>0</v>
      </c>
      <c r="R36">
        <v>0</v>
      </c>
      <c r="S36">
        <v>0</v>
      </c>
      <c r="T36" s="23">
        <f t="shared" si="2"/>
        <v>20.236363636363638</v>
      </c>
      <c r="U36" s="23">
        <f t="shared" si="3"/>
        <v>10.814224640497473</v>
      </c>
    </row>
    <row r="37" spans="1:21" x14ac:dyDescent="0.25">
      <c r="A37" s="17">
        <v>44227</v>
      </c>
      <c r="B37" s="18" t="s">
        <v>51</v>
      </c>
      <c r="D37" s="22">
        <v>8311.4444444444453</v>
      </c>
      <c r="E37" s="22">
        <v>1600</v>
      </c>
      <c r="F37" s="22">
        <f>Tableau3[[#This Row],[Produit]]-Tableau3[[#This Row],[Charges]]</f>
        <v>-6711.4444444444453</v>
      </c>
      <c r="H37" t="s">
        <v>83</v>
      </c>
      <c r="I37" s="23" t="s">
        <v>30</v>
      </c>
      <c r="J37" s="44">
        <v>173</v>
      </c>
      <c r="K37" s="43">
        <v>173</v>
      </c>
      <c r="L37" s="42">
        <v>166</v>
      </c>
      <c r="M37" s="41">
        <v>166</v>
      </c>
      <c r="N37" s="42">
        <v>770</v>
      </c>
      <c r="O37" s="41">
        <v>770</v>
      </c>
      <c r="P37">
        <v>21</v>
      </c>
      <c r="Q37">
        <v>0</v>
      </c>
      <c r="R37">
        <v>0</v>
      </c>
      <c r="S37">
        <v>0</v>
      </c>
      <c r="T37" s="23">
        <f t="shared" si="2"/>
        <v>4.4508670520231215</v>
      </c>
      <c r="U37" s="23">
        <f t="shared" si="3"/>
        <v>463.85542168674698</v>
      </c>
    </row>
    <row r="38" spans="1:21" x14ac:dyDescent="0.25">
      <c r="A38" s="17">
        <v>44227</v>
      </c>
      <c r="B38" s="18" t="s">
        <v>52</v>
      </c>
      <c r="D38" s="22">
        <v>10102.777777777777</v>
      </c>
      <c r="E38" s="22">
        <v>2100</v>
      </c>
      <c r="F38" s="22">
        <f>Tableau3[[#This Row],[Produit]]-Tableau3[[#This Row],[Charges]]</f>
        <v>-8002.7777777777774</v>
      </c>
      <c r="H38" t="s">
        <v>80</v>
      </c>
      <c r="I38" s="23" t="s">
        <v>38</v>
      </c>
      <c r="J38" s="42">
        <v>77</v>
      </c>
      <c r="K38" s="41">
        <v>172</v>
      </c>
      <c r="L38" s="42">
        <v>67</v>
      </c>
      <c r="M38" s="41">
        <v>153</v>
      </c>
      <c r="N38" s="40">
        <v>1290</v>
      </c>
      <c r="O38">
        <v>3544</v>
      </c>
      <c r="P38">
        <v>42</v>
      </c>
      <c r="Q38">
        <v>0</v>
      </c>
      <c r="R38">
        <v>10</v>
      </c>
      <c r="S38" s="35">
        <v>5</v>
      </c>
      <c r="T38" s="23">
        <f t="shared" si="2"/>
        <v>20.604651162790699</v>
      </c>
      <c r="U38" s="23">
        <f t="shared" si="3"/>
        <v>2316.3398692810456</v>
      </c>
    </row>
    <row r="39" spans="1:21" x14ac:dyDescent="0.25">
      <c r="A39" s="17">
        <v>44227</v>
      </c>
      <c r="B39" s="18" t="s">
        <v>53</v>
      </c>
      <c r="D39" s="22">
        <v>0</v>
      </c>
      <c r="E39" s="22">
        <v>0</v>
      </c>
      <c r="F39" s="22">
        <f>Tableau3[[#This Row],[Produit]]-Tableau3[[#This Row],[Charges]]</f>
        <v>0</v>
      </c>
      <c r="H39" t="s">
        <v>84</v>
      </c>
      <c r="I39" s="23" t="s">
        <v>38</v>
      </c>
      <c r="J39" s="44">
        <v>95</v>
      </c>
      <c r="K39" s="41">
        <v>172</v>
      </c>
      <c r="L39" s="42">
        <v>86</v>
      </c>
      <c r="M39" s="41">
        <v>153</v>
      </c>
      <c r="N39" s="42">
        <v>2254</v>
      </c>
      <c r="O39">
        <v>3544</v>
      </c>
      <c r="P39">
        <v>25</v>
      </c>
      <c r="Q39">
        <v>0</v>
      </c>
      <c r="R39">
        <v>35</v>
      </c>
      <c r="S39">
        <v>10</v>
      </c>
      <c r="T39" s="23">
        <f t="shared" si="2"/>
        <v>20.604651162790699</v>
      </c>
      <c r="U39" s="23">
        <f t="shared" si="3"/>
        <v>2316.3398692810456</v>
      </c>
    </row>
    <row r="40" spans="1:21" x14ac:dyDescent="0.25">
      <c r="A40" s="17">
        <v>44227</v>
      </c>
      <c r="B40" s="18" t="s">
        <v>54</v>
      </c>
      <c r="D40" s="22">
        <v>86716.666666666672</v>
      </c>
      <c r="E40" s="22">
        <v>66600</v>
      </c>
      <c r="F40" s="22">
        <f>Tableau3[[#This Row],[Produit]]-Tableau3[[#This Row],[Charges]]</f>
        <v>-20116.666666666672</v>
      </c>
      <c r="H40" t="s">
        <v>79</v>
      </c>
      <c r="I40" s="23" t="s">
        <v>136</v>
      </c>
      <c r="J40" s="44">
        <v>0</v>
      </c>
      <c r="K40" s="43">
        <v>0</v>
      </c>
      <c r="L40" s="42">
        <v>0</v>
      </c>
      <c r="M40" s="41">
        <v>0</v>
      </c>
      <c r="N40" s="42">
        <v>0</v>
      </c>
      <c r="O40" s="41">
        <v>0</v>
      </c>
      <c r="P40">
        <v>10</v>
      </c>
      <c r="Q40">
        <v>0</v>
      </c>
      <c r="R40">
        <v>0</v>
      </c>
      <c r="S40">
        <v>0</v>
      </c>
      <c r="T40" s="23" t="e">
        <f t="shared" si="2"/>
        <v>#DIV/0!</v>
      </c>
      <c r="U40" s="23" t="e">
        <f t="shared" si="3"/>
        <v>#DIV/0!</v>
      </c>
    </row>
    <row r="41" spans="1:21" x14ac:dyDescent="0.25">
      <c r="A41" s="17">
        <v>44227</v>
      </c>
      <c r="B41" s="18" t="s">
        <v>55</v>
      </c>
      <c r="D41" s="22">
        <v>61851.111111111109</v>
      </c>
      <c r="E41" s="22">
        <v>59700</v>
      </c>
      <c r="F41" s="22">
        <f>Tableau3[[#This Row],[Produit]]-Tableau3[[#This Row],[Charges]]</f>
        <v>-2151.1111111111095</v>
      </c>
      <c r="H41" t="s">
        <v>116</v>
      </c>
      <c r="I41" s="23" t="s">
        <v>11</v>
      </c>
      <c r="J41" s="44">
        <v>95</v>
      </c>
      <c r="K41" s="43">
        <v>95</v>
      </c>
      <c r="L41" s="42">
        <v>0</v>
      </c>
      <c r="M41" s="41">
        <v>0</v>
      </c>
      <c r="N41" s="42">
        <v>1010</v>
      </c>
      <c r="O41" s="41">
        <v>1010</v>
      </c>
      <c r="P41">
        <v>85</v>
      </c>
      <c r="Q41">
        <v>0</v>
      </c>
      <c r="R41">
        <v>0</v>
      </c>
      <c r="S41">
        <v>2</v>
      </c>
      <c r="T41" s="23">
        <f t="shared" si="2"/>
        <v>10.631578947368421</v>
      </c>
      <c r="U41" s="23" t="e">
        <f t="shared" si="3"/>
        <v>#DIV/0!</v>
      </c>
    </row>
    <row r="42" spans="1:21" x14ac:dyDescent="0.25">
      <c r="A42" s="17">
        <v>44227</v>
      </c>
      <c r="B42" s="18" t="s">
        <v>56</v>
      </c>
      <c r="D42" s="22">
        <v>35976.111111111109</v>
      </c>
      <c r="E42" s="22">
        <v>10888.888888888891</v>
      </c>
      <c r="F42" s="22">
        <f>Tableau3[[#This Row],[Produit]]-Tableau3[[#This Row],[Charges]]</f>
        <v>-25087.222222222219</v>
      </c>
      <c r="H42" t="s">
        <v>83</v>
      </c>
      <c r="I42" s="23" t="s">
        <v>13</v>
      </c>
      <c r="J42" s="44">
        <v>151</v>
      </c>
      <c r="K42" s="43">
        <v>151</v>
      </c>
      <c r="L42" s="42">
        <v>0</v>
      </c>
      <c r="M42" s="41">
        <v>0</v>
      </c>
      <c r="N42" s="42">
        <v>527</v>
      </c>
      <c r="O42" s="41">
        <v>527</v>
      </c>
      <c r="P42">
        <v>5</v>
      </c>
      <c r="Q42">
        <v>0</v>
      </c>
      <c r="R42">
        <v>0</v>
      </c>
      <c r="S42">
        <v>0</v>
      </c>
      <c r="T42" s="23">
        <f t="shared" si="2"/>
        <v>3.4900662251655628</v>
      </c>
      <c r="U42" s="23" t="e">
        <f t="shared" si="3"/>
        <v>#DIV/0!</v>
      </c>
    </row>
    <row r="43" spans="1:21" x14ac:dyDescent="0.25">
      <c r="A43" s="17">
        <v>44227</v>
      </c>
      <c r="B43" s="18" t="s">
        <v>57</v>
      </c>
      <c r="D43" s="22">
        <v>34996.622222222228</v>
      </c>
      <c r="E43" s="22">
        <v>11277.777777777779</v>
      </c>
      <c r="F43" s="22">
        <f>Tableau3[[#This Row],[Produit]]-Tableau3[[#This Row],[Charges]]</f>
        <v>-23718.844444444447</v>
      </c>
      <c r="H43" t="s">
        <v>80</v>
      </c>
      <c r="I43" s="23" t="s">
        <v>14</v>
      </c>
      <c r="J43" s="42">
        <v>60</v>
      </c>
      <c r="K43" s="41">
        <v>60</v>
      </c>
      <c r="L43" s="42">
        <v>208</v>
      </c>
      <c r="M43" s="41">
        <v>208</v>
      </c>
      <c r="N43" s="40">
        <v>1454</v>
      </c>
      <c r="O43">
        <v>1454</v>
      </c>
      <c r="P43">
        <v>28</v>
      </c>
      <c r="Q43">
        <v>0</v>
      </c>
      <c r="R43">
        <v>5</v>
      </c>
      <c r="S43" s="35">
        <v>5</v>
      </c>
      <c r="T43" s="23">
        <f t="shared" si="2"/>
        <v>24.233333333333334</v>
      </c>
      <c r="U43" s="23">
        <f t="shared" si="3"/>
        <v>699.03846153846155</v>
      </c>
    </row>
    <row r="44" spans="1:21" x14ac:dyDescent="0.25">
      <c r="A44" s="17">
        <v>44227</v>
      </c>
      <c r="B44" s="18" t="s">
        <v>58</v>
      </c>
      <c r="D44" s="22">
        <v>19085</v>
      </c>
      <c r="E44" s="22">
        <v>10800</v>
      </c>
      <c r="F44" s="22">
        <f>Tableau3[[#This Row],[Produit]]-Tableau3[[#This Row],[Charges]]</f>
        <v>-8285</v>
      </c>
      <c r="H44" t="s">
        <v>116</v>
      </c>
      <c r="I44" s="23" t="s">
        <v>15</v>
      </c>
      <c r="J44" s="44">
        <v>109</v>
      </c>
      <c r="K44" s="43">
        <v>109</v>
      </c>
      <c r="L44" s="42">
        <v>68</v>
      </c>
      <c r="M44" s="41">
        <v>68</v>
      </c>
      <c r="N44" s="42">
        <v>1410</v>
      </c>
      <c r="O44" s="41">
        <v>1410</v>
      </c>
      <c r="P44">
        <v>10</v>
      </c>
      <c r="Q44">
        <v>0</v>
      </c>
      <c r="R44">
        <v>0</v>
      </c>
      <c r="S44">
        <v>2</v>
      </c>
      <c r="T44" s="23">
        <f t="shared" si="2"/>
        <v>12.935779816513762</v>
      </c>
      <c r="U44" s="23">
        <f t="shared" si="3"/>
        <v>2073.5294117647059</v>
      </c>
    </row>
    <row r="45" spans="1:21" x14ac:dyDescent="0.25">
      <c r="A45" s="17">
        <v>44227</v>
      </c>
      <c r="B45" s="18" t="s">
        <v>59</v>
      </c>
      <c r="D45" s="22">
        <v>7124</v>
      </c>
      <c r="E45" s="22">
        <v>13200.000000000002</v>
      </c>
      <c r="F45" s="22">
        <f>Tableau3[[#This Row],[Produit]]-Tableau3[[#This Row],[Charges]]</f>
        <v>6076.0000000000018</v>
      </c>
      <c r="H45" t="s">
        <v>79</v>
      </c>
      <c r="I45" s="23" t="s">
        <v>97</v>
      </c>
      <c r="J45" s="44">
        <v>31.5</v>
      </c>
      <c r="K45" s="43">
        <v>31.5</v>
      </c>
      <c r="L45" s="42">
        <v>14.099999999999909</v>
      </c>
      <c r="M45" s="41">
        <v>14.099999999999909</v>
      </c>
      <c r="N45" s="42">
        <v>40</v>
      </c>
      <c r="O45" s="41">
        <v>40</v>
      </c>
      <c r="P45">
        <v>0</v>
      </c>
      <c r="Q45">
        <v>0</v>
      </c>
      <c r="R45">
        <v>0</v>
      </c>
      <c r="S45">
        <v>0</v>
      </c>
      <c r="T45" s="23">
        <f t="shared" si="2"/>
        <v>1.2698412698412698</v>
      </c>
      <c r="U45" s="23">
        <f t="shared" si="3"/>
        <v>283.68794326241317</v>
      </c>
    </row>
    <row r="46" spans="1:21" x14ac:dyDescent="0.25">
      <c r="A46" s="17">
        <v>44227</v>
      </c>
      <c r="B46" s="18" t="s">
        <v>60</v>
      </c>
      <c r="D46" s="22">
        <v>11900</v>
      </c>
      <c r="E46" s="22">
        <v>16200.000000000002</v>
      </c>
      <c r="F46" s="22">
        <f>Tableau3[[#This Row],[Produit]]-Tableau3[[#This Row],[Charges]]</f>
        <v>4300.0000000000018</v>
      </c>
      <c r="H46" t="s">
        <v>80</v>
      </c>
      <c r="I46" s="23" t="s">
        <v>98</v>
      </c>
      <c r="J46" s="42">
        <v>0</v>
      </c>
      <c r="K46" s="41">
        <v>0</v>
      </c>
      <c r="L46" s="42">
        <v>0</v>
      </c>
      <c r="M46" s="41">
        <v>0</v>
      </c>
      <c r="N46" s="40">
        <v>50</v>
      </c>
      <c r="O46">
        <v>50</v>
      </c>
      <c r="P46">
        <v>0</v>
      </c>
      <c r="Q46">
        <v>0</v>
      </c>
      <c r="R46">
        <v>0</v>
      </c>
      <c r="S46" s="35">
        <v>0</v>
      </c>
      <c r="T46" s="23" t="e">
        <f t="shared" si="2"/>
        <v>#DIV/0!</v>
      </c>
      <c r="U46" s="23" t="e">
        <f t="shared" si="3"/>
        <v>#DIV/0!</v>
      </c>
    </row>
    <row r="47" spans="1:21" x14ac:dyDescent="0.25">
      <c r="A47" s="17">
        <v>44227</v>
      </c>
      <c r="B47" s="18" t="s">
        <v>61</v>
      </c>
      <c r="D47" s="22">
        <v>8743.8888888888887</v>
      </c>
      <c r="E47" s="22">
        <v>26.666666666666671</v>
      </c>
      <c r="F47" s="22">
        <f>Tableau3[[#This Row],[Produit]]-Tableau3[[#This Row],[Charges]]</f>
        <v>-8717.2222222222226</v>
      </c>
      <c r="H47" t="s">
        <v>79</v>
      </c>
      <c r="I47" s="23" t="s">
        <v>99</v>
      </c>
      <c r="J47" s="44">
        <v>207</v>
      </c>
      <c r="K47" s="43">
        <v>207</v>
      </c>
      <c r="L47" s="42">
        <v>167.10000000000036</v>
      </c>
      <c r="M47" s="41">
        <v>167.10000000000036</v>
      </c>
      <c r="N47" s="42">
        <v>4060</v>
      </c>
      <c r="O47" s="41">
        <v>4060</v>
      </c>
      <c r="P47">
        <v>33</v>
      </c>
      <c r="Q47">
        <v>0</v>
      </c>
      <c r="R47">
        <v>0</v>
      </c>
      <c r="S47">
        <v>0</v>
      </c>
      <c r="T47" s="23">
        <f t="shared" si="2"/>
        <v>19.613526570048307</v>
      </c>
      <c r="U47" s="23">
        <f t="shared" si="3"/>
        <v>2429.6828246558894</v>
      </c>
    </row>
    <row r="48" spans="1:21" x14ac:dyDescent="0.25">
      <c r="A48" s="17">
        <v>44227</v>
      </c>
      <c r="B48" s="18" t="s">
        <v>62</v>
      </c>
      <c r="D48" s="22">
        <v>8343.2222222222226</v>
      </c>
      <c r="E48" s="22">
        <v>2466.666666666667</v>
      </c>
      <c r="F48" s="22">
        <f>Tableau3[[#This Row],[Produit]]-Tableau3[[#This Row],[Charges]]</f>
        <v>-5876.5555555555557</v>
      </c>
      <c r="H48" t="s">
        <v>80</v>
      </c>
      <c r="I48" s="23" t="s">
        <v>100</v>
      </c>
      <c r="J48" s="42">
        <v>0</v>
      </c>
      <c r="K48" s="41">
        <v>0</v>
      </c>
      <c r="L48" s="42">
        <v>0</v>
      </c>
      <c r="M48" s="41">
        <v>0</v>
      </c>
      <c r="N48" s="40">
        <v>80</v>
      </c>
      <c r="O48">
        <v>80</v>
      </c>
      <c r="P48">
        <v>2</v>
      </c>
      <c r="Q48">
        <v>0</v>
      </c>
      <c r="R48">
        <v>0</v>
      </c>
      <c r="S48" s="35">
        <v>0</v>
      </c>
      <c r="T48" s="23" t="e">
        <f t="shared" si="2"/>
        <v>#DIV/0!</v>
      </c>
      <c r="U48" s="23" t="e">
        <f t="shared" si="3"/>
        <v>#DIV/0!</v>
      </c>
    </row>
    <row r="49" spans="1:21" x14ac:dyDescent="0.25">
      <c r="A49" s="17">
        <v>44227</v>
      </c>
      <c r="B49" s="18" t="s">
        <v>63</v>
      </c>
      <c r="D49" s="22">
        <v>20360</v>
      </c>
      <c r="E49" s="22">
        <v>18922.222222222226</v>
      </c>
      <c r="F49" s="22">
        <f>Tableau3[[#This Row],[Produit]]-Tableau3[[#This Row],[Charges]]</f>
        <v>-1437.7777777777737</v>
      </c>
      <c r="H49" t="s">
        <v>116</v>
      </c>
      <c r="I49" s="23" t="s">
        <v>101</v>
      </c>
      <c r="J49" s="44">
        <v>22</v>
      </c>
      <c r="K49" s="43">
        <v>22</v>
      </c>
      <c r="L49" s="42">
        <v>0</v>
      </c>
      <c r="M49" s="41">
        <v>0</v>
      </c>
      <c r="N49" s="42">
        <v>25</v>
      </c>
      <c r="O49" s="41">
        <v>25</v>
      </c>
      <c r="P49">
        <v>0</v>
      </c>
      <c r="Q49">
        <v>0</v>
      </c>
      <c r="R49">
        <v>0</v>
      </c>
      <c r="S49">
        <v>0</v>
      </c>
      <c r="T49" s="23">
        <f t="shared" si="2"/>
        <v>1.1363636363636365</v>
      </c>
      <c r="U49" s="23" t="e">
        <f t="shared" si="3"/>
        <v>#DIV/0!</v>
      </c>
    </row>
    <row r="50" spans="1:21" x14ac:dyDescent="0.25">
      <c r="A50" s="17">
        <v>44255</v>
      </c>
      <c r="B50" s="18" t="s">
        <v>11</v>
      </c>
      <c r="D50" s="22">
        <v>2450</v>
      </c>
      <c r="E50" s="22">
        <v>0</v>
      </c>
      <c r="F50" s="22">
        <f>Tableau3[[#This Row],[Produit]]-Tableau3[[#This Row],[Charges]]</f>
        <v>-2450</v>
      </c>
      <c r="H50" t="s">
        <v>84</v>
      </c>
      <c r="I50" s="23" t="s">
        <v>102</v>
      </c>
      <c r="J50" s="44">
        <v>76</v>
      </c>
      <c r="K50" s="43">
        <v>76</v>
      </c>
      <c r="L50" s="42">
        <v>0</v>
      </c>
      <c r="M50" s="41">
        <v>0</v>
      </c>
      <c r="N50" s="42">
        <v>115</v>
      </c>
      <c r="O50" s="41">
        <v>115</v>
      </c>
      <c r="P50">
        <v>0</v>
      </c>
      <c r="Q50">
        <v>0</v>
      </c>
      <c r="R50">
        <v>0</v>
      </c>
      <c r="S50">
        <v>0</v>
      </c>
      <c r="T50" s="23">
        <f t="shared" si="2"/>
        <v>1.513157894736842</v>
      </c>
      <c r="U50" s="23" t="e">
        <f t="shared" si="3"/>
        <v>#DIV/0!</v>
      </c>
    </row>
    <row r="51" spans="1:21" x14ac:dyDescent="0.25">
      <c r="A51" s="17">
        <v>44255</v>
      </c>
      <c r="B51" s="18" t="s">
        <v>12</v>
      </c>
      <c r="D51" s="22">
        <v>0</v>
      </c>
      <c r="E51" s="22">
        <v>0</v>
      </c>
      <c r="F51" s="22">
        <f>Tableau3[[#This Row],[Produit]]-Tableau3[[#This Row],[Charges]]</f>
        <v>0</v>
      </c>
      <c r="H51" t="s">
        <v>80</v>
      </c>
      <c r="I51" s="23" t="s">
        <v>104</v>
      </c>
      <c r="J51" s="42">
        <v>0</v>
      </c>
      <c r="K51" s="41">
        <v>0</v>
      </c>
      <c r="L51" s="42">
        <v>0</v>
      </c>
      <c r="M51" s="41">
        <v>0</v>
      </c>
      <c r="N51" s="40">
        <v>0</v>
      </c>
      <c r="O51">
        <v>0</v>
      </c>
      <c r="P51">
        <v>0</v>
      </c>
      <c r="Q51">
        <v>0</v>
      </c>
      <c r="R51">
        <v>0</v>
      </c>
      <c r="S51" s="35">
        <v>0</v>
      </c>
      <c r="T51" s="23" t="e">
        <f t="shared" si="2"/>
        <v>#DIV/0!</v>
      </c>
      <c r="U51" s="23" t="e">
        <f t="shared" si="3"/>
        <v>#DIV/0!</v>
      </c>
    </row>
    <row r="52" spans="1:21" x14ac:dyDescent="0.25">
      <c r="A52" s="17">
        <v>44255</v>
      </c>
      <c r="B52" s="18" t="s">
        <v>13</v>
      </c>
      <c r="D52" s="22">
        <v>16742</v>
      </c>
      <c r="E52" s="22">
        <v>56575</v>
      </c>
      <c r="F52" s="22">
        <f>Tableau3[[#This Row],[Produit]]-Tableau3[[#This Row],[Charges]]</f>
        <v>39833</v>
      </c>
      <c r="H52" t="s">
        <v>84</v>
      </c>
      <c r="I52" s="23" t="s">
        <v>125</v>
      </c>
      <c r="J52" s="44">
        <v>42</v>
      </c>
      <c r="K52" s="43">
        <v>42</v>
      </c>
      <c r="L52" s="42">
        <v>0</v>
      </c>
      <c r="M52" s="41">
        <v>0</v>
      </c>
      <c r="N52" s="42">
        <v>35</v>
      </c>
      <c r="O52" s="41">
        <v>35</v>
      </c>
      <c r="P52">
        <v>5</v>
      </c>
      <c r="Q52">
        <v>0</v>
      </c>
      <c r="R52">
        <v>0</v>
      </c>
      <c r="S52">
        <v>0</v>
      </c>
      <c r="T52" s="23">
        <f t="shared" si="2"/>
        <v>0.83333333333333337</v>
      </c>
      <c r="U52" s="23" t="e">
        <f t="shared" si="3"/>
        <v>#DIV/0!</v>
      </c>
    </row>
    <row r="53" spans="1:21" x14ac:dyDescent="0.25">
      <c r="A53" s="17">
        <v>44255</v>
      </c>
      <c r="B53" s="18" t="s">
        <v>14</v>
      </c>
      <c r="D53" s="22">
        <v>19479</v>
      </c>
      <c r="E53" s="22">
        <v>32850</v>
      </c>
      <c r="F53" s="22">
        <f>Tableau3[[#This Row],[Produit]]-Tableau3[[#This Row],[Charges]]</f>
        <v>13371</v>
      </c>
      <c r="H53" t="s">
        <v>116</v>
      </c>
      <c r="I53" s="23" t="s">
        <v>121</v>
      </c>
      <c r="J53" s="44">
        <v>12</v>
      </c>
      <c r="K53" s="43">
        <v>12</v>
      </c>
      <c r="L53" s="42">
        <v>0</v>
      </c>
      <c r="M53" s="41">
        <v>0</v>
      </c>
      <c r="N53" s="42">
        <v>5</v>
      </c>
      <c r="O53" s="41">
        <v>5</v>
      </c>
      <c r="P53">
        <v>0</v>
      </c>
      <c r="Q53">
        <v>0</v>
      </c>
      <c r="R53">
        <v>0</v>
      </c>
      <c r="S53">
        <v>0</v>
      </c>
      <c r="T53" s="23">
        <f t="shared" si="2"/>
        <v>0.41666666666666669</v>
      </c>
      <c r="U53" s="23" t="e">
        <f t="shared" si="3"/>
        <v>#DIV/0!</v>
      </c>
    </row>
    <row r="54" spans="1:21" x14ac:dyDescent="0.25">
      <c r="A54" s="17">
        <v>44255</v>
      </c>
      <c r="B54" s="18" t="s">
        <v>15</v>
      </c>
      <c r="D54" s="22">
        <v>160</v>
      </c>
      <c r="E54" s="22">
        <v>0</v>
      </c>
      <c r="F54" s="22">
        <f>Tableau3[[#This Row],[Produit]]-Tableau3[[#This Row],[Charges]]</f>
        <v>-160</v>
      </c>
      <c r="H54" t="s">
        <v>83</v>
      </c>
      <c r="I54" s="23" t="s">
        <v>135</v>
      </c>
      <c r="J54" s="44">
        <v>1</v>
      </c>
      <c r="K54" s="43">
        <v>1</v>
      </c>
      <c r="L54" s="42">
        <v>0</v>
      </c>
      <c r="M54" s="41">
        <v>0</v>
      </c>
      <c r="N54" s="42">
        <v>20</v>
      </c>
      <c r="O54" s="41">
        <v>20</v>
      </c>
      <c r="P54">
        <v>5</v>
      </c>
      <c r="Q54">
        <v>0</v>
      </c>
      <c r="R54">
        <v>0</v>
      </c>
      <c r="S54">
        <v>0</v>
      </c>
      <c r="T54" s="23">
        <f t="shared" si="2"/>
        <v>20</v>
      </c>
      <c r="U54" s="23" t="e">
        <f t="shared" si="3"/>
        <v>#DIV/0!</v>
      </c>
    </row>
    <row r="55" spans="1:21" x14ac:dyDescent="0.25">
      <c r="A55" s="17">
        <v>44255</v>
      </c>
      <c r="B55" s="18" t="s">
        <v>16</v>
      </c>
      <c r="D55" s="22">
        <v>3323</v>
      </c>
      <c r="E55" s="22">
        <v>8000</v>
      </c>
      <c r="F55" s="22">
        <f>Tableau3[[#This Row],[Produit]]-Tableau3[[#This Row],[Charges]]</f>
        <v>4677</v>
      </c>
      <c r="H55" t="s">
        <v>83</v>
      </c>
      <c r="I55" s="23" t="s">
        <v>120</v>
      </c>
      <c r="J55" s="44">
        <v>43</v>
      </c>
      <c r="K55" s="43">
        <v>43</v>
      </c>
      <c r="L55" s="42">
        <v>0</v>
      </c>
      <c r="M55" s="41">
        <v>0</v>
      </c>
      <c r="N55" s="42">
        <v>5</v>
      </c>
      <c r="O55" s="41">
        <v>5</v>
      </c>
      <c r="P55">
        <v>0</v>
      </c>
      <c r="Q55">
        <v>0</v>
      </c>
      <c r="R55">
        <v>0</v>
      </c>
      <c r="S55">
        <v>0</v>
      </c>
      <c r="T55" s="23">
        <f t="shared" si="2"/>
        <v>0.11627906976744186</v>
      </c>
      <c r="U55" s="23" t="e">
        <f t="shared" si="3"/>
        <v>#DIV/0!</v>
      </c>
    </row>
    <row r="56" spans="1:21" x14ac:dyDescent="0.25">
      <c r="A56" s="17">
        <v>44255</v>
      </c>
      <c r="B56" s="18" t="s">
        <v>17</v>
      </c>
      <c r="D56" s="22">
        <v>3266</v>
      </c>
      <c r="E56" s="22">
        <v>7777.7777777777783</v>
      </c>
      <c r="F56" s="22">
        <f>Tableau3[[#This Row],[Produit]]-Tableau3[[#This Row],[Charges]]</f>
        <v>4511.7777777777783</v>
      </c>
      <c r="H56" t="s">
        <v>84</v>
      </c>
      <c r="I56" s="23" t="s">
        <v>20</v>
      </c>
      <c r="J56" s="44">
        <v>150</v>
      </c>
      <c r="K56" s="43">
        <v>150</v>
      </c>
      <c r="L56" s="42">
        <v>148</v>
      </c>
      <c r="M56" s="41">
        <v>148</v>
      </c>
      <c r="N56" s="42">
        <v>2743</v>
      </c>
      <c r="O56" s="41">
        <v>2743</v>
      </c>
      <c r="P56">
        <v>55</v>
      </c>
      <c r="Q56">
        <v>0</v>
      </c>
      <c r="R56">
        <v>45</v>
      </c>
      <c r="S56">
        <v>30</v>
      </c>
      <c r="T56" s="23">
        <f t="shared" si="2"/>
        <v>18.286666666666665</v>
      </c>
      <c r="U56" s="23">
        <f t="shared" si="3"/>
        <v>1853.3783783783783</v>
      </c>
    </row>
    <row r="57" spans="1:21" x14ac:dyDescent="0.25">
      <c r="A57" s="17">
        <v>44255</v>
      </c>
      <c r="B57" s="18" t="s">
        <v>18</v>
      </c>
      <c r="D57" s="22">
        <v>0</v>
      </c>
      <c r="E57" s="22">
        <v>0</v>
      </c>
      <c r="F57" s="22">
        <f>Tableau3[[#This Row],[Produit]]-Tableau3[[#This Row],[Charges]]</f>
        <v>0</v>
      </c>
      <c r="H57" t="s">
        <v>83</v>
      </c>
      <c r="I57" s="23" t="s">
        <v>21</v>
      </c>
      <c r="J57" s="44">
        <v>148</v>
      </c>
      <c r="K57" s="43">
        <v>148</v>
      </c>
      <c r="L57" s="42">
        <v>141</v>
      </c>
      <c r="M57" s="41">
        <v>141</v>
      </c>
      <c r="N57" s="42">
        <v>1432</v>
      </c>
      <c r="O57" s="41">
        <v>1432</v>
      </c>
      <c r="P57">
        <v>53</v>
      </c>
      <c r="Q57">
        <v>0</v>
      </c>
      <c r="R57">
        <v>0</v>
      </c>
      <c r="S57">
        <v>0</v>
      </c>
      <c r="T57" s="23">
        <f t="shared" si="2"/>
        <v>9.6756756756756754</v>
      </c>
      <c r="U57" s="23">
        <f t="shared" si="3"/>
        <v>1015.6028368794326</v>
      </c>
    </row>
    <row r="58" spans="1:21" x14ac:dyDescent="0.25">
      <c r="A58" s="17">
        <v>44255</v>
      </c>
      <c r="B58" s="18" t="s">
        <v>19</v>
      </c>
      <c r="D58" s="22">
        <v>2270</v>
      </c>
      <c r="E58" s="22">
        <v>7666.666666666667</v>
      </c>
      <c r="F58" s="22">
        <f>Tableau3[[#This Row],[Produit]]-Tableau3[[#This Row],[Charges]]</f>
        <v>5396.666666666667</v>
      </c>
      <c r="H58" t="s">
        <v>116</v>
      </c>
      <c r="I58" s="23" t="s">
        <v>124</v>
      </c>
      <c r="J58" s="44">
        <v>168.5</v>
      </c>
      <c r="K58" s="43">
        <v>168.5</v>
      </c>
      <c r="L58" s="42">
        <v>139.29999999999927</v>
      </c>
      <c r="M58" s="41">
        <v>139.29999999999927</v>
      </c>
      <c r="N58" s="42">
        <v>2485</v>
      </c>
      <c r="O58" s="41">
        <v>2485</v>
      </c>
      <c r="P58">
        <v>15</v>
      </c>
      <c r="Q58">
        <v>0</v>
      </c>
      <c r="R58">
        <v>70</v>
      </c>
      <c r="S58">
        <v>2</v>
      </c>
      <c r="T58" s="23">
        <f t="shared" si="2"/>
        <v>14.747774480712167</v>
      </c>
      <c r="U58" s="23">
        <f t="shared" si="3"/>
        <v>1783.9195979899591</v>
      </c>
    </row>
    <row r="59" spans="1:21" x14ac:dyDescent="0.25">
      <c r="A59" s="17">
        <v>44255</v>
      </c>
      <c r="B59" s="18" t="s">
        <v>20</v>
      </c>
      <c r="D59" s="22">
        <v>2885</v>
      </c>
      <c r="E59" s="22">
        <v>7300.0000000000082</v>
      </c>
      <c r="F59" s="22">
        <f>Tableau3[[#This Row],[Produit]]-Tableau3[[#This Row],[Charges]]</f>
        <v>4415.0000000000082</v>
      </c>
      <c r="H59" t="s">
        <v>79</v>
      </c>
      <c r="I59" s="23" t="s">
        <v>22</v>
      </c>
      <c r="J59" s="44">
        <v>159</v>
      </c>
      <c r="K59" s="43">
        <v>159</v>
      </c>
      <c r="L59" s="42">
        <v>138.60000000000218</v>
      </c>
      <c r="M59" s="41">
        <v>138.60000000000218</v>
      </c>
      <c r="N59" s="42">
        <v>2378</v>
      </c>
      <c r="O59" s="41">
        <v>2378</v>
      </c>
      <c r="P59">
        <v>35</v>
      </c>
      <c r="Q59">
        <v>0</v>
      </c>
      <c r="R59">
        <v>10</v>
      </c>
      <c r="S59">
        <v>10</v>
      </c>
      <c r="T59" s="23">
        <f t="shared" si="2"/>
        <v>14.955974842767295</v>
      </c>
      <c r="U59" s="23">
        <f t="shared" si="3"/>
        <v>1715.7287157286887</v>
      </c>
    </row>
    <row r="60" spans="1:21" x14ac:dyDescent="0.25">
      <c r="A60" s="17">
        <v>44255</v>
      </c>
      <c r="B60" s="18" t="s">
        <v>21</v>
      </c>
      <c r="D60" s="22">
        <v>18205</v>
      </c>
      <c r="E60" s="22">
        <v>46233.333333333328</v>
      </c>
      <c r="F60" s="22">
        <f>Tableau3[[#This Row],[Produit]]-Tableau3[[#This Row],[Charges]]</f>
        <v>28028.333333333328</v>
      </c>
      <c r="H60" t="s">
        <v>80</v>
      </c>
      <c r="I60" s="23" t="s">
        <v>23</v>
      </c>
      <c r="J60" s="42">
        <v>113</v>
      </c>
      <c r="K60" s="41">
        <v>113</v>
      </c>
      <c r="L60" s="42">
        <v>127</v>
      </c>
      <c r="M60" s="41">
        <v>127</v>
      </c>
      <c r="N60" s="40">
        <v>3190</v>
      </c>
      <c r="O60">
        <v>3190</v>
      </c>
      <c r="P60">
        <v>10</v>
      </c>
      <c r="Q60">
        <v>0</v>
      </c>
      <c r="R60">
        <v>102</v>
      </c>
      <c r="S60" s="35">
        <v>20</v>
      </c>
      <c r="T60" s="23">
        <f t="shared" si="2"/>
        <v>28.23008849557522</v>
      </c>
      <c r="U60" s="23">
        <f t="shared" si="3"/>
        <v>2511.8110236220473</v>
      </c>
    </row>
    <row r="61" spans="1:21" x14ac:dyDescent="0.25">
      <c r="A61" s="17">
        <v>44255</v>
      </c>
      <c r="B61" s="18" t="s">
        <v>22</v>
      </c>
      <c r="D61" s="22">
        <v>22433</v>
      </c>
      <c r="E61" s="22">
        <v>64133.333333333278</v>
      </c>
      <c r="F61" s="22">
        <f>Tableau3[[#This Row],[Produit]]-Tableau3[[#This Row],[Charges]]</f>
        <v>41700.333333333278</v>
      </c>
      <c r="H61" t="s">
        <v>80</v>
      </c>
      <c r="I61" s="23" t="s">
        <v>24</v>
      </c>
      <c r="J61" s="42">
        <v>249</v>
      </c>
      <c r="K61" s="41">
        <v>249</v>
      </c>
      <c r="L61" s="42">
        <v>238</v>
      </c>
      <c r="M61" s="41">
        <v>238</v>
      </c>
      <c r="N61" s="40">
        <v>6079</v>
      </c>
      <c r="O61">
        <v>6079</v>
      </c>
      <c r="P61">
        <v>71</v>
      </c>
      <c r="Q61">
        <v>0</v>
      </c>
      <c r="R61">
        <v>0</v>
      </c>
      <c r="S61" s="35">
        <v>25</v>
      </c>
      <c r="T61" s="23">
        <f t="shared" si="2"/>
        <v>24.413654618473895</v>
      </c>
      <c r="U61" s="23">
        <f t="shared" si="3"/>
        <v>2554.201680672269</v>
      </c>
    </row>
    <row r="62" spans="1:21" x14ac:dyDescent="0.25">
      <c r="A62" s="17">
        <v>44255</v>
      </c>
      <c r="B62" s="18" t="s">
        <v>23</v>
      </c>
      <c r="D62" s="22">
        <v>46800</v>
      </c>
      <c r="E62" s="22">
        <v>73666.666666666599</v>
      </c>
      <c r="F62" s="22">
        <f>Tableau3[[#This Row],[Produit]]-Tableau3[[#This Row],[Charges]]</f>
        <v>26866.666666666599</v>
      </c>
      <c r="H62" t="s">
        <v>84</v>
      </c>
      <c r="I62" s="23" t="s">
        <v>25</v>
      </c>
      <c r="J62" s="44">
        <v>134</v>
      </c>
      <c r="K62" s="43">
        <v>134</v>
      </c>
      <c r="L62" s="42">
        <v>129</v>
      </c>
      <c r="M62" s="41">
        <v>129</v>
      </c>
      <c r="N62" s="42">
        <v>2871</v>
      </c>
      <c r="O62" s="41">
        <v>2871</v>
      </c>
      <c r="P62">
        <v>45</v>
      </c>
      <c r="Q62">
        <v>0</v>
      </c>
      <c r="R62">
        <v>40</v>
      </c>
      <c r="S62">
        <v>55</v>
      </c>
      <c r="T62" s="23">
        <f t="shared" si="2"/>
        <v>21.425373134328357</v>
      </c>
      <c r="U62" s="23">
        <f t="shared" si="3"/>
        <v>2225.5813953488373</v>
      </c>
    </row>
    <row r="63" spans="1:21" x14ac:dyDescent="0.25">
      <c r="A63" s="17">
        <v>44255</v>
      </c>
      <c r="B63" s="18" t="s">
        <v>24</v>
      </c>
      <c r="D63" s="22">
        <v>58505</v>
      </c>
      <c r="E63" s="22">
        <v>97066.666666666584</v>
      </c>
      <c r="F63" s="22">
        <f>Tableau3[[#This Row],[Produit]]-Tableau3[[#This Row],[Charges]]</f>
        <v>38561.666666666584</v>
      </c>
      <c r="H63" t="s">
        <v>80</v>
      </c>
      <c r="I63" s="23" t="s">
        <v>26</v>
      </c>
      <c r="J63" s="42">
        <v>229</v>
      </c>
      <c r="K63" s="41">
        <v>229</v>
      </c>
      <c r="L63" s="42">
        <v>239</v>
      </c>
      <c r="M63" s="41">
        <v>239</v>
      </c>
      <c r="N63" s="40">
        <v>7759</v>
      </c>
      <c r="O63">
        <v>7759</v>
      </c>
      <c r="P63">
        <v>46</v>
      </c>
      <c r="Q63">
        <v>0</v>
      </c>
      <c r="R63">
        <v>40</v>
      </c>
      <c r="S63" s="35">
        <v>20</v>
      </c>
      <c r="T63" s="23">
        <f t="shared" si="2"/>
        <v>33.882096069868993</v>
      </c>
      <c r="U63" s="23">
        <f t="shared" si="3"/>
        <v>3246.4435146443516</v>
      </c>
    </row>
    <row r="64" spans="1:21" x14ac:dyDescent="0.25">
      <c r="A64" s="17">
        <v>44255</v>
      </c>
      <c r="B64" s="18" t="s">
        <v>25</v>
      </c>
      <c r="D64" s="22">
        <v>46780</v>
      </c>
      <c r="E64" s="22">
        <v>78866.666666666657</v>
      </c>
      <c r="F64" s="22">
        <f>Tableau3[[#This Row],[Produit]]-Tableau3[[#This Row],[Charges]]</f>
        <v>32086.666666666657</v>
      </c>
      <c r="H64" t="s">
        <v>83</v>
      </c>
      <c r="I64" s="23" t="s">
        <v>27</v>
      </c>
      <c r="J64" s="44">
        <v>142</v>
      </c>
      <c r="K64" s="43">
        <v>142</v>
      </c>
      <c r="L64" s="42">
        <v>102</v>
      </c>
      <c r="M64" s="41">
        <v>102</v>
      </c>
      <c r="N64" s="42">
        <v>771</v>
      </c>
      <c r="O64" s="41">
        <v>771</v>
      </c>
      <c r="P64">
        <v>5</v>
      </c>
      <c r="Q64">
        <v>0</v>
      </c>
      <c r="R64">
        <v>0</v>
      </c>
      <c r="S64">
        <v>0</v>
      </c>
      <c r="T64" s="23">
        <f t="shared" si="2"/>
        <v>5.429577464788732</v>
      </c>
      <c r="U64" s="23">
        <f t="shared" si="3"/>
        <v>755.88235294117646</v>
      </c>
    </row>
    <row r="65" spans="1:21" x14ac:dyDescent="0.25">
      <c r="A65" s="17">
        <v>44255</v>
      </c>
      <c r="B65" s="18" t="s">
        <v>26</v>
      </c>
      <c r="D65" s="22">
        <v>74425</v>
      </c>
      <c r="E65" s="22">
        <v>97777.777777777781</v>
      </c>
      <c r="F65" s="22">
        <f>Tableau3[[#This Row],[Produit]]-Tableau3[[#This Row],[Charges]]</f>
        <v>23352.777777777781</v>
      </c>
      <c r="H65" t="s">
        <v>84</v>
      </c>
      <c r="I65" s="23" t="s">
        <v>137</v>
      </c>
      <c r="J65" s="44">
        <v>85</v>
      </c>
      <c r="K65" s="43">
        <v>85</v>
      </c>
      <c r="L65" s="42">
        <v>98</v>
      </c>
      <c r="M65" s="41">
        <v>98</v>
      </c>
      <c r="N65" s="42">
        <v>1003</v>
      </c>
      <c r="O65" s="41">
        <v>1003</v>
      </c>
      <c r="P65">
        <v>20</v>
      </c>
      <c r="Q65">
        <v>0</v>
      </c>
      <c r="R65">
        <v>10</v>
      </c>
      <c r="S65">
        <v>5</v>
      </c>
      <c r="T65" s="23">
        <f t="shared" si="2"/>
        <v>11.8</v>
      </c>
      <c r="U65" s="23">
        <f t="shared" si="3"/>
        <v>1023.469387755102</v>
      </c>
    </row>
    <row r="66" spans="1:21" x14ac:dyDescent="0.25">
      <c r="A66" s="17">
        <v>44255</v>
      </c>
      <c r="B66" s="18" t="s">
        <v>27</v>
      </c>
      <c r="D66" s="22">
        <v>17699</v>
      </c>
      <c r="E66" s="22">
        <v>35972.222222222219</v>
      </c>
      <c r="F66" s="22">
        <f>Tableau3[[#This Row],[Produit]]-Tableau3[[#This Row],[Charges]]</f>
        <v>18273.222222222219</v>
      </c>
      <c r="H66" t="s">
        <v>116</v>
      </c>
      <c r="I66" s="23" t="s">
        <v>123</v>
      </c>
      <c r="J66" s="44">
        <v>182</v>
      </c>
      <c r="K66" s="43">
        <v>182</v>
      </c>
      <c r="L66" s="42">
        <v>151</v>
      </c>
      <c r="M66" s="41">
        <v>151</v>
      </c>
      <c r="N66" s="42">
        <v>1666</v>
      </c>
      <c r="O66" s="41">
        <v>1666</v>
      </c>
      <c r="P66">
        <v>5</v>
      </c>
      <c r="Q66">
        <v>0</v>
      </c>
      <c r="R66">
        <v>15</v>
      </c>
      <c r="S66">
        <v>2</v>
      </c>
      <c r="T66" s="23">
        <f t="shared" ref="T66:T97" si="4">O66/K66</f>
        <v>9.1538461538461533</v>
      </c>
      <c r="U66" s="23">
        <f t="shared" ref="U66:U97" si="5">O66*100/M66</f>
        <v>1103.3112582781457</v>
      </c>
    </row>
    <row r="67" spans="1:21" x14ac:dyDescent="0.25">
      <c r="A67" s="17">
        <v>44255</v>
      </c>
      <c r="B67" s="18" t="s">
        <v>28</v>
      </c>
      <c r="D67" s="22">
        <v>9023</v>
      </c>
      <c r="E67" s="22">
        <v>57955.555555555555</v>
      </c>
      <c r="F67" s="22">
        <f>Tableau3[[#This Row],[Produit]]-Tableau3[[#This Row],[Charges]]</f>
        <v>48932.555555555555</v>
      </c>
      <c r="H67" t="s">
        <v>84</v>
      </c>
      <c r="I67" s="23" t="s">
        <v>128</v>
      </c>
      <c r="J67" s="44">
        <v>189</v>
      </c>
      <c r="K67" s="43">
        <v>189</v>
      </c>
      <c r="L67" s="42">
        <v>178</v>
      </c>
      <c r="M67" s="41">
        <v>178</v>
      </c>
      <c r="N67" s="42">
        <v>3585</v>
      </c>
      <c r="O67" s="41">
        <v>3585</v>
      </c>
      <c r="P67">
        <v>20</v>
      </c>
      <c r="Q67">
        <v>0</v>
      </c>
      <c r="R67">
        <v>0</v>
      </c>
      <c r="S67">
        <v>45</v>
      </c>
      <c r="T67" s="23">
        <f t="shared" si="4"/>
        <v>18.968253968253968</v>
      </c>
      <c r="U67" s="23">
        <f t="shared" si="5"/>
        <v>2014.0449438202247</v>
      </c>
    </row>
    <row r="68" spans="1:21" x14ac:dyDescent="0.25">
      <c r="A68" s="17">
        <v>44255</v>
      </c>
      <c r="B68" s="18" t="s">
        <v>29</v>
      </c>
      <c r="D68" s="22">
        <v>10580</v>
      </c>
      <c r="E68" s="22">
        <v>42311.111111111109</v>
      </c>
      <c r="F68" s="22">
        <f>Tableau3[[#This Row],[Produit]]-Tableau3[[#This Row],[Charges]]</f>
        <v>31731.111111111109</v>
      </c>
      <c r="H68" t="s">
        <v>84</v>
      </c>
      <c r="I68" s="23" t="s">
        <v>127</v>
      </c>
      <c r="J68" s="44">
        <v>0</v>
      </c>
      <c r="K68" s="43">
        <v>0</v>
      </c>
      <c r="L68" s="42">
        <v>0</v>
      </c>
      <c r="M68" s="41">
        <v>0</v>
      </c>
      <c r="N68" s="42">
        <v>0</v>
      </c>
      <c r="O68" s="41">
        <v>0</v>
      </c>
      <c r="P68">
        <v>0</v>
      </c>
      <c r="Q68">
        <v>0</v>
      </c>
      <c r="R68">
        <v>0</v>
      </c>
      <c r="S68">
        <v>0</v>
      </c>
      <c r="T68" s="23" t="e">
        <f t="shared" si="4"/>
        <v>#DIV/0!</v>
      </c>
      <c r="U68" s="23" t="e">
        <f t="shared" si="5"/>
        <v>#DIV/0!</v>
      </c>
    </row>
    <row r="69" spans="1:21" x14ac:dyDescent="0.25">
      <c r="A69" s="17">
        <v>44255</v>
      </c>
      <c r="B69" s="18" t="s">
        <v>29</v>
      </c>
      <c r="D69" s="22">
        <v>834.99999999999989</v>
      </c>
      <c r="E69" s="22">
        <v>42311.111111111109</v>
      </c>
      <c r="F69" s="22">
        <f>Tableau3[[#This Row],[Produit]]-Tableau3[[#This Row],[Charges]]</f>
        <v>41476.111111111109</v>
      </c>
      <c r="H69" t="s">
        <v>84</v>
      </c>
      <c r="I69" s="23" t="s">
        <v>129</v>
      </c>
      <c r="J69" s="44">
        <v>189</v>
      </c>
      <c r="K69" s="43">
        <v>189</v>
      </c>
      <c r="L69" s="42">
        <v>0</v>
      </c>
      <c r="M69" s="41">
        <v>0</v>
      </c>
      <c r="N69" s="42">
        <v>2940</v>
      </c>
      <c r="O69" s="41">
        <v>2940</v>
      </c>
      <c r="P69">
        <v>5</v>
      </c>
      <c r="Q69">
        <v>0</v>
      </c>
      <c r="R69">
        <v>10</v>
      </c>
      <c r="S69">
        <v>25</v>
      </c>
      <c r="T69" s="23">
        <f t="shared" si="4"/>
        <v>15.555555555555555</v>
      </c>
      <c r="U69" s="23" t="e">
        <f t="shared" si="5"/>
        <v>#DIV/0!</v>
      </c>
    </row>
    <row r="70" spans="1:21" x14ac:dyDescent="0.25">
      <c r="A70" s="17">
        <v>44255</v>
      </c>
      <c r="B70" s="18" t="s">
        <v>30</v>
      </c>
      <c r="D70" s="22">
        <v>1880</v>
      </c>
      <c r="E70" s="22">
        <v>13722.222222222221</v>
      </c>
      <c r="F70" s="22">
        <f>Tableau3[[#This Row],[Produit]]-Tableau3[[#This Row],[Charges]]</f>
        <v>11842.222222222221</v>
      </c>
      <c r="H70" t="s">
        <v>116</v>
      </c>
      <c r="I70" s="23" t="s">
        <v>122</v>
      </c>
      <c r="J70" s="44">
        <v>145</v>
      </c>
      <c r="K70" s="43">
        <v>145</v>
      </c>
      <c r="L70" s="42">
        <v>129.09999999999991</v>
      </c>
      <c r="M70" s="41">
        <v>129.09999999999991</v>
      </c>
      <c r="N70" s="42">
        <v>1407</v>
      </c>
      <c r="O70" s="41">
        <v>1407</v>
      </c>
      <c r="P70">
        <v>6</v>
      </c>
      <c r="Q70">
        <v>0</v>
      </c>
      <c r="R70">
        <v>25</v>
      </c>
      <c r="S70">
        <v>2</v>
      </c>
      <c r="T70" s="23">
        <f t="shared" si="4"/>
        <v>9.703448275862069</v>
      </c>
      <c r="U70" s="23">
        <f t="shared" si="5"/>
        <v>1089.8528272656863</v>
      </c>
    </row>
    <row r="71" spans="1:21" x14ac:dyDescent="0.25">
      <c r="A71" s="17">
        <v>44255</v>
      </c>
      <c r="B71" s="18" t="s">
        <v>31</v>
      </c>
      <c r="D71" s="22">
        <v>950</v>
      </c>
      <c r="E71" s="22">
        <v>1288.8888888888889</v>
      </c>
      <c r="F71" s="22">
        <f>Tableau3[[#This Row],[Produit]]-Tableau3[[#This Row],[Charges]]</f>
        <v>338.88888888888891</v>
      </c>
      <c r="H71" t="s">
        <v>83</v>
      </c>
      <c r="I71" s="23" t="s">
        <v>58</v>
      </c>
      <c r="J71" s="44">
        <v>190</v>
      </c>
      <c r="K71" s="43">
        <v>190</v>
      </c>
      <c r="L71" s="42">
        <v>0</v>
      </c>
      <c r="M71" s="41">
        <v>0</v>
      </c>
      <c r="N71" s="42">
        <v>398</v>
      </c>
      <c r="O71" s="41">
        <v>398</v>
      </c>
      <c r="P71">
        <v>0</v>
      </c>
      <c r="Q71">
        <v>0</v>
      </c>
      <c r="R71">
        <v>0</v>
      </c>
      <c r="S71">
        <v>0</v>
      </c>
      <c r="T71" s="23">
        <f t="shared" si="4"/>
        <v>2.094736842105263</v>
      </c>
      <c r="U71" s="23" t="e">
        <f t="shared" si="5"/>
        <v>#DIV/0!</v>
      </c>
    </row>
    <row r="72" spans="1:21" x14ac:dyDescent="0.25">
      <c r="A72" s="17">
        <v>44255</v>
      </c>
      <c r="B72" s="18" t="s">
        <v>32</v>
      </c>
      <c r="D72" s="22">
        <v>0</v>
      </c>
      <c r="E72" s="22">
        <v>0</v>
      </c>
      <c r="F72" s="22">
        <f>Tableau3[[#This Row],[Produit]]-Tableau3[[#This Row],[Charges]]</f>
        <v>0</v>
      </c>
      <c r="H72" t="s">
        <v>80</v>
      </c>
      <c r="I72" s="23" t="s">
        <v>59</v>
      </c>
      <c r="J72" s="42">
        <v>25</v>
      </c>
      <c r="K72" s="41">
        <v>25</v>
      </c>
      <c r="L72" s="42">
        <v>0</v>
      </c>
      <c r="M72" s="41">
        <v>0</v>
      </c>
      <c r="N72" s="40">
        <v>257</v>
      </c>
      <c r="O72">
        <v>257</v>
      </c>
      <c r="P72">
        <v>0</v>
      </c>
      <c r="Q72">
        <v>0</v>
      </c>
      <c r="R72">
        <v>0</v>
      </c>
      <c r="S72" s="35">
        <v>0</v>
      </c>
      <c r="T72" s="23">
        <f t="shared" si="4"/>
        <v>10.28</v>
      </c>
      <c r="U72" s="23" t="e">
        <f t="shared" si="5"/>
        <v>#DIV/0!</v>
      </c>
    </row>
    <row r="73" spans="1:21" x14ac:dyDescent="0.25">
      <c r="A73" s="17">
        <v>44255</v>
      </c>
      <c r="B73" s="18" t="s">
        <v>33</v>
      </c>
      <c r="D73" s="22">
        <v>3158</v>
      </c>
      <c r="E73" s="22">
        <v>17050</v>
      </c>
      <c r="F73" s="22">
        <f>Tableau3[[#This Row],[Produit]]-Tableau3[[#This Row],[Charges]]</f>
        <v>13892</v>
      </c>
      <c r="H73" t="s">
        <v>80</v>
      </c>
      <c r="I73" s="23" t="s">
        <v>60</v>
      </c>
      <c r="J73" s="42">
        <v>192</v>
      </c>
      <c r="K73" s="41">
        <v>192</v>
      </c>
      <c r="L73" s="42">
        <v>0</v>
      </c>
      <c r="M73" s="41">
        <v>0</v>
      </c>
      <c r="N73" s="40">
        <v>208</v>
      </c>
      <c r="O73">
        <v>208</v>
      </c>
      <c r="P73">
        <v>0</v>
      </c>
      <c r="Q73">
        <v>0</v>
      </c>
      <c r="R73">
        <v>0</v>
      </c>
      <c r="S73" s="35">
        <v>0</v>
      </c>
      <c r="T73" s="23">
        <f t="shared" si="4"/>
        <v>1.0833333333333333</v>
      </c>
      <c r="U73" s="23" t="e">
        <f t="shared" si="5"/>
        <v>#DIV/0!</v>
      </c>
    </row>
    <row r="74" spans="1:21" x14ac:dyDescent="0.25">
      <c r="A74" s="17">
        <v>44255</v>
      </c>
      <c r="B74" s="18" t="s">
        <v>34</v>
      </c>
      <c r="D74" s="22">
        <v>13327</v>
      </c>
      <c r="E74" s="22">
        <v>15216.666666666668</v>
      </c>
      <c r="F74" s="22">
        <f>Tableau3[[#This Row],[Produit]]-Tableau3[[#This Row],[Charges]]</f>
        <v>1889.6666666666679</v>
      </c>
      <c r="H74" t="s">
        <v>84</v>
      </c>
      <c r="I74" s="23" t="s">
        <v>61</v>
      </c>
      <c r="J74" s="44">
        <v>189</v>
      </c>
      <c r="K74" s="43">
        <v>189</v>
      </c>
      <c r="L74" s="42">
        <v>2255</v>
      </c>
      <c r="M74" s="41">
        <v>2255</v>
      </c>
      <c r="N74" s="42">
        <v>206</v>
      </c>
      <c r="O74" s="41">
        <v>206</v>
      </c>
      <c r="P74">
        <v>0</v>
      </c>
      <c r="Q74">
        <v>0</v>
      </c>
      <c r="R74">
        <v>0</v>
      </c>
      <c r="S74">
        <v>0</v>
      </c>
      <c r="T74" s="23">
        <f t="shared" si="4"/>
        <v>1.08994708994709</v>
      </c>
      <c r="U74" s="23">
        <f t="shared" si="5"/>
        <v>9.1352549889135251</v>
      </c>
    </row>
    <row r="75" spans="1:21" x14ac:dyDescent="0.25">
      <c r="A75" s="17">
        <v>44255</v>
      </c>
      <c r="B75" s="18" t="s">
        <v>35</v>
      </c>
      <c r="D75" s="22">
        <v>3680</v>
      </c>
      <c r="E75" s="22">
        <v>12650</v>
      </c>
      <c r="F75" s="22">
        <f>Tableau3[[#This Row],[Produit]]-Tableau3[[#This Row],[Charges]]</f>
        <v>8970</v>
      </c>
      <c r="H75" t="s">
        <v>80</v>
      </c>
      <c r="I75" s="23" t="s">
        <v>133</v>
      </c>
      <c r="J75" s="42">
        <v>13</v>
      </c>
      <c r="K75" s="41">
        <v>13</v>
      </c>
      <c r="L75" s="42">
        <v>0</v>
      </c>
      <c r="M75" s="41">
        <v>0</v>
      </c>
      <c r="N75" s="40">
        <v>772</v>
      </c>
      <c r="O75">
        <v>772</v>
      </c>
      <c r="P75">
        <v>30</v>
      </c>
      <c r="Q75">
        <v>0</v>
      </c>
      <c r="R75">
        <v>5</v>
      </c>
      <c r="S75" s="35">
        <v>0</v>
      </c>
      <c r="T75" s="23">
        <f t="shared" si="4"/>
        <v>59.384615384615387</v>
      </c>
      <c r="U75" s="23" t="e">
        <f t="shared" si="5"/>
        <v>#DIV/0!</v>
      </c>
    </row>
    <row r="76" spans="1:21" x14ac:dyDescent="0.25">
      <c r="A76" s="17">
        <v>44255</v>
      </c>
      <c r="B76" s="18" t="s">
        <v>36</v>
      </c>
      <c r="D76" s="22">
        <v>5785</v>
      </c>
      <c r="E76" s="22">
        <v>21722.222222222223</v>
      </c>
      <c r="F76" s="22">
        <f>Tableau3[[#This Row],[Produit]]-Tableau3[[#This Row],[Charges]]</f>
        <v>15937.222222222223</v>
      </c>
      <c r="H76" t="s">
        <v>83</v>
      </c>
      <c r="I76" s="23" t="s">
        <v>33</v>
      </c>
      <c r="J76" s="44">
        <v>168</v>
      </c>
      <c r="K76" s="43">
        <v>168</v>
      </c>
      <c r="L76" s="42">
        <v>0</v>
      </c>
      <c r="M76" s="41">
        <v>0</v>
      </c>
      <c r="N76" s="42">
        <v>336</v>
      </c>
      <c r="O76" s="41">
        <v>336</v>
      </c>
      <c r="P76">
        <v>17</v>
      </c>
      <c r="Q76">
        <v>0</v>
      </c>
      <c r="R76">
        <v>0</v>
      </c>
      <c r="S76">
        <v>7</v>
      </c>
      <c r="T76" s="23">
        <f t="shared" si="4"/>
        <v>2</v>
      </c>
      <c r="U76" s="23" t="e">
        <f t="shared" si="5"/>
        <v>#DIV/0!</v>
      </c>
    </row>
    <row r="77" spans="1:21" x14ac:dyDescent="0.25">
      <c r="A77" s="17">
        <v>44255</v>
      </c>
      <c r="B77" s="18" t="s">
        <v>37</v>
      </c>
      <c r="D77" s="22">
        <v>21385</v>
      </c>
      <c r="E77" s="22">
        <v>0</v>
      </c>
      <c r="F77" s="22">
        <f>Tableau3[[#This Row],[Produit]]-Tableau3[[#This Row],[Charges]]</f>
        <v>-21385</v>
      </c>
      <c r="H77" t="s">
        <v>80</v>
      </c>
      <c r="I77" s="23" t="s">
        <v>34</v>
      </c>
      <c r="J77" s="42">
        <v>91</v>
      </c>
      <c r="K77" s="41">
        <v>91</v>
      </c>
      <c r="L77" s="42">
        <v>0</v>
      </c>
      <c r="M77" s="41">
        <v>0</v>
      </c>
      <c r="N77" s="40">
        <v>529</v>
      </c>
      <c r="O77">
        <v>529</v>
      </c>
      <c r="P77">
        <v>0</v>
      </c>
      <c r="Q77">
        <v>0</v>
      </c>
      <c r="R77">
        <v>20</v>
      </c>
      <c r="S77" s="35">
        <v>0</v>
      </c>
      <c r="T77" s="23">
        <f t="shared" si="4"/>
        <v>5.813186813186813</v>
      </c>
      <c r="U77" s="23" t="e">
        <f t="shared" si="5"/>
        <v>#DIV/0!</v>
      </c>
    </row>
    <row r="78" spans="1:21" x14ac:dyDescent="0.25">
      <c r="A78" s="17">
        <v>44255</v>
      </c>
      <c r="B78" s="18" t="s">
        <v>38</v>
      </c>
      <c r="D78" s="22">
        <v>40205</v>
      </c>
      <c r="E78" s="22">
        <v>118833.33333333334</v>
      </c>
      <c r="F78" s="22">
        <f>Tableau3[[#This Row],[Produit]]-Tableau3[[#This Row],[Charges]]</f>
        <v>78628.333333333343</v>
      </c>
      <c r="H78" t="s">
        <v>116</v>
      </c>
      <c r="I78" s="23" t="s">
        <v>35</v>
      </c>
      <c r="J78" s="44">
        <v>131</v>
      </c>
      <c r="K78" s="43">
        <v>131</v>
      </c>
      <c r="L78" s="42">
        <v>0</v>
      </c>
      <c r="M78" s="41">
        <v>0</v>
      </c>
      <c r="N78" s="42">
        <v>535</v>
      </c>
      <c r="O78" s="41">
        <v>535</v>
      </c>
      <c r="P78">
        <v>10</v>
      </c>
      <c r="Q78">
        <v>0</v>
      </c>
      <c r="R78">
        <v>20</v>
      </c>
      <c r="S78">
        <v>3</v>
      </c>
      <c r="T78" s="23">
        <f t="shared" si="4"/>
        <v>4.0839694656488552</v>
      </c>
      <c r="U78" s="23" t="e">
        <f t="shared" si="5"/>
        <v>#DIV/0!</v>
      </c>
    </row>
    <row r="79" spans="1:21" x14ac:dyDescent="0.25">
      <c r="A79" s="17">
        <v>44255</v>
      </c>
      <c r="F79" s="22">
        <f>Tableau3[[#This Row],[Produit]]-Tableau3[[#This Row],[Charges]]</f>
        <v>0</v>
      </c>
      <c r="H79" t="s">
        <v>84</v>
      </c>
      <c r="I79" s="23" t="s">
        <v>63</v>
      </c>
      <c r="J79" s="44">
        <v>170</v>
      </c>
      <c r="K79" s="43">
        <v>170</v>
      </c>
      <c r="L79" s="42">
        <v>0</v>
      </c>
      <c r="M79" s="41">
        <v>0</v>
      </c>
      <c r="N79" s="42">
        <v>142</v>
      </c>
      <c r="O79" s="41">
        <v>142</v>
      </c>
      <c r="P79">
        <v>0</v>
      </c>
      <c r="Q79">
        <v>0</v>
      </c>
      <c r="R79">
        <v>0</v>
      </c>
      <c r="S79">
        <v>0</v>
      </c>
      <c r="T79" s="23">
        <f t="shared" si="4"/>
        <v>0.83529411764705885</v>
      </c>
      <c r="U79" s="23" t="e">
        <f t="shared" si="5"/>
        <v>#DIV/0!</v>
      </c>
    </row>
    <row r="80" spans="1:21" x14ac:dyDescent="0.25">
      <c r="A80" s="17">
        <v>44255</v>
      </c>
      <c r="B80" s="18" t="s">
        <v>44</v>
      </c>
      <c r="D80" s="22">
        <v>6160</v>
      </c>
      <c r="E80" s="22">
        <v>26577.777777777781</v>
      </c>
      <c r="F80" s="22">
        <f>Tableau3[[#This Row],[Produit]]-Tableau3[[#This Row],[Charges]]</f>
        <v>20417.777777777781</v>
      </c>
      <c r="H80" t="s">
        <v>80</v>
      </c>
      <c r="I80" s="23" t="s">
        <v>105</v>
      </c>
      <c r="J80" s="42">
        <v>168</v>
      </c>
      <c r="K80" s="41">
        <v>168</v>
      </c>
      <c r="L80" s="42">
        <v>0</v>
      </c>
      <c r="M80" s="41">
        <v>0</v>
      </c>
      <c r="N80" s="40">
        <v>324</v>
      </c>
      <c r="O80">
        <v>374</v>
      </c>
      <c r="P80">
        <v>0</v>
      </c>
      <c r="Q80">
        <v>0</v>
      </c>
      <c r="R80">
        <v>0</v>
      </c>
      <c r="S80" s="35">
        <v>0</v>
      </c>
      <c r="T80" s="23">
        <f t="shared" si="4"/>
        <v>2.2261904761904763</v>
      </c>
      <c r="U80" s="23" t="e">
        <f t="shared" si="5"/>
        <v>#DIV/0!</v>
      </c>
    </row>
    <row r="81" spans="1:21" x14ac:dyDescent="0.25">
      <c r="A81" s="17">
        <v>44255</v>
      </c>
      <c r="B81" s="18" t="s">
        <v>45</v>
      </c>
      <c r="D81" s="22">
        <v>10740</v>
      </c>
      <c r="E81" s="22">
        <v>56622.222222222226</v>
      </c>
      <c r="F81" s="22">
        <f>Tableau3[[#This Row],[Produit]]-Tableau3[[#This Row],[Charges]]</f>
        <v>45882.222222222226</v>
      </c>
      <c r="H81" t="s">
        <v>79</v>
      </c>
      <c r="I81" s="23" t="s">
        <v>105</v>
      </c>
      <c r="J81" s="44">
        <v>0</v>
      </c>
      <c r="K81" s="43">
        <v>0</v>
      </c>
      <c r="L81" s="42">
        <v>0</v>
      </c>
      <c r="M81" s="41">
        <v>0</v>
      </c>
      <c r="N81" s="42">
        <v>50</v>
      </c>
      <c r="O81">
        <v>374</v>
      </c>
      <c r="P81">
        <v>0</v>
      </c>
      <c r="Q81">
        <v>0</v>
      </c>
      <c r="R81">
        <v>0</v>
      </c>
      <c r="S81">
        <v>0</v>
      </c>
      <c r="T81" s="23" t="e">
        <f t="shared" si="4"/>
        <v>#DIV/0!</v>
      </c>
      <c r="U81" s="23" t="e">
        <f t="shared" si="5"/>
        <v>#DIV/0!</v>
      </c>
    </row>
    <row r="82" spans="1:21" x14ac:dyDescent="0.25">
      <c r="A82" s="17">
        <v>44255</v>
      </c>
      <c r="B82" s="18" t="s">
        <v>46</v>
      </c>
      <c r="D82" s="22">
        <v>12090</v>
      </c>
      <c r="E82" s="22">
        <v>57488.888888888891</v>
      </c>
      <c r="F82" s="22">
        <f>Tableau3[[#This Row],[Produit]]-Tableau3[[#This Row],[Charges]]</f>
        <v>45398.888888888891</v>
      </c>
      <c r="H82" t="s">
        <v>80</v>
      </c>
      <c r="I82" s="23" t="s">
        <v>64</v>
      </c>
      <c r="J82" s="42">
        <v>0</v>
      </c>
      <c r="K82" s="41">
        <v>0</v>
      </c>
      <c r="L82" s="42">
        <v>0</v>
      </c>
      <c r="M82" s="41">
        <v>0</v>
      </c>
      <c r="N82" s="40">
        <v>89</v>
      </c>
      <c r="O82">
        <v>89</v>
      </c>
      <c r="P82">
        <v>0</v>
      </c>
      <c r="Q82">
        <v>0</v>
      </c>
      <c r="R82">
        <v>0</v>
      </c>
      <c r="S82" s="35">
        <v>0</v>
      </c>
      <c r="T82" s="23" t="e">
        <f t="shared" si="4"/>
        <v>#DIV/0!</v>
      </c>
      <c r="U82" s="23" t="e">
        <f t="shared" si="5"/>
        <v>#DIV/0!</v>
      </c>
    </row>
    <row r="83" spans="1:21" x14ac:dyDescent="0.25">
      <c r="A83" s="17">
        <v>44255</v>
      </c>
      <c r="B83" s="18" t="s">
        <v>47</v>
      </c>
      <c r="D83" s="22">
        <v>5030</v>
      </c>
      <c r="E83" s="22">
        <v>32355.555555555558</v>
      </c>
      <c r="F83" s="22">
        <f>Tableau3[[#This Row],[Produit]]-Tableau3[[#This Row],[Charges]]</f>
        <v>27325.555555555558</v>
      </c>
      <c r="H83" t="s">
        <v>84</v>
      </c>
      <c r="I83" s="23" t="s">
        <v>64</v>
      </c>
      <c r="J83" s="44">
        <v>0</v>
      </c>
      <c r="K83" s="43">
        <v>0</v>
      </c>
      <c r="L83" s="42">
        <v>0</v>
      </c>
      <c r="M83" s="41">
        <v>0</v>
      </c>
      <c r="N83" s="42">
        <v>44</v>
      </c>
      <c r="O83" s="41">
        <v>44</v>
      </c>
      <c r="P83">
        <v>0</v>
      </c>
      <c r="Q83">
        <v>0</v>
      </c>
      <c r="R83">
        <v>0</v>
      </c>
      <c r="S83">
        <v>0</v>
      </c>
      <c r="T83" s="23" t="e">
        <f t="shared" si="4"/>
        <v>#DIV/0!</v>
      </c>
      <c r="U83" s="23" t="e">
        <f t="shared" si="5"/>
        <v>#DIV/0!</v>
      </c>
    </row>
    <row r="84" spans="1:21" x14ac:dyDescent="0.25">
      <c r="A84" s="17">
        <v>44255</v>
      </c>
      <c r="B84" s="18" t="s">
        <v>48</v>
      </c>
      <c r="D84" s="22">
        <v>2330</v>
      </c>
      <c r="E84" s="22">
        <v>13066.666666666666</v>
      </c>
      <c r="F84" s="22">
        <f>Tableau3[[#This Row],[Produit]]-Tableau3[[#This Row],[Charges]]</f>
        <v>10736.666666666666</v>
      </c>
      <c r="H84" t="s">
        <v>83</v>
      </c>
      <c r="I84" s="23" t="s">
        <v>65</v>
      </c>
      <c r="J84" s="44">
        <v>27</v>
      </c>
      <c r="K84" s="43">
        <v>27</v>
      </c>
      <c r="L84" s="42">
        <v>0</v>
      </c>
      <c r="M84" s="41">
        <v>1791</v>
      </c>
      <c r="N84" s="42">
        <v>192</v>
      </c>
      <c r="O84" s="41">
        <v>258</v>
      </c>
      <c r="P84">
        <v>0</v>
      </c>
      <c r="Q84">
        <v>0</v>
      </c>
      <c r="R84">
        <v>0</v>
      </c>
      <c r="S84">
        <v>0</v>
      </c>
      <c r="T84" s="23">
        <f t="shared" si="4"/>
        <v>9.5555555555555554</v>
      </c>
      <c r="U84" s="23">
        <f t="shared" si="5"/>
        <v>14.405360134003351</v>
      </c>
    </row>
    <row r="85" spans="1:21" x14ac:dyDescent="0.25">
      <c r="A85" s="17">
        <v>44255</v>
      </c>
      <c r="B85" s="18" t="s">
        <v>49</v>
      </c>
      <c r="D85" s="22">
        <v>14680</v>
      </c>
      <c r="E85" s="22">
        <v>6377.7777777777774</v>
      </c>
      <c r="F85" s="22">
        <f>Tableau3[[#This Row],[Produit]]-Tableau3[[#This Row],[Charges]]</f>
        <v>-8302.2222222222226</v>
      </c>
      <c r="H85" t="s">
        <v>116</v>
      </c>
      <c r="I85" s="23" t="s">
        <v>65</v>
      </c>
      <c r="J85" s="44">
        <v>0</v>
      </c>
      <c r="K85" s="43">
        <v>27</v>
      </c>
      <c r="L85" s="42">
        <v>1791</v>
      </c>
      <c r="M85" s="41">
        <v>1791</v>
      </c>
      <c r="N85" s="42">
        <v>66</v>
      </c>
      <c r="O85" s="41">
        <v>258</v>
      </c>
      <c r="P85">
        <v>0</v>
      </c>
      <c r="Q85">
        <v>0</v>
      </c>
      <c r="R85">
        <v>0</v>
      </c>
      <c r="S85">
        <v>0</v>
      </c>
      <c r="T85" s="23">
        <f t="shared" si="4"/>
        <v>9.5555555555555554</v>
      </c>
      <c r="U85" s="23">
        <f t="shared" si="5"/>
        <v>14.405360134003351</v>
      </c>
    </row>
    <row r="86" spans="1:21" x14ac:dyDescent="0.25">
      <c r="A86" s="17">
        <v>44255</v>
      </c>
      <c r="B86" s="18" t="s">
        <v>50</v>
      </c>
      <c r="D86" s="22">
        <v>3700</v>
      </c>
      <c r="E86" s="22">
        <v>21855.555555555555</v>
      </c>
      <c r="F86" s="22">
        <f>Tableau3[[#This Row],[Produit]]-Tableau3[[#This Row],[Charges]]</f>
        <v>18155.555555555555</v>
      </c>
      <c r="H86" t="s">
        <v>83</v>
      </c>
      <c r="I86" s="23" t="s">
        <v>66</v>
      </c>
      <c r="J86" s="44">
        <v>7</v>
      </c>
      <c r="K86" s="43">
        <v>15</v>
      </c>
      <c r="L86" s="42">
        <v>0</v>
      </c>
      <c r="M86" s="41">
        <v>0</v>
      </c>
      <c r="N86" s="42">
        <v>38</v>
      </c>
      <c r="O86" s="41">
        <v>38</v>
      </c>
      <c r="P86">
        <v>0</v>
      </c>
      <c r="Q86">
        <v>0</v>
      </c>
      <c r="R86">
        <v>0</v>
      </c>
      <c r="S86">
        <v>0</v>
      </c>
      <c r="T86" s="23">
        <f t="shared" si="4"/>
        <v>2.5333333333333332</v>
      </c>
      <c r="U86" s="23" t="e">
        <f t="shared" si="5"/>
        <v>#DIV/0!</v>
      </c>
    </row>
    <row r="87" spans="1:21" x14ac:dyDescent="0.25">
      <c r="A87" s="17">
        <v>44255</v>
      </c>
      <c r="B87" s="18" t="s">
        <v>51</v>
      </c>
      <c r="D87" s="22">
        <v>290</v>
      </c>
      <c r="E87" s="22">
        <v>0</v>
      </c>
      <c r="F87" s="22">
        <f>Tableau3[[#This Row],[Produit]]-Tableau3[[#This Row],[Charges]]</f>
        <v>-290</v>
      </c>
      <c r="H87" t="s">
        <v>79</v>
      </c>
      <c r="I87" s="23" t="s">
        <v>66</v>
      </c>
      <c r="J87" s="44">
        <v>8</v>
      </c>
      <c r="K87" s="43">
        <v>15</v>
      </c>
      <c r="L87" s="42">
        <v>0</v>
      </c>
      <c r="M87" s="41">
        <v>0</v>
      </c>
      <c r="N87" s="42">
        <v>0</v>
      </c>
      <c r="O87" s="41">
        <v>38</v>
      </c>
      <c r="P87">
        <v>0</v>
      </c>
      <c r="Q87">
        <v>0</v>
      </c>
      <c r="R87">
        <v>0</v>
      </c>
      <c r="S87">
        <v>0</v>
      </c>
      <c r="T87" s="23">
        <f t="shared" si="4"/>
        <v>2.5333333333333332</v>
      </c>
      <c r="U87" s="23" t="e">
        <f t="shared" si="5"/>
        <v>#DIV/0!</v>
      </c>
    </row>
    <row r="88" spans="1:21" x14ac:dyDescent="0.25">
      <c r="A88" s="17">
        <v>44255</v>
      </c>
      <c r="B88" s="18" t="s">
        <v>52</v>
      </c>
      <c r="D88" s="22">
        <v>3850</v>
      </c>
      <c r="E88" s="22">
        <v>12300</v>
      </c>
      <c r="F88" s="22">
        <f>Tableau3[[#This Row],[Produit]]-Tableau3[[#This Row],[Charges]]</f>
        <v>8450</v>
      </c>
      <c r="H88" t="s">
        <v>83</v>
      </c>
      <c r="I88" s="23" t="s">
        <v>67</v>
      </c>
      <c r="J88" s="44">
        <v>187</v>
      </c>
      <c r="K88" s="43">
        <v>187</v>
      </c>
      <c r="L88" s="42">
        <v>1460</v>
      </c>
      <c r="M88" s="41">
        <v>1460</v>
      </c>
      <c r="N88" s="42">
        <v>115</v>
      </c>
      <c r="O88" s="41">
        <v>115</v>
      </c>
      <c r="P88">
        <v>0</v>
      </c>
      <c r="Q88">
        <v>0</v>
      </c>
      <c r="R88">
        <v>0</v>
      </c>
      <c r="S88">
        <v>0</v>
      </c>
      <c r="T88" s="23">
        <f t="shared" si="4"/>
        <v>0.61497326203208558</v>
      </c>
      <c r="U88" s="23">
        <f t="shared" si="5"/>
        <v>7.8767123287671232</v>
      </c>
    </row>
    <row r="89" spans="1:21" x14ac:dyDescent="0.25">
      <c r="A89" s="17">
        <v>44255</v>
      </c>
      <c r="B89" s="18" t="s">
        <v>53</v>
      </c>
      <c r="D89" s="22">
        <v>0</v>
      </c>
      <c r="E89" s="22">
        <v>0</v>
      </c>
      <c r="F89" s="22">
        <f>Tableau3[[#This Row],[Produit]]-Tableau3[[#This Row],[Charges]]</f>
        <v>0</v>
      </c>
      <c r="H89" t="s">
        <v>80</v>
      </c>
      <c r="I89" s="23" t="s">
        <v>69</v>
      </c>
      <c r="J89" s="42">
        <v>192</v>
      </c>
      <c r="K89" s="41">
        <v>192</v>
      </c>
      <c r="L89" s="42">
        <v>4498</v>
      </c>
      <c r="M89" s="41">
        <v>4498</v>
      </c>
      <c r="N89" s="40">
        <v>277</v>
      </c>
      <c r="O89">
        <v>277</v>
      </c>
      <c r="P89">
        <v>0</v>
      </c>
      <c r="Q89">
        <v>0</v>
      </c>
      <c r="R89">
        <v>0</v>
      </c>
      <c r="S89" s="35">
        <v>0</v>
      </c>
      <c r="T89" s="23">
        <f t="shared" si="4"/>
        <v>1.4427083333333333</v>
      </c>
      <c r="U89" s="23">
        <f t="shared" si="5"/>
        <v>6.1582925744775459</v>
      </c>
    </row>
    <row r="90" spans="1:21" x14ac:dyDescent="0.25">
      <c r="A90" s="17">
        <v>44255</v>
      </c>
      <c r="B90" s="18" t="s">
        <v>54</v>
      </c>
      <c r="D90" s="22">
        <v>5810</v>
      </c>
      <c r="E90" s="22">
        <v>33000</v>
      </c>
      <c r="F90" s="22">
        <f>Tableau3[[#This Row],[Produit]]-Tableau3[[#This Row],[Charges]]</f>
        <v>27190</v>
      </c>
      <c r="H90" t="s">
        <v>80</v>
      </c>
      <c r="I90" s="23" t="s">
        <v>70</v>
      </c>
      <c r="J90" s="42">
        <v>0</v>
      </c>
      <c r="K90" s="41">
        <v>0</v>
      </c>
      <c r="L90" s="42">
        <v>0</v>
      </c>
      <c r="M90" s="41">
        <v>0</v>
      </c>
      <c r="N90" s="40">
        <v>0</v>
      </c>
      <c r="O90">
        <v>0</v>
      </c>
      <c r="P90">
        <v>0</v>
      </c>
      <c r="Q90">
        <v>0</v>
      </c>
      <c r="R90">
        <v>0</v>
      </c>
      <c r="S90" s="35">
        <v>0</v>
      </c>
      <c r="T90" s="23" t="e">
        <f t="shared" si="4"/>
        <v>#DIV/0!</v>
      </c>
      <c r="U90" s="23" t="e">
        <f t="shared" si="5"/>
        <v>#DIV/0!</v>
      </c>
    </row>
    <row r="91" spans="1:21" x14ac:dyDescent="0.25">
      <c r="A91" s="17">
        <v>44255</v>
      </c>
      <c r="B91" s="18" t="s">
        <v>55</v>
      </c>
      <c r="D91" s="22">
        <v>6320</v>
      </c>
      <c r="E91" s="22">
        <v>34200</v>
      </c>
      <c r="F91" s="22">
        <f>Tableau3[[#This Row],[Produit]]-Tableau3[[#This Row],[Charges]]</f>
        <v>27880</v>
      </c>
      <c r="H91" t="s">
        <v>84</v>
      </c>
      <c r="I91" s="23" t="s">
        <v>70</v>
      </c>
      <c r="J91" s="44">
        <v>27</v>
      </c>
      <c r="K91" s="43">
        <v>27</v>
      </c>
      <c r="L91" s="42">
        <v>4334</v>
      </c>
      <c r="M91" s="41">
        <v>4334</v>
      </c>
      <c r="N91" s="42">
        <v>200</v>
      </c>
      <c r="O91" s="41">
        <v>200</v>
      </c>
      <c r="P91">
        <v>0</v>
      </c>
      <c r="Q91">
        <v>0</v>
      </c>
      <c r="R91">
        <v>0</v>
      </c>
      <c r="S91">
        <v>0</v>
      </c>
      <c r="T91" s="23">
        <f t="shared" si="4"/>
        <v>7.4074074074074074</v>
      </c>
      <c r="U91" s="23">
        <f t="shared" si="5"/>
        <v>4.6146746654360866</v>
      </c>
    </row>
    <row r="92" spans="1:21" x14ac:dyDescent="0.25">
      <c r="A92" s="17">
        <v>44255</v>
      </c>
      <c r="B92" s="18" t="s">
        <v>56</v>
      </c>
      <c r="D92" s="22">
        <v>35140</v>
      </c>
      <c r="E92" s="22">
        <v>14777.777777777779</v>
      </c>
      <c r="F92" s="22">
        <f>Tableau3[[#This Row],[Produit]]-Tableau3[[#This Row],[Charges]]</f>
        <v>-20362.222222222219</v>
      </c>
      <c r="H92" t="s">
        <v>83</v>
      </c>
      <c r="I92" s="23" t="s">
        <v>71</v>
      </c>
      <c r="J92" s="44">
        <v>47</v>
      </c>
      <c r="K92" s="43">
        <v>176</v>
      </c>
      <c r="L92" s="42">
        <v>4502</v>
      </c>
      <c r="M92" s="41">
        <v>4502</v>
      </c>
      <c r="N92" s="42">
        <v>176</v>
      </c>
      <c r="O92" s="41">
        <v>338</v>
      </c>
      <c r="P92">
        <v>0</v>
      </c>
      <c r="Q92">
        <v>0</v>
      </c>
      <c r="R92">
        <v>0</v>
      </c>
      <c r="S92">
        <v>0</v>
      </c>
      <c r="T92" s="23">
        <f t="shared" si="4"/>
        <v>1.9204545454545454</v>
      </c>
      <c r="U92" s="23">
        <f t="shared" si="5"/>
        <v>7.5077743225233231</v>
      </c>
    </row>
    <row r="93" spans="1:21" x14ac:dyDescent="0.25">
      <c r="A93" s="17">
        <v>44255</v>
      </c>
      <c r="B93" s="18" t="s">
        <v>57</v>
      </c>
      <c r="D93" s="22">
        <v>33740</v>
      </c>
      <c r="E93" s="22">
        <v>0</v>
      </c>
      <c r="F93" s="22">
        <f>Tableau3[[#This Row],[Produit]]-Tableau3[[#This Row],[Charges]]</f>
        <v>-33740</v>
      </c>
      <c r="H93" t="s">
        <v>116</v>
      </c>
      <c r="I93" s="23" t="s">
        <v>71</v>
      </c>
      <c r="J93" s="44">
        <v>129</v>
      </c>
      <c r="K93" s="43">
        <v>176</v>
      </c>
      <c r="L93" s="42">
        <v>2498</v>
      </c>
      <c r="M93" s="41">
        <v>4502</v>
      </c>
      <c r="N93" s="42">
        <v>162</v>
      </c>
      <c r="O93" s="41">
        <v>338</v>
      </c>
      <c r="P93">
        <v>0</v>
      </c>
      <c r="Q93">
        <v>0</v>
      </c>
      <c r="R93">
        <v>0</v>
      </c>
      <c r="S93">
        <v>0</v>
      </c>
      <c r="T93" s="23">
        <f t="shared" si="4"/>
        <v>1.9204545454545454</v>
      </c>
      <c r="U93" s="23">
        <f t="shared" si="5"/>
        <v>7.5077743225233231</v>
      </c>
    </row>
    <row r="94" spans="1:21" x14ac:dyDescent="0.25">
      <c r="A94" s="17">
        <v>44255</v>
      </c>
      <c r="B94" s="18" t="s">
        <v>58</v>
      </c>
      <c r="D94" s="22">
        <v>3035</v>
      </c>
      <c r="E94" s="22">
        <v>7400</v>
      </c>
      <c r="F94" s="22">
        <f>Tableau3[[#This Row],[Produit]]-Tableau3[[#This Row],[Charges]]</f>
        <v>4365</v>
      </c>
      <c r="H94" t="s">
        <v>80</v>
      </c>
      <c r="I94" s="23" t="s">
        <v>72</v>
      </c>
      <c r="J94" s="42">
        <v>0</v>
      </c>
      <c r="K94" s="41">
        <v>0</v>
      </c>
      <c r="L94" s="42">
        <v>0</v>
      </c>
      <c r="M94" s="41">
        <v>0</v>
      </c>
      <c r="N94" s="40">
        <v>47</v>
      </c>
      <c r="O94">
        <v>97</v>
      </c>
      <c r="P94">
        <v>0</v>
      </c>
      <c r="Q94">
        <v>0</v>
      </c>
      <c r="R94">
        <v>0</v>
      </c>
      <c r="S94" s="35">
        <v>0</v>
      </c>
      <c r="T94" s="23" t="e">
        <f t="shared" si="4"/>
        <v>#DIV/0!</v>
      </c>
      <c r="U94" s="23" t="e">
        <f t="shared" si="5"/>
        <v>#DIV/0!</v>
      </c>
    </row>
    <row r="95" spans="1:21" x14ac:dyDescent="0.25">
      <c r="A95" s="17">
        <v>44255</v>
      </c>
      <c r="B95" s="18" t="s">
        <v>59</v>
      </c>
      <c r="D95" s="22">
        <v>2410</v>
      </c>
      <c r="E95" s="22">
        <v>6000</v>
      </c>
      <c r="F95" s="22">
        <f>Tableau3[[#This Row],[Produit]]-Tableau3[[#This Row],[Charges]]</f>
        <v>3590</v>
      </c>
      <c r="H95" t="s">
        <v>79</v>
      </c>
      <c r="I95" s="23" t="s">
        <v>72</v>
      </c>
      <c r="J95" s="44">
        <v>0</v>
      </c>
      <c r="K95" s="43">
        <v>0</v>
      </c>
      <c r="L95" s="42">
        <v>0</v>
      </c>
      <c r="M95" s="41">
        <v>0</v>
      </c>
      <c r="N95" s="42">
        <v>50</v>
      </c>
      <c r="O95">
        <v>97</v>
      </c>
      <c r="P95">
        <v>0</v>
      </c>
      <c r="Q95">
        <v>0</v>
      </c>
      <c r="R95">
        <v>0</v>
      </c>
      <c r="S95">
        <v>0</v>
      </c>
      <c r="T95" s="23" t="e">
        <f t="shared" si="4"/>
        <v>#DIV/0!</v>
      </c>
      <c r="U95" s="23" t="e">
        <f t="shared" si="5"/>
        <v>#DIV/0!</v>
      </c>
    </row>
    <row r="96" spans="1:21" x14ac:dyDescent="0.25">
      <c r="A96" s="17">
        <v>44255</v>
      </c>
      <c r="B96" s="18" t="s">
        <v>60</v>
      </c>
      <c r="D96" s="22">
        <v>2300</v>
      </c>
      <c r="E96" s="22">
        <v>15600.000000000002</v>
      </c>
      <c r="F96" s="22">
        <f>Tableau3[[#This Row],[Produit]]-Tableau3[[#This Row],[Charges]]</f>
        <v>13300.000000000002</v>
      </c>
      <c r="H96" t="s">
        <v>84</v>
      </c>
      <c r="I96" s="23" t="s">
        <v>72</v>
      </c>
      <c r="J96" s="44">
        <v>27</v>
      </c>
      <c r="K96" s="43">
        <v>27</v>
      </c>
      <c r="L96" s="42">
        <v>1297</v>
      </c>
      <c r="M96" s="41">
        <v>1297</v>
      </c>
      <c r="N96" s="42">
        <v>115</v>
      </c>
      <c r="O96" s="41">
        <v>115</v>
      </c>
      <c r="P96">
        <v>0</v>
      </c>
      <c r="Q96">
        <v>0</v>
      </c>
      <c r="R96">
        <v>0</v>
      </c>
      <c r="S96">
        <v>0</v>
      </c>
      <c r="T96" s="23">
        <f t="shared" si="4"/>
        <v>4.2592592592592595</v>
      </c>
      <c r="U96" s="23">
        <f t="shared" si="5"/>
        <v>8.8666152659984583</v>
      </c>
    </row>
    <row r="97" spans="1:21" x14ac:dyDescent="0.25">
      <c r="A97" s="17">
        <v>44255</v>
      </c>
      <c r="B97" s="18" t="s">
        <v>61</v>
      </c>
      <c r="D97" s="22">
        <v>2493</v>
      </c>
      <c r="E97" s="22">
        <v>11666.666666666668</v>
      </c>
      <c r="F97" s="22">
        <f>Tableau3[[#This Row],[Produit]]-Tableau3[[#This Row],[Charges]]</f>
        <v>9173.6666666666679</v>
      </c>
      <c r="H97" t="s">
        <v>79</v>
      </c>
      <c r="I97" s="23" t="s">
        <v>73</v>
      </c>
      <c r="J97" s="44">
        <v>160</v>
      </c>
      <c r="K97" s="43">
        <v>160</v>
      </c>
      <c r="L97" s="42">
        <v>0</v>
      </c>
      <c r="M97" s="41">
        <v>0</v>
      </c>
      <c r="N97" s="42">
        <v>255.22</v>
      </c>
      <c r="O97" s="41">
        <v>255.22</v>
      </c>
      <c r="P97">
        <v>0</v>
      </c>
      <c r="Q97">
        <v>0</v>
      </c>
      <c r="R97">
        <v>0</v>
      </c>
      <c r="S97">
        <v>0</v>
      </c>
      <c r="T97" s="23">
        <f t="shared" si="4"/>
        <v>1.5951249999999999</v>
      </c>
      <c r="U97" s="23" t="e">
        <f t="shared" si="5"/>
        <v>#DIV/0!</v>
      </c>
    </row>
    <row r="98" spans="1:21" x14ac:dyDescent="0.25">
      <c r="A98" s="17">
        <v>44255</v>
      </c>
      <c r="B98" s="18" t="s">
        <v>63</v>
      </c>
      <c r="D98" s="22">
        <v>1280</v>
      </c>
      <c r="E98" s="22">
        <v>7727.7777777777792</v>
      </c>
      <c r="F98" s="22">
        <f>Tableau3[[#This Row],[Produit]]-Tableau3[[#This Row],[Charges]]</f>
        <v>6447.7777777777792</v>
      </c>
      <c r="H98" t="s">
        <v>83</v>
      </c>
      <c r="I98" s="23" t="s">
        <v>74</v>
      </c>
      <c r="J98" s="44">
        <v>162</v>
      </c>
      <c r="K98" s="43">
        <v>180</v>
      </c>
      <c r="L98" s="42">
        <v>0</v>
      </c>
      <c r="M98" s="41">
        <v>0</v>
      </c>
      <c r="N98" s="42">
        <v>142</v>
      </c>
      <c r="O98" s="41">
        <v>178</v>
      </c>
      <c r="P98">
        <v>0</v>
      </c>
      <c r="Q98">
        <v>0</v>
      </c>
      <c r="R98">
        <v>0</v>
      </c>
      <c r="S98">
        <v>0</v>
      </c>
      <c r="T98" s="23">
        <f t="shared" ref="T98:T106" si="6">O98/K98</f>
        <v>0.98888888888888893</v>
      </c>
      <c r="U98" s="23" t="e">
        <f t="shared" ref="U98:U106" si="7">O98*100/M98</f>
        <v>#DIV/0!</v>
      </c>
    </row>
    <row r="99" spans="1:21" x14ac:dyDescent="0.25">
      <c r="A99" s="17">
        <v>44255</v>
      </c>
      <c r="B99" s="18" t="s">
        <v>105</v>
      </c>
      <c r="D99" s="22">
        <v>3410</v>
      </c>
      <c r="E99" s="22">
        <v>12350.000000000002</v>
      </c>
      <c r="F99" s="22">
        <f>Tableau3[[#This Row],[Produit]]-Tableau3[[#This Row],[Charges]]</f>
        <v>8940.0000000000018</v>
      </c>
      <c r="H99" t="s">
        <v>116</v>
      </c>
      <c r="I99" s="23" t="s">
        <v>74</v>
      </c>
      <c r="J99" s="44">
        <v>18</v>
      </c>
      <c r="K99" s="43">
        <v>180</v>
      </c>
      <c r="L99" s="42">
        <v>0</v>
      </c>
      <c r="M99" s="41">
        <v>0</v>
      </c>
      <c r="N99" s="42">
        <v>36</v>
      </c>
      <c r="O99" s="41">
        <v>178</v>
      </c>
      <c r="P99">
        <v>0</v>
      </c>
      <c r="Q99">
        <v>0</v>
      </c>
      <c r="R99">
        <v>0</v>
      </c>
      <c r="S99">
        <v>0</v>
      </c>
      <c r="T99" s="23">
        <f t="shared" si="6"/>
        <v>0.98888888888888893</v>
      </c>
      <c r="U99" s="23" t="e">
        <f t="shared" si="7"/>
        <v>#DIV/0!</v>
      </c>
    </row>
    <row r="100" spans="1:21" x14ac:dyDescent="0.25">
      <c r="A100" s="17">
        <v>44286</v>
      </c>
      <c r="B100" s="18" t="s">
        <v>31</v>
      </c>
      <c r="C100" s="18" t="s">
        <v>92</v>
      </c>
      <c r="E100" s="22">
        <v>2104</v>
      </c>
      <c r="F100" s="22">
        <f>Tableau3[[#This Row],[Produit]]-Tableau3[[#This Row],[Charges]]</f>
        <v>2104</v>
      </c>
      <c r="H100" t="s">
        <v>84</v>
      </c>
      <c r="I100" s="23" t="s">
        <v>75</v>
      </c>
      <c r="J100" s="44">
        <v>189</v>
      </c>
      <c r="K100" s="43">
        <v>189</v>
      </c>
      <c r="L100" s="42">
        <v>3132</v>
      </c>
      <c r="M100" s="41">
        <v>3132</v>
      </c>
      <c r="N100" s="42">
        <v>213</v>
      </c>
      <c r="O100" s="41">
        <v>213</v>
      </c>
      <c r="P100">
        <v>0</v>
      </c>
      <c r="Q100">
        <v>0</v>
      </c>
      <c r="R100">
        <v>0</v>
      </c>
      <c r="S100">
        <v>0</v>
      </c>
      <c r="T100" s="23">
        <f t="shared" si="6"/>
        <v>1.126984126984127</v>
      </c>
      <c r="U100" s="23">
        <f t="shared" si="7"/>
        <v>6.8007662835249043</v>
      </c>
    </row>
    <row r="101" spans="1:21" x14ac:dyDescent="0.25">
      <c r="A101" s="17">
        <v>44286</v>
      </c>
      <c r="B101" s="18" t="s">
        <v>16</v>
      </c>
      <c r="C101" s="18" t="s">
        <v>40</v>
      </c>
      <c r="D101" s="22">
        <v>5745.58</v>
      </c>
      <c r="E101" s="22">
        <v>17200</v>
      </c>
      <c r="F101" s="22">
        <f>Tableau3[[#This Row],[Produit]]-Tableau3[[#This Row],[Charges]]</f>
        <v>11454.42</v>
      </c>
      <c r="H101" t="s">
        <v>80</v>
      </c>
      <c r="I101" s="23" t="s">
        <v>76</v>
      </c>
      <c r="J101" s="42">
        <v>160</v>
      </c>
      <c r="K101" s="41">
        <v>160</v>
      </c>
      <c r="L101" s="42">
        <v>1688</v>
      </c>
      <c r="M101" s="41">
        <v>1688</v>
      </c>
      <c r="N101" s="40">
        <v>194</v>
      </c>
      <c r="O101">
        <v>194</v>
      </c>
      <c r="P101">
        <v>0</v>
      </c>
      <c r="Q101">
        <v>0</v>
      </c>
      <c r="R101">
        <v>0</v>
      </c>
      <c r="S101" s="35">
        <v>0</v>
      </c>
      <c r="T101" s="23">
        <f t="shared" si="6"/>
        <v>1.2124999999999999</v>
      </c>
      <c r="U101" s="23">
        <f t="shared" si="7"/>
        <v>11.492890995260664</v>
      </c>
    </row>
    <row r="102" spans="1:21" x14ac:dyDescent="0.25">
      <c r="A102" s="17">
        <v>44286</v>
      </c>
      <c r="B102" s="18" t="s">
        <v>17</v>
      </c>
      <c r="C102" s="18" t="s">
        <v>40</v>
      </c>
      <c r="D102" s="22">
        <v>3317.71</v>
      </c>
      <c r="E102" s="22">
        <v>12200</v>
      </c>
      <c r="F102" s="22">
        <f>Tableau3[[#This Row],[Produit]]-Tableau3[[#This Row],[Charges]]</f>
        <v>8882.2900000000009</v>
      </c>
      <c r="H102" t="s">
        <v>80</v>
      </c>
      <c r="I102" s="23" t="s">
        <v>77</v>
      </c>
      <c r="J102" s="42">
        <v>0</v>
      </c>
      <c r="K102" s="41">
        <v>0</v>
      </c>
      <c r="L102" s="42">
        <v>836</v>
      </c>
      <c r="M102" s="41">
        <v>836</v>
      </c>
      <c r="N102" s="40">
        <v>28</v>
      </c>
      <c r="O102">
        <v>130</v>
      </c>
      <c r="P102">
        <v>0</v>
      </c>
      <c r="Q102">
        <v>0</v>
      </c>
      <c r="R102">
        <v>0</v>
      </c>
      <c r="S102" s="35">
        <v>0</v>
      </c>
      <c r="T102" s="23" t="e">
        <f t="shared" si="6"/>
        <v>#DIV/0!</v>
      </c>
      <c r="U102" s="23">
        <f t="shared" si="7"/>
        <v>15.55023923444976</v>
      </c>
    </row>
    <row r="103" spans="1:21" x14ac:dyDescent="0.25">
      <c r="A103" s="17">
        <v>44286</v>
      </c>
      <c r="B103" s="18" t="s">
        <v>18</v>
      </c>
      <c r="C103" s="18" t="s">
        <v>40</v>
      </c>
      <c r="E103" s="22">
        <v>300</v>
      </c>
      <c r="F103" s="22">
        <f>Tableau3[[#This Row],[Produit]]-Tableau3[[#This Row],[Charges]]</f>
        <v>300</v>
      </c>
      <c r="H103" t="s">
        <v>84</v>
      </c>
      <c r="I103" s="23" t="s">
        <v>77</v>
      </c>
      <c r="J103" s="44">
        <v>180</v>
      </c>
      <c r="K103" s="43">
        <v>180</v>
      </c>
      <c r="L103" s="42">
        <v>13700</v>
      </c>
      <c r="M103" s="41">
        <v>836</v>
      </c>
      <c r="N103" s="42">
        <v>102</v>
      </c>
      <c r="O103">
        <v>130</v>
      </c>
      <c r="P103">
        <v>0</v>
      </c>
      <c r="Q103">
        <v>0</v>
      </c>
      <c r="R103">
        <v>0</v>
      </c>
      <c r="S103">
        <v>0</v>
      </c>
      <c r="T103" s="23">
        <f t="shared" si="6"/>
        <v>0.72222222222222221</v>
      </c>
      <c r="U103" s="23">
        <f t="shared" si="7"/>
        <v>15.55023923444976</v>
      </c>
    </row>
    <row r="104" spans="1:21" x14ac:dyDescent="0.25">
      <c r="A104" s="17">
        <v>44286</v>
      </c>
      <c r="B104" s="18" t="s">
        <v>19</v>
      </c>
      <c r="C104" s="18" t="s">
        <v>40</v>
      </c>
      <c r="D104" s="22">
        <v>5755.42</v>
      </c>
      <c r="E104" s="22">
        <v>12600</v>
      </c>
      <c r="F104" s="22">
        <f>Tableau3[[#This Row],[Produit]]-Tableau3[[#This Row],[Charges]]</f>
        <v>6844.58</v>
      </c>
      <c r="H104" t="s">
        <v>116</v>
      </c>
      <c r="I104" s="23" t="s">
        <v>78</v>
      </c>
      <c r="J104" s="44">
        <v>190</v>
      </c>
      <c r="K104" s="43">
        <v>190</v>
      </c>
      <c r="L104" s="42">
        <v>4616</v>
      </c>
      <c r="M104" s="41">
        <v>4616</v>
      </c>
      <c r="N104" s="42">
        <v>246</v>
      </c>
      <c r="O104" s="41">
        <v>246</v>
      </c>
      <c r="P104">
        <v>0</v>
      </c>
      <c r="Q104">
        <v>0</v>
      </c>
      <c r="R104">
        <v>0</v>
      </c>
      <c r="S104">
        <v>0</v>
      </c>
      <c r="T104" s="23">
        <f t="shared" si="6"/>
        <v>1.2947368421052632</v>
      </c>
      <c r="U104" s="23">
        <f t="shared" si="7"/>
        <v>5.3292894280762564</v>
      </c>
    </row>
    <row r="105" spans="1:21" x14ac:dyDescent="0.25">
      <c r="A105" s="17">
        <v>44286</v>
      </c>
      <c r="B105" s="18" t="s">
        <v>44</v>
      </c>
      <c r="C105" s="18" t="s">
        <v>85</v>
      </c>
      <c r="D105" s="22">
        <v>28926.02</v>
      </c>
      <c r="E105" s="22">
        <v>55440</v>
      </c>
      <c r="F105" s="22">
        <f>Tableau3[[#This Row],[Produit]]-Tableau3[[#This Row],[Charges]]</f>
        <v>26513.98</v>
      </c>
      <c r="H105" t="s">
        <v>80</v>
      </c>
      <c r="I105" s="23" t="s">
        <v>132</v>
      </c>
      <c r="J105" s="42">
        <v>0</v>
      </c>
      <c r="K105" s="41">
        <v>0</v>
      </c>
      <c r="L105" s="42">
        <v>0</v>
      </c>
      <c r="M105" s="41">
        <v>0</v>
      </c>
      <c r="N105" s="40">
        <v>26</v>
      </c>
      <c r="O105">
        <v>110</v>
      </c>
      <c r="P105">
        <v>0</v>
      </c>
      <c r="Q105">
        <v>0</v>
      </c>
      <c r="R105">
        <v>0</v>
      </c>
      <c r="S105" s="35">
        <v>0</v>
      </c>
      <c r="T105" s="23" t="e">
        <f t="shared" si="6"/>
        <v>#DIV/0!</v>
      </c>
      <c r="U105" s="23" t="e">
        <f t="shared" si="7"/>
        <v>#DIV/0!</v>
      </c>
    </row>
    <row r="106" spans="1:21" x14ac:dyDescent="0.25">
      <c r="A106" s="17">
        <v>44286</v>
      </c>
      <c r="B106" s="18" t="s">
        <v>45</v>
      </c>
      <c r="C106" s="18" t="s">
        <v>85</v>
      </c>
      <c r="D106" s="22">
        <v>32810.46</v>
      </c>
      <c r="E106" s="22">
        <v>61320</v>
      </c>
      <c r="F106" s="22">
        <f>Tableau3[[#This Row],[Produit]]-Tableau3[[#This Row],[Charges]]</f>
        <v>28509.54</v>
      </c>
      <c r="H106" t="s">
        <v>84</v>
      </c>
      <c r="I106" s="23" t="s">
        <v>132</v>
      </c>
      <c r="J106" s="44">
        <v>0</v>
      </c>
      <c r="K106" s="43">
        <v>0</v>
      </c>
      <c r="L106" s="42">
        <v>142869</v>
      </c>
      <c r="M106" s="41">
        <v>142869</v>
      </c>
      <c r="N106" s="42">
        <v>84</v>
      </c>
      <c r="O106">
        <v>110</v>
      </c>
      <c r="P106">
        <v>0</v>
      </c>
      <c r="Q106">
        <v>0</v>
      </c>
      <c r="R106">
        <v>0</v>
      </c>
      <c r="S106">
        <v>0</v>
      </c>
      <c r="T106" s="23" t="e">
        <f t="shared" si="6"/>
        <v>#DIV/0!</v>
      </c>
      <c r="U106" s="23">
        <f t="shared" si="7"/>
        <v>7.6993609530408971E-2</v>
      </c>
    </row>
    <row r="107" spans="1:21" x14ac:dyDescent="0.25">
      <c r="A107" s="17">
        <v>44286</v>
      </c>
      <c r="B107" s="18" t="s">
        <v>46</v>
      </c>
      <c r="C107" s="18" t="s">
        <v>85</v>
      </c>
      <c r="D107" s="22">
        <v>7256.74</v>
      </c>
      <c r="E107" s="22">
        <v>52640</v>
      </c>
      <c r="F107" s="22">
        <f>Tableau3[[#This Row],[Produit]]-Tableau3[[#This Row],[Charges]]</f>
        <v>45383.26</v>
      </c>
      <c r="U107" s="23" t="s">
        <v>131</v>
      </c>
    </row>
    <row r="108" spans="1:21" x14ac:dyDescent="0.25">
      <c r="A108" s="17">
        <v>44286</v>
      </c>
      <c r="B108" s="18" t="s">
        <v>47</v>
      </c>
      <c r="C108" s="18" t="s">
        <v>85</v>
      </c>
      <c r="D108" s="22">
        <v>12474.14</v>
      </c>
      <c r="E108" s="22">
        <v>74872</v>
      </c>
      <c r="F108" s="22">
        <f>Tableau3[[#This Row],[Produit]]-Tableau3[[#This Row],[Charges]]</f>
        <v>62397.86</v>
      </c>
      <c r="T108" s="35"/>
      <c r="U108" s="23" t="s">
        <v>131</v>
      </c>
    </row>
    <row r="109" spans="1:21" x14ac:dyDescent="0.25">
      <c r="A109" s="17">
        <v>44286</v>
      </c>
      <c r="B109" s="18" t="s">
        <v>48</v>
      </c>
      <c r="C109" s="18" t="s">
        <v>85</v>
      </c>
      <c r="D109" s="22">
        <v>14076.27</v>
      </c>
      <c r="E109" s="22">
        <v>22800</v>
      </c>
      <c r="F109" s="22">
        <f>Tableau3[[#This Row],[Produit]]-Tableau3[[#This Row],[Charges]]</f>
        <v>8723.73</v>
      </c>
      <c r="T109" s="35"/>
      <c r="U109" s="23" t="s">
        <v>131</v>
      </c>
    </row>
    <row r="110" spans="1:21" x14ac:dyDescent="0.25">
      <c r="A110" s="17">
        <v>44286</v>
      </c>
      <c r="B110" s="18" t="s">
        <v>49</v>
      </c>
      <c r="C110" s="18" t="s">
        <v>85</v>
      </c>
      <c r="D110" s="22">
        <v>18106.259999999998</v>
      </c>
      <c r="E110" s="22">
        <v>22350</v>
      </c>
      <c r="F110" s="22">
        <f>Tableau3[[#This Row],[Produit]]-Tableau3[[#This Row],[Charges]]</f>
        <v>4243.7400000000016</v>
      </c>
      <c r="T110" s="35"/>
      <c r="U110" s="23" t="s">
        <v>131</v>
      </c>
    </row>
    <row r="111" spans="1:21" x14ac:dyDescent="0.25">
      <c r="A111" s="17">
        <v>44286</v>
      </c>
      <c r="B111" s="18" t="s">
        <v>50</v>
      </c>
      <c r="C111" s="18" t="s">
        <v>85</v>
      </c>
      <c r="D111" s="22">
        <v>953.04</v>
      </c>
      <c r="F111" s="22">
        <f>Tableau3[[#This Row],[Produit]]-Tableau3[[#This Row],[Charges]]</f>
        <v>-953.04</v>
      </c>
      <c r="T111" s="35"/>
      <c r="U111" s="23" t="s">
        <v>131</v>
      </c>
    </row>
    <row r="112" spans="1:21" x14ac:dyDescent="0.25">
      <c r="A112" s="17">
        <v>44286</v>
      </c>
      <c r="B112" s="18" t="s">
        <v>54</v>
      </c>
      <c r="C112" s="18" t="s">
        <v>85</v>
      </c>
      <c r="D112" s="22">
        <v>18127.169999999998</v>
      </c>
      <c r="E112" s="22">
        <v>560</v>
      </c>
      <c r="F112" s="22">
        <f>Tableau3[[#This Row],[Produit]]-Tableau3[[#This Row],[Charges]]</f>
        <v>-17567.169999999998</v>
      </c>
      <c r="T112" s="35"/>
      <c r="U112" s="23" t="s">
        <v>131</v>
      </c>
    </row>
    <row r="113" spans="1:21" x14ac:dyDescent="0.25">
      <c r="A113" s="17">
        <v>44286</v>
      </c>
      <c r="B113" s="18" t="s">
        <v>56</v>
      </c>
      <c r="C113" s="18" t="s">
        <v>93</v>
      </c>
      <c r="D113" s="22">
        <v>24919.68</v>
      </c>
      <c r="E113" s="22">
        <v>50100</v>
      </c>
      <c r="F113" s="22">
        <f>Tableau3[[#This Row],[Produit]]-Tableau3[[#This Row],[Charges]]</f>
        <v>25180.32</v>
      </c>
      <c r="T113" s="35"/>
      <c r="U113" s="23" t="s">
        <v>131</v>
      </c>
    </row>
    <row r="114" spans="1:21" x14ac:dyDescent="0.25">
      <c r="A114" s="17">
        <v>44286</v>
      </c>
      <c r="B114" s="18" t="s">
        <v>57</v>
      </c>
      <c r="C114" s="18" t="s">
        <v>93</v>
      </c>
      <c r="D114" s="22">
        <v>135142.23000000001</v>
      </c>
      <c r="E114" s="22">
        <v>34650</v>
      </c>
      <c r="F114" s="22">
        <f>Tableau3[[#This Row],[Produit]]-Tableau3[[#This Row],[Charges]]</f>
        <v>-100492.23000000001</v>
      </c>
      <c r="T114" s="35"/>
      <c r="U114" s="23" t="s">
        <v>131</v>
      </c>
    </row>
    <row r="115" spans="1:21" x14ac:dyDescent="0.25">
      <c r="A115" s="17">
        <v>44286</v>
      </c>
      <c r="B115" s="18" t="s">
        <v>55</v>
      </c>
      <c r="C115" s="18" t="s">
        <v>85</v>
      </c>
      <c r="D115" s="22">
        <v>9580.5</v>
      </c>
      <c r="E115" s="22">
        <v>70896</v>
      </c>
      <c r="F115" s="22">
        <f>Tableau3[[#This Row],[Produit]]-Tableau3[[#This Row],[Charges]]</f>
        <v>61315.5</v>
      </c>
      <c r="T115" s="35"/>
      <c r="U115" s="23" t="s">
        <v>131</v>
      </c>
    </row>
    <row r="116" spans="1:21" x14ac:dyDescent="0.25">
      <c r="A116" s="17">
        <v>44286</v>
      </c>
      <c r="B116" s="18" t="s">
        <v>52</v>
      </c>
      <c r="C116" s="18" t="s">
        <v>85</v>
      </c>
      <c r="D116" s="22">
        <v>8343.41</v>
      </c>
      <c r="E116" s="22">
        <v>26125</v>
      </c>
      <c r="F116" s="22">
        <f>Tableau3[[#This Row],[Produit]]-Tableau3[[#This Row],[Charges]]</f>
        <v>17781.59</v>
      </c>
      <c r="U116" s="23" t="s">
        <v>131</v>
      </c>
    </row>
    <row r="117" spans="1:21" x14ac:dyDescent="0.25">
      <c r="A117" s="17">
        <v>44286</v>
      </c>
      <c r="B117" s="18" t="s">
        <v>28</v>
      </c>
      <c r="C117" s="18" t="s">
        <v>42</v>
      </c>
      <c r="D117" s="22">
        <v>8668.11</v>
      </c>
      <c r="E117" s="22">
        <v>42534</v>
      </c>
      <c r="F117" s="22">
        <f>Tableau3[[#This Row],[Produit]]-Tableau3[[#This Row],[Charges]]</f>
        <v>33865.89</v>
      </c>
      <c r="T117" s="35"/>
      <c r="U117" s="23" t="s">
        <v>131</v>
      </c>
    </row>
    <row r="118" spans="1:21" x14ac:dyDescent="0.25">
      <c r="A118" s="17">
        <v>44286</v>
      </c>
      <c r="B118" s="18" t="s">
        <v>29</v>
      </c>
      <c r="C118" s="18" t="s">
        <v>42</v>
      </c>
      <c r="D118" s="22">
        <v>18479.189999999999</v>
      </c>
      <c r="E118" s="22">
        <v>102220</v>
      </c>
      <c r="F118" s="22">
        <f>Tableau3[[#This Row],[Produit]]-Tableau3[[#This Row],[Charges]]</f>
        <v>83740.81</v>
      </c>
      <c r="T118" s="35"/>
      <c r="U118" s="23" t="s">
        <v>131</v>
      </c>
    </row>
    <row r="119" spans="1:21" x14ac:dyDescent="0.25">
      <c r="A119" s="17">
        <v>44286</v>
      </c>
      <c r="B119" s="18" t="s">
        <v>94</v>
      </c>
      <c r="C119" s="18" t="s">
        <v>42</v>
      </c>
      <c r="D119" s="22">
        <v>18942.45</v>
      </c>
      <c r="E119" s="22">
        <v>34960</v>
      </c>
      <c r="F119" s="22">
        <f>Tableau3[[#This Row],[Produit]]-Tableau3[[#This Row],[Charges]]</f>
        <v>16017.55</v>
      </c>
      <c r="T119" s="35"/>
      <c r="U119" s="23" t="s">
        <v>131</v>
      </c>
    </row>
    <row r="120" spans="1:21" x14ac:dyDescent="0.25">
      <c r="A120" s="17">
        <v>44286</v>
      </c>
      <c r="B120" s="18" t="s">
        <v>36</v>
      </c>
      <c r="C120" s="18" t="s">
        <v>92</v>
      </c>
      <c r="D120" s="22">
        <v>8110.33</v>
      </c>
      <c r="F120" s="22">
        <f>Tableau3[[#This Row],[Produit]]-Tableau3[[#This Row],[Charges]]</f>
        <v>-8110.33</v>
      </c>
      <c r="T120" s="35"/>
      <c r="U120" s="23" t="s">
        <v>131</v>
      </c>
    </row>
    <row r="121" spans="1:21" x14ac:dyDescent="0.25">
      <c r="A121" s="17">
        <v>44286</v>
      </c>
      <c r="B121" s="18" t="s">
        <v>37</v>
      </c>
      <c r="C121" s="18" t="s">
        <v>92</v>
      </c>
      <c r="D121" s="22">
        <v>122135.12</v>
      </c>
      <c r="E121" s="22">
        <v>302805</v>
      </c>
      <c r="F121" s="22">
        <f>Tableau3[[#This Row],[Produit]]-Tableau3[[#This Row],[Charges]]</f>
        <v>180669.88</v>
      </c>
      <c r="U121" s="23" t="s">
        <v>131</v>
      </c>
    </row>
    <row r="122" spans="1:21" x14ac:dyDescent="0.25">
      <c r="A122" s="17">
        <v>44286</v>
      </c>
      <c r="B122" s="18" t="s">
        <v>51</v>
      </c>
      <c r="C122" s="18" t="s">
        <v>85</v>
      </c>
      <c r="E122" s="22">
        <v>1400</v>
      </c>
      <c r="F122" s="22">
        <f>Tableau3[[#This Row],[Produit]]-Tableau3[[#This Row],[Charges]]</f>
        <v>1400</v>
      </c>
      <c r="T122" s="35"/>
      <c r="U122" s="23" t="s">
        <v>131</v>
      </c>
    </row>
    <row r="123" spans="1:21" x14ac:dyDescent="0.25">
      <c r="A123" s="17">
        <v>44286</v>
      </c>
      <c r="B123" s="18" t="s">
        <v>30</v>
      </c>
      <c r="C123" s="18" t="s">
        <v>92</v>
      </c>
      <c r="F123" s="22">
        <f>Tableau3[[#This Row],[Produit]]-Tableau3[[#This Row],[Charges]]</f>
        <v>0</v>
      </c>
      <c r="T123" s="35"/>
      <c r="U123" s="23" t="s">
        <v>131</v>
      </c>
    </row>
    <row r="124" spans="1:21" x14ac:dyDescent="0.25">
      <c r="A124" s="17">
        <v>44286</v>
      </c>
      <c r="B124" s="18" t="s">
        <v>38</v>
      </c>
      <c r="C124" s="18" t="s">
        <v>92</v>
      </c>
      <c r="D124" s="22">
        <v>59609.29</v>
      </c>
      <c r="F124" s="22">
        <f>Tableau3[[#This Row],[Produit]]-Tableau3[[#This Row],[Charges]]</f>
        <v>-59609.29</v>
      </c>
      <c r="T124" s="35"/>
      <c r="U124" s="23" t="s">
        <v>131</v>
      </c>
    </row>
    <row r="125" spans="1:21" x14ac:dyDescent="0.25">
      <c r="A125" s="17">
        <v>44286</v>
      </c>
      <c r="B125" s="18" t="s">
        <v>11</v>
      </c>
      <c r="C125" s="18" t="s">
        <v>39</v>
      </c>
      <c r="D125" s="22">
        <v>12040.45</v>
      </c>
      <c r="E125" s="22">
        <v>48500</v>
      </c>
      <c r="F125" s="22">
        <f>Tableau3[[#This Row],[Produit]]-Tableau3[[#This Row],[Charges]]</f>
        <v>36459.550000000003</v>
      </c>
      <c r="T125" s="35"/>
    </row>
    <row r="126" spans="1:21" x14ac:dyDescent="0.25">
      <c r="A126" s="17">
        <v>44286</v>
      </c>
      <c r="B126" s="18" t="s">
        <v>12</v>
      </c>
      <c r="C126" s="18" t="s">
        <v>39</v>
      </c>
      <c r="D126" s="22">
        <v>83.34</v>
      </c>
      <c r="F126" s="22">
        <f>Tableau3[[#This Row],[Produit]]-Tableau3[[#This Row],[Charges]]</f>
        <v>-83.34</v>
      </c>
      <c r="O126"/>
      <c r="T126" s="35"/>
      <c r="U126" s="23" t="s">
        <v>131</v>
      </c>
    </row>
    <row r="127" spans="1:21" x14ac:dyDescent="0.25">
      <c r="A127" s="17">
        <v>44286</v>
      </c>
      <c r="B127" s="18" t="s">
        <v>13</v>
      </c>
      <c r="C127" s="18" t="s">
        <v>39</v>
      </c>
      <c r="D127" s="22">
        <v>30005.62</v>
      </c>
      <c r="E127" s="22">
        <v>78000</v>
      </c>
      <c r="F127" s="22">
        <f>Tableau3[[#This Row],[Produit]]-Tableau3[[#This Row],[Charges]]</f>
        <v>47994.380000000005</v>
      </c>
      <c r="T127" s="35"/>
      <c r="U127" s="23" t="s">
        <v>131</v>
      </c>
    </row>
    <row r="128" spans="1:21" x14ac:dyDescent="0.25">
      <c r="A128" s="17">
        <v>44286</v>
      </c>
      <c r="B128" s="18" t="s">
        <v>14</v>
      </c>
      <c r="C128" s="18" t="s">
        <v>39</v>
      </c>
      <c r="D128" s="22">
        <v>42762.71</v>
      </c>
      <c r="E128" s="22">
        <v>91500</v>
      </c>
      <c r="F128" s="22">
        <f>Tableau3[[#This Row],[Produit]]-Tableau3[[#This Row],[Charges]]</f>
        <v>48737.29</v>
      </c>
      <c r="T128" s="35"/>
      <c r="U128" s="23" t="s">
        <v>131</v>
      </c>
    </row>
    <row r="129" spans="1:21" x14ac:dyDescent="0.25">
      <c r="A129" s="17">
        <v>44286</v>
      </c>
      <c r="B129" s="18" t="s">
        <v>15</v>
      </c>
      <c r="C129" s="18" t="s">
        <v>39</v>
      </c>
      <c r="D129" s="22">
        <v>14144.61</v>
      </c>
      <c r="F129" s="22">
        <f>Tableau3[[#This Row],[Produit]]-Tableau3[[#This Row],[Charges]]</f>
        <v>-14144.61</v>
      </c>
      <c r="T129" s="35"/>
      <c r="U129" s="23" t="s">
        <v>131</v>
      </c>
    </row>
    <row r="130" spans="1:21" x14ac:dyDescent="0.25">
      <c r="A130" s="17">
        <v>44286</v>
      </c>
      <c r="B130" s="18" t="s">
        <v>95</v>
      </c>
      <c r="C130" s="18" t="s">
        <v>96</v>
      </c>
      <c r="D130" s="22">
        <v>33.119999999999997</v>
      </c>
      <c r="F130" s="22">
        <f>Tableau3[[#This Row],[Produit]]-Tableau3[[#This Row],[Charges]]</f>
        <v>-33.119999999999997</v>
      </c>
      <c r="J130" s="42"/>
      <c r="K130" s="41"/>
      <c r="N130" s="40"/>
      <c r="O130"/>
      <c r="S130" s="35"/>
      <c r="T130" s="23"/>
      <c r="U130" s="23" t="s">
        <v>131</v>
      </c>
    </row>
    <row r="131" spans="1:21" x14ac:dyDescent="0.25">
      <c r="A131" s="17">
        <v>44286</v>
      </c>
      <c r="B131" s="18" t="s">
        <v>97</v>
      </c>
      <c r="C131" s="18" t="s">
        <v>96</v>
      </c>
      <c r="D131" s="22">
        <v>913.89</v>
      </c>
      <c r="F131" s="22">
        <f>Tableau3[[#This Row],[Produit]]-Tableau3[[#This Row],[Charges]]</f>
        <v>-913.89</v>
      </c>
      <c r="T131" s="35"/>
      <c r="U131" s="23" t="s">
        <v>131</v>
      </c>
    </row>
    <row r="132" spans="1:21" x14ac:dyDescent="0.25">
      <c r="A132" s="17">
        <v>44286</v>
      </c>
      <c r="B132" s="18" t="s">
        <v>98</v>
      </c>
      <c r="C132" s="18" t="s">
        <v>96</v>
      </c>
      <c r="D132" s="22">
        <v>543.5</v>
      </c>
      <c r="F132" s="22">
        <f>Tableau3[[#This Row],[Produit]]-Tableau3[[#This Row],[Charges]]</f>
        <v>-543.5</v>
      </c>
      <c r="J132" s="42"/>
      <c r="K132" s="41"/>
      <c r="N132" s="40"/>
      <c r="O132"/>
      <c r="S132" s="35"/>
      <c r="T132" s="23"/>
      <c r="U132" s="23" t="s">
        <v>131</v>
      </c>
    </row>
    <row r="133" spans="1:21" x14ac:dyDescent="0.25">
      <c r="A133" s="17">
        <v>44286</v>
      </c>
      <c r="B133" s="18" t="s">
        <v>99</v>
      </c>
      <c r="C133" s="18" t="s">
        <v>96</v>
      </c>
      <c r="D133" s="22">
        <v>65016.92</v>
      </c>
      <c r="F133" s="22">
        <f>Tableau3[[#This Row],[Produit]]-Tableau3[[#This Row],[Charges]]</f>
        <v>-65016.92</v>
      </c>
      <c r="T133" s="35"/>
      <c r="U133" s="23" t="s">
        <v>131</v>
      </c>
    </row>
    <row r="134" spans="1:21" x14ac:dyDescent="0.25">
      <c r="A134" s="17">
        <v>44286</v>
      </c>
      <c r="B134" s="18" t="s">
        <v>100</v>
      </c>
      <c r="C134" s="18" t="s">
        <v>96</v>
      </c>
      <c r="F134" s="22">
        <f>Tableau3[[#This Row],[Produit]]-Tableau3[[#This Row],[Charges]]</f>
        <v>0</v>
      </c>
      <c r="J134" s="42"/>
      <c r="K134" s="41"/>
      <c r="N134" s="40"/>
      <c r="O134"/>
      <c r="S134" s="35"/>
      <c r="T134" s="23"/>
      <c r="U134" s="23" t="s">
        <v>131</v>
      </c>
    </row>
    <row r="135" spans="1:21" x14ac:dyDescent="0.25">
      <c r="A135" s="17">
        <v>44286</v>
      </c>
      <c r="B135" s="18" t="s">
        <v>101</v>
      </c>
      <c r="C135" s="18" t="s">
        <v>96</v>
      </c>
      <c r="D135" s="22">
        <v>2853.16</v>
      </c>
      <c r="F135" s="22">
        <f>Tableau3[[#This Row],[Produit]]-Tableau3[[#This Row],[Charges]]</f>
        <v>-2853.16</v>
      </c>
      <c r="T135" s="35"/>
      <c r="U135" s="23" t="s">
        <v>131</v>
      </c>
    </row>
    <row r="136" spans="1:21" x14ac:dyDescent="0.25">
      <c r="A136" s="17">
        <v>44286</v>
      </c>
      <c r="B136" s="18" t="s">
        <v>102</v>
      </c>
      <c r="C136" s="18" t="s">
        <v>96</v>
      </c>
      <c r="D136" s="22">
        <v>734.81</v>
      </c>
      <c r="F136" s="22">
        <f>Tableau3[[#This Row],[Produit]]-Tableau3[[#This Row],[Charges]]</f>
        <v>-734.81</v>
      </c>
      <c r="U136" s="23" t="s">
        <v>131</v>
      </c>
    </row>
    <row r="137" spans="1:21" x14ac:dyDescent="0.25">
      <c r="A137" s="17">
        <v>44286</v>
      </c>
      <c r="B137" s="18" t="s">
        <v>103</v>
      </c>
      <c r="C137" s="18" t="s">
        <v>96</v>
      </c>
      <c r="D137" s="22">
        <v>190</v>
      </c>
      <c r="F137" s="22">
        <f>Tableau3[[#This Row],[Produit]]-Tableau3[[#This Row],[Charges]]</f>
        <v>-190</v>
      </c>
      <c r="U137" s="23" t="s">
        <v>131</v>
      </c>
    </row>
    <row r="138" spans="1:21" x14ac:dyDescent="0.25">
      <c r="A138" s="17">
        <v>44286</v>
      </c>
      <c r="B138" s="18" t="s">
        <v>104</v>
      </c>
      <c r="C138" s="18" t="s">
        <v>96</v>
      </c>
      <c r="D138" s="22">
        <v>313.31</v>
      </c>
      <c r="F138" s="22">
        <f>Tableau3[[#This Row],[Produit]]-Tableau3[[#This Row],[Charges]]</f>
        <v>-313.31</v>
      </c>
      <c r="T138" s="35"/>
      <c r="U138" s="23" t="s">
        <v>131</v>
      </c>
    </row>
    <row r="139" spans="1:21" x14ac:dyDescent="0.25">
      <c r="A139" s="17">
        <v>44286</v>
      </c>
      <c r="B139" s="18" t="s">
        <v>20</v>
      </c>
      <c r="C139" s="18" t="s">
        <v>41</v>
      </c>
      <c r="D139" s="22">
        <v>40095.550000000003</v>
      </c>
      <c r="E139" s="22">
        <v>39270</v>
      </c>
      <c r="F139" s="22">
        <f>Tableau3[[#This Row],[Produit]]-Tableau3[[#This Row],[Charges]]</f>
        <v>-825.55000000000291</v>
      </c>
      <c r="T139" s="35"/>
      <c r="U139" s="23" t="s">
        <v>131</v>
      </c>
    </row>
    <row r="140" spans="1:21" x14ac:dyDescent="0.25">
      <c r="A140" s="17">
        <v>44286</v>
      </c>
      <c r="B140" s="18" t="s">
        <v>21</v>
      </c>
      <c r="C140" s="18" t="s">
        <v>41</v>
      </c>
      <c r="D140" s="22">
        <v>32077.87</v>
      </c>
      <c r="E140" s="22">
        <v>38220</v>
      </c>
      <c r="F140" s="22">
        <f>Tableau3[[#This Row],[Produit]]-Tableau3[[#This Row],[Charges]]</f>
        <v>6142.130000000001</v>
      </c>
      <c r="J140" s="42"/>
      <c r="K140" s="41"/>
      <c r="N140" s="40"/>
      <c r="O140"/>
      <c r="S140" s="35"/>
      <c r="T140" s="23"/>
      <c r="U140" s="23" t="s">
        <v>131</v>
      </c>
    </row>
    <row r="141" spans="1:21" x14ac:dyDescent="0.25">
      <c r="A141" s="17">
        <v>44286</v>
      </c>
      <c r="B141" s="18" t="s">
        <v>22</v>
      </c>
      <c r="C141" s="18" t="s">
        <v>41</v>
      </c>
      <c r="D141" s="22">
        <v>56179.19</v>
      </c>
      <c r="E141" s="22">
        <v>98196</v>
      </c>
      <c r="F141" s="22">
        <f>Tableau3[[#This Row],[Produit]]-Tableau3[[#This Row],[Charges]]</f>
        <v>42016.81</v>
      </c>
      <c r="T141" s="35"/>
      <c r="U141" s="23" t="s">
        <v>131</v>
      </c>
    </row>
    <row r="142" spans="1:21" x14ac:dyDescent="0.25">
      <c r="A142" s="17">
        <v>44286</v>
      </c>
      <c r="B142" s="18" t="s">
        <v>23</v>
      </c>
      <c r="C142" s="18" t="s">
        <v>41</v>
      </c>
      <c r="D142" s="22">
        <v>71182.45</v>
      </c>
      <c r="E142" s="22">
        <v>83160</v>
      </c>
      <c r="F142" s="22">
        <f>Tableau3[[#This Row],[Produit]]-Tableau3[[#This Row],[Charges]]</f>
        <v>11977.550000000003</v>
      </c>
      <c r="J142" s="42"/>
      <c r="K142" s="41"/>
      <c r="N142" s="40"/>
      <c r="O142"/>
      <c r="S142" s="35"/>
      <c r="T142" s="23"/>
      <c r="U142" s="23" t="s">
        <v>131</v>
      </c>
    </row>
    <row r="143" spans="1:21" x14ac:dyDescent="0.25">
      <c r="A143" s="17">
        <v>44286</v>
      </c>
      <c r="B143" s="18" t="s">
        <v>24</v>
      </c>
      <c r="C143" s="18" t="s">
        <v>41</v>
      </c>
      <c r="D143" s="22">
        <v>80930.78</v>
      </c>
      <c r="E143" s="22">
        <v>99960</v>
      </c>
      <c r="F143" s="22">
        <f>Tableau3[[#This Row],[Produit]]-Tableau3[[#This Row],[Charges]]</f>
        <v>19029.22</v>
      </c>
      <c r="T143" s="35"/>
      <c r="U143" s="23" t="s">
        <v>131</v>
      </c>
    </row>
    <row r="144" spans="1:21" x14ac:dyDescent="0.25">
      <c r="A144" s="17">
        <v>44286</v>
      </c>
      <c r="B144" s="18" t="s">
        <v>25</v>
      </c>
      <c r="C144" s="18" t="s">
        <v>41</v>
      </c>
      <c r="D144" s="22">
        <v>54923.81</v>
      </c>
      <c r="E144" s="22">
        <v>50820</v>
      </c>
      <c r="F144" s="22">
        <f>Tableau3[[#This Row],[Produit]]-Tableau3[[#This Row],[Charges]]</f>
        <v>-4103.8099999999977</v>
      </c>
      <c r="T144" s="35"/>
      <c r="U144" s="23" t="s">
        <v>131</v>
      </c>
    </row>
    <row r="145" spans="1:21" x14ac:dyDescent="0.25">
      <c r="A145" s="17">
        <v>44286</v>
      </c>
      <c r="B145" s="18" t="s">
        <v>26</v>
      </c>
      <c r="C145" s="18" t="s">
        <v>41</v>
      </c>
      <c r="D145" s="22">
        <v>68985.8</v>
      </c>
      <c r="E145" s="22">
        <v>65940</v>
      </c>
      <c r="F145" s="22">
        <f>Tableau3[[#This Row],[Produit]]-Tableau3[[#This Row],[Charges]]</f>
        <v>-3045.8000000000029</v>
      </c>
      <c r="J145" s="42"/>
      <c r="K145" s="41"/>
      <c r="N145" s="40"/>
      <c r="O145"/>
      <c r="S145" s="35"/>
      <c r="T145" s="23"/>
      <c r="U145" s="23" t="s">
        <v>131</v>
      </c>
    </row>
    <row r="146" spans="1:21" x14ac:dyDescent="0.25">
      <c r="A146" s="17">
        <v>44286</v>
      </c>
      <c r="B146" s="18" t="s">
        <v>27</v>
      </c>
      <c r="C146" s="18" t="s">
        <v>41</v>
      </c>
      <c r="D146" s="22">
        <v>9845.2999999999993</v>
      </c>
      <c r="E146" s="22">
        <v>45320</v>
      </c>
      <c r="F146" s="22">
        <f>Tableau3[[#This Row],[Produit]]-Tableau3[[#This Row],[Charges]]</f>
        <v>35474.699999999997</v>
      </c>
      <c r="T146" s="35"/>
      <c r="U146" s="23" t="s">
        <v>131</v>
      </c>
    </row>
    <row r="147" spans="1:21" x14ac:dyDescent="0.25">
      <c r="A147" s="17">
        <v>44286</v>
      </c>
      <c r="B147" s="18" t="s">
        <v>58</v>
      </c>
      <c r="C147" s="18" t="s">
        <v>86</v>
      </c>
      <c r="D147" s="22">
        <v>6188.16</v>
      </c>
      <c r="E147" s="22">
        <v>13520</v>
      </c>
      <c r="F147" s="22">
        <f>Tableau3[[#This Row],[Produit]]-Tableau3[[#This Row],[Charges]]</f>
        <v>7331.84</v>
      </c>
      <c r="T147" s="35"/>
      <c r="U147" s="23" t="s">
        <v>131</v>
      </c>
    </row>
    <row r="148" spans="1:21" x14ac:dyDescent="0.25">
      <c r="A148" s="17">
        <v>44286</v>
      </c>
      <c r="B148" s="18" t="s">
        <v>59</v>
      </c>
      <c r="C148" s="18" t="s">
        <v>86</v>
      </c>
      <c r="D148" s="22">
        <v>1820</v>
      </c>
      <c r="E148" s="22">
        <v>15340</v>
      </c>
      <c r="F148" s="22">
        <f>Tableau3[[#This Row],[Produit]]-Tableau3[[#This Row],[Charges]]</f>
        <v>13520</v>
      </c>
      <c r="T148" s="35"/>
      <c r="U148" s="23" t="s">
        <v>131</v>
      </c>
    </row>
    <row r="149" spans="1:21" x14ac:dyDescent="0.25">
      <c r="A149" s="17">
        <v>44286</v>
      </c>
      <c r="B149" s="18" t="s">
        <v>60</v>
      </c>
      <c r="C149" s="18" t="s">
        <v>86</v>
      </c>
      <c r="D149" s="22">
        <v>1752.19</v>
      </c>
      <c r="E149" s="22">
        <v>14040</v>
      </c>
      <c r="F149" s="22">
        <f>Tableau3[[#This Row],[Produit]]-Tableau3[[#This Row],[Charges]]</f>
        <v>12287.81</v>
      </c>
      <c r="T149" s="35"/>
      <c r="U149" s="23" t="s">
        <v>131</v>
      </c>
    </row>
    <row r="150" spans="1:21" x14ac:dyDescent="0.25">
      <c r="A150" s="17">
        <v>44286</v>
      </c>
      <c r="B150" s="18" t="s">
        <v>61</v>
      </c>
      <c r="C150" s="18" t="s">
        <v>86</v>
      </c>
      <c r="D150" s="22">
        <v>3585.05</v>
      </c>
      <c r="E150" s="22">
        <v>4827.55</v>
      </c>
      <c r="F150" s="22">
        <f>Tableau3[[#This Row],[Produit]]-Tableau3[[#This Row],[Charges]]</f>
        <v>1242.5</v>
      </c>
      <c r="T150" s="35"/>
      <c r="U150" s="23" t="s">
        <v>131</v>
      </c>
    </row>
    <row r="151" spans="1:21" x14ac:dyDescent="0.25">
      <c r="A151" s="17">
        <v>44286</v>
      </c>
      <c r="B151" s="18" t="s">
        <v>33</v>
      </c>
      <c r="C151" s="18" t="s">
        <v>43</v>
      </c>
      <c r="D151" s="22">
        <v>1557.5</v>
      </c>
      <c r="E151" s="22">
        <v>17280</v>
      </c>
      <c r="F151" s="22">
        <f>Tableau3[[#This Row],[Produit]]-Tableau3[[#This Row],[Charges]]</f>
        <v>15722.5</v>
      </c>
      <c r="U151" s="23" t="s">
        <v>131</v>
      </c>
    </row>
    <row r="152" spans="1:21" x14ac:dyDescent="0.25">
      <c r="A152" s="17">
        <v>44286</v>
      </c>
      <c r="B152" s="18" t="s">
        <v>34</v>
      </c>
      <c r="C152" s="18" t="s">
        <v>43</v>
      </c>
      <c r="D152" s="22">
        <v>4759.74</v>
      </c>
      <c r="E152" s="22">
        <v>31140</v>
      </c>
      <c r="F152" s="22">
        <f>Tableau3[[#This Row],[Produit]]-Tableau3[[#This Row],[Charges]]</f>
        <v>26380.260000000002</v>
      </c>
      <c r="U152" s="23" t="s">
        <v>131</v>
      </c>
    </row>
    <row r="153" spans="1:21" x14ac:dyDescent="0.25">
      <c r="A153" s="17">
        <v>44286</v>
      </c>
      <c r="B153" s="18" t="s">
        <v>35</v>
      </c>
      <c r="C153" s="18" t="s">
        <v>43</v>
      </c>
      <c r="D153" s="22">
        <v>7407.66</v>
      </c>
      <c r="E153" s="22">
        <v>27180</v>
      </c>
      <c r="F153" s="22">
        <f>Tableau3[[#This Row],[Produit]]-Tableau3[[#This Row],[Charges]]</f>
        <v>19772.34</v>
      </c>
      <c r="U153" s="23" t="s">
        <v>131</v>
      </c>
    </row>
    <row r="154" spans="1:21" x14ac:dyDescent="0.25">
      <c r="A154" s="17">
        <v>44286</v>
      </c>
      <c r="B154" s="18" t="s">
        <v>63</v>
      </c>
      <c r="C154" s="18" t="s">
        <v>87</v>
      </c>
      <c r="D154" s="22">
        <v>1956.9</v>
      </c>
      <c r="E154" s="22">
        <v>14040</v>
      </c>
      <c r="F154" s="22">
        <f>Tableau3[[#This Row],[Produit]]-Tableau3[[#This Row],[Charges]]</f>
        <v>12083.1</v>
      </c>
      <c r="T154" s="35"/>
      <c r="U154" s="23" t="s">
        <v>131</v>
      </c>
    </row>
    <row r="155" spans="1:21" x14ac:dyDescent="0.25">
      <c r="A155" s="17">
        <v>44286</v>
      </c>
      <c r="B155" s="18" t="s">
        <v>105</v>
      </c>
      <c r="C155" s="18" t="s">
        <v>87</v>
      </c>
      <c r="D155" s="22">
        <v>1650.18</v>
      </c>
      <c r="E155" s="22">
        <v>12545</v>
      </c>
      <c r="F155" s="22">
        <f>Tableau3[[#This Row],[Produit]]-Tableau3[[#This Row],[Charges]]</f>
        <v>10894.82</v>
      </c>
      <c r="T155" s="35"/>
      <c r="U155" s="23" t="s">
        <v>131</v>
      </c>
    </row>
    <row r="156" spans="1:21" x14ac:dyDescent="0.25">
      <c r="A156" s="17">
        <v>44286</v>
      </c>
      <c r="B156" s="18" t="s">
        <v>64</v>
      </c>
      <c r="C156" s="18" t="s">
        <v>106</v>
      </c>
      <c r="D156" s="22">
        <v>17938.240000000002</v>
      </c>
      <c r="E156" s="22">
        <v>11200</v>
      </c>
      <c r="F156" s="22">
        <f>Tableau3[[#This Row],[Produit]]-Tableau3[[#This Row],[Charges]]</f>
        <v>-6738.2400000000016</v>
      </c>
      <c r="T156" s="35"/>
      <c r="U156" s="23" t="s">
        <v>131</v>
      </c>
    </row>
    <row r="157" spans="1:21" x14ac:dyDescent="0.25">
      <c r="A157" s="17">
        <v>44286</v>
      </c>
      <c r="B157" s="18" t="s">
        <v>65</v>
      </c>
      <c r="C157" s="18" t="s">
        <v>106</v>
      </c>
      <c r="D157" s="22">
        <v>8493.91</v>
      </c>
      <c r="F157" s="22">
        <f>Tableau3[[#This Row],[Produit]]-Tableau3[[#This Row],[Charges]]</f>
        <v>-8493.91</v>
      </c>
      <c r="T157" s="35"/>
      <c r="U157" s="23" t="s">
        <v>131</v>
      </c>
    </row>
    <row r="158" spans="1:21" x14ac:dyDescent="0.25">
      <c r="A158" s="17">
        <v>44286</v>
      </c>
      <c r="B158" s="18" t="s">
        <v>66</v>
      </c>
      <c r="C158" s="18" t="s">
        <v>106</v>
      </c>
      <c r="D158" s="22">
        <v>10244</v>
      </c>
      <c r="E158" s="22">
        <v>11200</v>
      </c>
      <c r="F158" s="22">
        <f>Tableau3[[#This Row],[Produit]]-Tableau3[[#This Row],[Charges]]</f>
        <v>956</v>
      </c>
      <c r="T158" s="35"/>
      <c r="U158" s="23" t="s">
        <v>131</v>
      </c>
    </row>
    <row r="159" spans="1:21" x14ac:dyDescent="0.25">
      <c r="A159" s="17">
        <v>44286</v>
      </c>
      <c r="B159" s="18" t="s">
        <v>67</v>
      </c>
      <c r="C159" s="18" t="s">
        <v>106</v>
      </c>
      <c r="D159" s="22">
        <v>2561.83</v>
      </c>
      <c r="E159" s="22">
        <v>9000</v>
      </c>
      <c r="F159" s="22">
        <f>Tableau3[[#This Row],[Produit]]-Tableau3[[#This Row],[Charges]]</f>
        <v>6438.17</v>
      </c>
      <c r="T159" s="35"/>
      <c r="U159" s="23" t="s">
        <v>131</v>
      </c>
    </row>
    <row r="160" spans="1:21" x14ac:dyDescent="0.25">
      <c r="A160" s="17">
        <v>44286</v>
      </c>
      <c r="B160" s="18" t="s">
        <v>68</v>
      </c>
      <c r="C160" s="18" t="s">
        <v>106</v>
      </c>
      <c r="D160" s="22">
        <v>383.33</v>
      </c>
      <c r="E160" s="22">
        <v>8400</v>
      </c>
      <c r="F160" s="22">
        <f>Tableau3[[#This Row],[Produit]]-Tableau3[[#This Row],[Charges]]</f>
        <v>8016.67</v>
      </c>
      <c r="T160" s="35"/>
    </row>
    <row r="161" spans="1:20" x14ac:dyDescent="0.25">
      <c r="A161" s="17">
        <v>44286</v>
      </c>
      <c r="B161" s="18" t="s">
        <v>69</v>
      </c>
      <c r="C161" s="18" t="s">
        <v>106</v>
      </c>
      <c r="D161" s="22">
        <v>2223.5</v>
      </c>
      <c r="E161" s="22">
        <v>7200</v>
      </c>
      <c r="F161" s="22">
        <f>Tableau3[[#This Row],[Produit]]-Tableau3[[#This Row],[Charges]]</f>
        <v>4976.5</v>
      </c>
    </row>
    <row r="162" spans="1:20" x14ac:dyDescent="0.25">
      <c r="A162" s="17">
        <v>44286</v>
      </c>
      <c r="B162" s="18" t="s">
        <v>70</v>
      </c>
      <c r="C162" s="18" t="s">
        <v>106</v>
      </c>
      <c r="D162" s="22">
        <v>1966.94</v>
      </c>
      <c r="E162" s="22">
        <v>5931</v>
      </c>
      <c r="F162" s="22">
        <f>Tableau3[[#This Row],[Produit]]-Tableau3[[#This Row],[Charges]]</f>
        <v>3964.06</v>
      </c>
      <c r="J162" s="42"/>
      <c r="K162" s="41"/>
      <c r="N162" s="40"/>
      <c r="O162"/>
      <c r="S162" s="35"/>
      <c r="T162" s="23"/>
    </row>
    <row r="163" spans="1:20" x14ac:dyDescent="0.25">
      <c r="A163" s="17">
        <v>44286</v>
      </c>
      <c r="B163" s="18" t="s">
        <v>71</v>
      </c>
      <c r="C163" s="18" t="s">
        <v>106</v>
      </c>
      <c r="D163" s="22">
        <v>0</v>
      </c>
      <c r="E163" s="22">
        <v>9600</v>
      </c>
      <c r="F163" s="22">
        <f>Tableau3[[#This Row],[Produit]]-Tableau3[[#This Row],[Charges]]</f>
        <v>9600</v>
      </c>
      <c r="J163" s="42"/>
      <c r="K163" s="41"/>
      <c r="N163" s="40"/>
      <c r="O163"/>
      <c r="S163" s="35"/>
      <c r="T163" s="23"/>
    </row>
    <row r="164" spans="1:20" x14ac:dyDescent="0.25">
      <c r="A164" s="17">
        <v>44286</v>
      </c>
      <c r="B164" s="18" t="s">
        <v>72</v>
      </c>
      <c r="C164" s="18" t="s">
        <v>106</v>
      </c>
      <c r="D164" s="22">
        <v>2509.88</v>
      </c>
      <c r="E164" s="22">
        <v>10920</v>
      </c>
      <c r="F164" s="22">
        <f>Tableau3[[#This Row],[Produit]]-Tableau3[[#This Row],[Charges]]</f>
        <v>8410.119999999999</v>
      </c>
      <c r="J164" s="42"/>
      <c r="K164" s="41"/>
      <c r="N164" s="40"/>
      <c r="O164"/>
      <c r="S164" s="35"/>
      <c r="T164" s="23"/>
    </row>
    <row r="165" spans="1:20" x14ac:dyDescent="0.25">
      <c r="A165" s="17">
        <v>44286</v>
      </c>
      <c r="B165" s="18" t="s">
        <v>73</v>
      </c>
      <c r="C165" s="18" t="s">
        <v>106</v>
      </c>
      <c r="D165" s="22">
        <v>1070</v>
      </c>
      <c r="E165" s="22">
        <v>8462</v>
      </c>
      <c r="F165" s="22">
        <f>Tableau3[[#This Row],[Produit]]-Tableau3[[#This Row],[Charges]]</f>
        <v>7392</v>
      </c>
      <c r="J165" s="42"/>
      <c r="K165" s="41"/>
      <c r="N165" s="40"/>
      <c r="O165"/>
      <c r="S165" s="35"/>
      <c r="T165" s="23"/>
    </row>
    <row r="166" spans="1:20" x14ac:dyDescent="0.25">
      <c r="A166" s="17">
        <v>44286</v>
      </c>
      <c r="B166" s="18" t="s">
        <v>74</v>
      </c>
      <c r="C166" s="18" t="s">
        <v>106</v>
      </c>
      <c r="D166" s="22">
        <v>2024.53</v>
      </c>
      <c r="E166" s="22">
        <v>9120</v>
      </c>
      <c r="F166" s="22">
        <f>Tableau3[[#This Row],[Produit]]-Tableau3[[#This Row],[Charges]]</f>
        <v>7095.47</v>
      </c>
      <c r="J166" s="42"/>
      <c r="K166" s="41"/>
      <c r="N166" s="40"/>
      <c r="O166"/>
      <c r="S166" s="35"/>
      <c r="T166" s="23"/>
    </row>
    <row r="167" spans="1:20" x14ac:dyDescent="0.25">
      <c r="A167" s="17">
        <v>44286</v>
      </c>
      <c r="B167" s="18" t="s">
        <v>75</v>
      </c>
      <c r="C167" s="18" t="s">
        <v>106</v>
      </c>
      <c r="D167" s="22">
        <v>2690.4</v>
      </c>
      <c r="E167" s="22">
        <v>7200</v>
      </c>
      <c r="F167" s="22">
        <f>Tableau3[[#This Row],[Produit]]-Tableau3[[#This Row],[Charges]]</f>
        <v>4509.6000000000004</v>
      </c>
      <c r="J167" s="42"/>
      <c r="K167" s="41"/>
      <c r="N167" s="40"/>
      <c r="O167"/>
      <c r="S167" s="35"/>
      <c r="T167" s="23"/>
    </row>
    <row r="168" spans="1:20" x14ac:dyDescent="0.25">
      <c r="A168" s="17">
        <v>44286</v>
      </c>
      <c r="B168" s="18" t="s">
        <v>76</v>
      </c>
      <c r="C168" s="18" t="s">
        <v>106</v>
      </c>
      <c r="D168" s="22">
        <v>440</v>
      </c>
      <c r="E168" s="22">
        <v>12000</v>
      </c>
      <c r="F168" s="22">
        <f>Tableau3[[#This Row],[Produit]]-Tableau3[[#This Row],[Charges]]</f>
        <v>11560</v>
      </c>
      <c r="J168" s="42"/>
      <c r="K168" s="41"/>
      <c r="N168" s="40"/>
      <c r="O168"/>
      <c r="S168" s="35"/>
      <c r="T168" s="23"/>
    </row>
    <row r="169" spans="1:20" x14ac:dyDescent="0.25">
      <c r="A169" s="17">
        <v>44286</v>
      </c>
      <c r="B169" s="18" t="s">
        <v>77</v>
      </c>
      <c r="C169" s="18" t="s">
        <v>106</v>
      </c>
      <c r="D169" s="22">
        <v>1186</v>
      </c>
      <c r="E169" s="22">
        <v>4800</v>
      </c>
      <c r="F169" s="22">
        <f>Tableau3[[#This Row],[Produit]]-Tableau3[[#This Row],[Charges]]</f>
        <v>3614</v>
      </c>
      <c r="J169" s="42"/>
      <c r="K169" s="41"/>
      <c r="N169" s="40"/>
      <c r="O169"/>
      <c r="S169" s="35"/>
      <c r="T169" s="23"/>
    </row>
    <row r="170" spans="1:20" x14ac:dyDescent="0.25">
      <c r="A170" s="17">
        <v>44286</v>
      </c>
      <c r="B170" s="18" t="s">
        <v>78</v>
      </c>
      <c r="C170" s="18" t="s">
        <v>106</v>
      </c>
      <c r="D170" s="22">
        <v>2144.5300000000002</v>
      </c>
      <c r="E170" s="22">
        <v>8400</v>
      </c>
      <c r="F170" s="22">
        <f>Tableau3[[#This Row],[Produit]]-Tableau3[[#This Row],[Charges]]</f>
        <v>6255.4699999999993</v>
      </c>
      <c r="J170" s="42"/>
      <c r="K170" s="41"/>
      <c r="N170" s="40"/>
      <c r="O170"/>
      <c r="S170" s="35"/>
      <c r="T170" s="23"/>
    </row>
    <row r="171" spans="1:20" x14ac:dyDescent="0.25">
      <c r="A171" s="17">
        <v>44286</v>
      </c>
      <c r="F171" s="22">
        <f>Tableau3[[#This Row],[Produit]]-Tableau3[[#This Row],[Charges]]</f>
        <v>0</v>
      </c>
      <c r="J171" s="42"/>
      <c r="K171" s="41"/>
      <c r="N171" s="40"/>
      <c r="O171"/>
      <c r="S171" s="35"/>
      <c r="T171" s="23"/>
    </row>
    <row r="172" spans="1:20" x14ac:dyDescent="0.25">
      <c r="A172" s="17">
        <v>44316</v>
      </c>
      <c r="B172" s="18" t="s">
        <v>16</v>
      </c>
      <c r="D172" s="22">
        <v>15700</v>
      </c>
      <c r="E172" s="22">
        <v>26400</v>
      </c>
      <c r="F172" s="22">
        <f>Tableau3[[#This Row],[Produit]]-Tableau3[[#This Row],[Charges]]</f>
        <v>10700</v>
      </c>
      <c r="J172" s="42"/>
      <c r="K172" s="41"/>
      <c r="N172" s="40"/>
      <c r="O172"/>
      <c r="S172" s="35"/>
      <c r="T172" s="23"/>
    </row>
    <row r="173" spans="1:20" x14ac:dyDescent="0.25">
      <c r="A173" s="17">
        <v>44316</v>
      </c>
      <c r="B173" s="18" t="s">
        <v>17</v>
      </c>
      <c r="D173" s="22">
        <v>580</v>
      </c>
      <c r="E173" s="22">
        <v>8000</v>
      </c>
      <c r="F173" s="22">
        <f>Tableau3[[#This Row],[Produit]]-Tableau3[[#This Row],[Charges]]</f>
        <v>7420</v>
      </c>
    </row>
    <row r="174" spans="1:20" x14ac:dyDescent="0.25">
      <c r="A174" s="17">
        <v>44316</v>
      </c>
      <c r="B174" s="18" t="s">
        <v>18</v>
      </c>
      <c r="D174" s="22">
        <v>1331.08</v>
      </c>
      <c r="E174" s="22">
        <v>1200</v>
      </c>
      <c r="F174" s="22">
        <f>Tableau3[[#This Row],[Produit]]-Tableau3[[#This Row],[Charges]]</f>
        <v>-131.07999999999993</v>
      </c>
    </row>
    <row r="175" spans="1:20" x14ac:dyDescent="0.25">
      <c r="A175" s="17">
        <v>44316</v>
      </c>
      <c r="B175" s="18" t="s">
        <v>19</v>
      </c>
      <c r="D175" s="22">
        <v>10850</v>
      </c>
      <c r="E175" s="22">
        <v>12600</v>
      </c>
      <c r="F175" s="22">
        <f>Tableau3[[#This Row],[Produit]]-Tableau3[[#This Row],[Charges]]</f>
        <v>1750</v>
      </c>
    </row>
    <row r="176" spans="1:20" x14ac:dyDescent="0.25">
      <c r="A176" s="17">
        <v>44316</v>
      </c>
      <c r="B176" s="18" t="s">
        <v>44</v>
      </c>
      <c r="D176" s="22">
        <v>36102.76</v>
      </c>
      <c r="E176" s="22">
        <v>59920</v>
      </c>
      <c r="F176" s="22">
        <f>Tableau3[[#This Row],[Produit]]-Tableau3[[#This Row],[Charges]]</f>
        <v>23817.239999999998</v>
      </c>
    </row>
    <row r="177" spans="1:6" x14ac:dyDescent="0.25">
      <c r="A177" s="17">
        <v>44316</v>
      </c>
      <c r="B177" s="18" t="s">
        <v>45</v>
      </c>
      <c r="D177" s="22">
        <v>29632.76</v>
      </c>
      <c r="E177" s="22">
        <v>81060</v>
      </c>
      <c r="F177" s="22">
        <f>Tableau3[[#This Row],[Produit]]-Tableau3[[#This Row],[Charges]]</f>
        <v>51427.240000000005</v>
      </c>
    </row>
    <row r="178" spans="1:6" x14ac:dyDescent="0.25">
      <c r="A178" s="17">
        <v>44316</v>
      </c>
      <c r="B178" s="18" t="s">
        <v>46</v>
      </c>
      <c r="D178" s="22">
        <v>22130</v>
      </c>
      <c r="E178" s="22">
        <v>59080</v>
      </c>
      <c r="F178" s="22">
        <f>Tableau3[[#This Row],[Produit]]-Tableau3[[#This Row],[Charges]]</f>
        <v>36950</v>
      </c>
    </row>
    <row r="179" spans="1:6" x14ac:dyDescent="0.25">
      <c r="A179" s="17">
        <v>44316</v>
      </c>
      <c r="B179" s="18" t="s">
        <v>47</v>
      </c>
      <c r="D179" s="22">
        <v>18145</v>
      </c>
      <c r="E179" s="22">
        <v>72240</v>
      </c>
      <c r="F179" s="22">
        <f>Tableau3[[#This Row],[Produit]]-Tableau3[[#This Row],[Charges]]</f>
        <v>54095</v>
      </c>
    </row>
    <row r="180" spans="1:6" x14ac:dyDescent="0.25">
      <c r="A180" s="17">
        <v>44316</v>
      </c>
      <c r="B180" s="18" t="s">
        <v>48</v>
      </c>
      <c r="D180" s="22">
        <v>15682.49</v>
      </c>
      <c r="E180" s="22">
        <v>23400</v>
      </c>
      <c r="F180" s="22">
        <f>Tableau3[[#This Row],[Produit]]-Tableau3[[#This Row],[Charges]]</f>
        <v>7717.51</v>
      </c>
    </row>
    <row r="181" spans="1:6" x14ac:dyDescent="0.25">
      <c r="A181" s="17">
        <v>44316</v>
      </c>
      <c r="B181" s="18" t="s">
        <v>49</v>
      </c>
      <c r="D181" s="22">
        <v>18532.169999999998</v>
      </c>
      <c r="E181" s="22">
        <v>17550</v>
      </c>
      <c r="F181" s="22">
        <f>Tableau3[[#This Row],[Produit]]-Tableau3[[#This Row],[Charges]]</f>
        <v>-982.16999999999825</v>
      </c>
    </row>
    <row r="182" spans="1:6" x14ac:dyDescent="0.25">
      <c r="A182" s="17">
        <v>44316</v>
      </c>
      <c r="B182" s="18" t="s">
        <v>50</v>
      </c>
      <c r="D182" s="22">
        <v>15767.17</v>
      </c>
      <c r="E182" s="22">
        <v>30900</v>
      </c>
      <c r="F182" s="22">
        <f>Tableau3[[#This Row],[Produit]]-Tableau3[[#This Row],[Charges]]</f>
        <v>15132.83</v>
      </c>
    </row>
    <row r="183" spans="1:6" x14ac:dyDescent="0.25">
      <c r="A183" s="17">
        <v>44316</v>
      </c>
      <c r="B183" s="18" t="s">
        <v>54</v>
      </c>
      <c r="D183" s="22">
        <v>8846</v>
      </c>
      <c r="E183" s="22">
        <v>58800</v>
      </c>
      <c r="F183" s="22">
        <f>Tableau3[[#This Row],[Produit]]-Tableau3[[#This Row],[Charges]]</f>
        <v>49954</v>
      </c>
    </row>
    <row r="184" spans="1:6" x14ac:dyDescent="0.25">
      <c r="A184" s="17">
        <v>44316</v>
      </c>
      <c r="B184" s="18" t="s">
        <v>56</v>
      </c>
      <c r="D184" s="22">
        <v>27924.959999999999</v>
      </c>
      <c r="E184" s="22">
        <v>54300</v>
      </c>
      <c r="F184" s="22">
        <f>Tableau3[[#This Row],[Produit]]-Tableau3[[#This Row],[Charges]]</f>
        <v>26375.040000000001</v>
      </c>
    </row>
    <row r="185" spans="1:6" x14ac:dyDescent="0.25">
      <c r="A185" s="17">
        <v>44316</v>
      </c>
      <c r="B185" s="18" t="s">
        <v>57</v>
      </c>
      <c r="D185" s="22">
        <v>93771.8</v>
      </c>
      <c r="E185" s="22">
        <v>110250</v>
      </c>
      <c r="F185" s="22">
        <f>Tableau3[[#This Row],[Produit]]-Tableau3[[#This Row],[Charges]]</f>
        <v>16478.199999999997</v>
      </c>
    </row>
    <row r="186" spans="1:6" x14ac:dyDescent="0.25">
      <c r="A186" s="17">
        <v>44316</v>
      </c>
      <c r="B186" s="18" t="s">
        <v>55</v>
      </c>
      <c r="D186" s="22">
        <v>15545</v>
      </c>
      <c r="E186" s="22">
        <v>89460</v>
      </c>
      <c r="F186" s="22">
        <f>Tableau3[[#This Row],[Produit]]-Tableau3[[#This Row],[Charges]]</f>
        <v>73915</v>
      </c>
    </row>
    <row r="187" spans="1:6" x14ac:dyDescent="0.25">
      <c r="A187" s="17">
        <v>44316</v>
      </c>
      <c r="B187" s="18" t="s">
        <v>52</v>
      </c>
      <c r="D187" s="22">
        <v>7455</v>
      </c>
      <c r="E187" s="22">
        <v>19325</v>
      </c>
      <c r="F187" s="22">
        <f>Tableau3[[#This Row],[Produit]]-Tableau3[[#This Row],[Charges]]</f>
        <v>11870</v>
      </c>
    </row>
    <row r="188" spans="1:6" x14ac:dyDescent="0.25">
      <c r="A188" s="17">
        <v>44316</v>
      </c>
      <c r="B188" s="18" t="s">
        <v>28</v>
      </c>
      <c r="D188" s="22">
        <v>31280</v>
      </c>
      <c r="E188" s="22">
        <v>69912</v>
      </c>
      <c r="F188" s="22">
        <f>Tableau3[[#This Row],[Produit]]-Tableau3[[#This Row],[Charges]]</f>
        <v>38632</v>
      </c>
    </row>
    <row r="189" spans="1:6" x14ac:dyDescent="0.25">
      <c r="A189" s="17">
        <v>44316</v>
      </c>
      <c r="B189" s="18" t="s">
        <v>29</v>
      </c>
      <c r="D189" s="22">
        <v>28031</v>
      </c>
      <c r="E189" s="22">
        <v>108680</v>
      </c>
      <c r="F189" s="22">
        <f>Tableau3[[#This Row],[Produit]]-Tableau3[[#This Row],[Charges]]</f>
        <v>80649</v>
      </c>
    </row>
    <row r="190" spans="1:6" x14ac:dyDescent="0.25">
      <c r="A190" s="17">
        <v>44316</v>
      </c>
      <c r="B190" s="18" t="s">
        <v>94</v>
      </c>
      <c r="D190" s="22">
        <v>22860.83</v>
      </c>
      <c r="E190" s="22">
        <v>71060</v>
      </c>
      <c r="F190" s="22">
        <f>Tableau3[[#This Row],[Produit]]-Tableau3[[#This Row],[Charges]]</f>
        <v>48199.17</v>
      </c>
    </row>
    <row r="191" spans="1:6" x14ac:dyDescent="0.25">
      <c r="A191" s="17">
        <v>44316</v>
      </c>
      <c r="B191" s="18" t="s">
        <v>126</v>
      </c>
      <c r="D191" s="22">
        <v>20990.83</v>
      </c>
      <c r="E191" s="22">
        <v>46440</v>
      </c>
      <c r="F191" s="22">
        <f>Tableau3[[#This Row],[Produit]]-Tableau3[[#This Row],[Charges]]</f>
        <v>25449.17</v>
      </c>
    </row>
    <row r="192" spans="1:6" x14ac:dyDescent="0.25">
      <c r="A192" s="17">
        <v>44316</v>
      </c>
      <c r="B192" s="18" t="s">
        <v>36</v>
      </c>
      <c r="D192" s="22">
        <v>2325</v>
      </c>
      <c r="E192" s="22">
        <v>89910</v>
      </c>
      <c r="F192" s="22">
        <f>Tableau3[[#This Row],[Produit]]-Tableau3[[#This Row],[Charges]]</f>
        <v>87585</v>
      </c>
    </row>
    <row r="193" spans="1:6" x14ac:dyDescent="0.25">
      <c r="A193" s="17">
        <v>44316</v>
      </c>
      <c r="B193" s="18" t="s">
        <v>37</v>
      </c>
      <c r="D193" s="22">
        <v>20630</v>
      </c>
      <c r="E193" s="22">
        <v>257850</v>
      </c>
      <c r="F193" s="22">
        <f>Tableau3[[#This Row],[Produit]]-Tableau3[[#This Row],[Charges]]</f>
        <v>237220</v>
      </c>
    </row>
    <row r="194" spans="1:6" x14ac:dyDescent="0.25">
      <c r="A194" s="17">
        <v>44316</v>
      </c>
      <c r="B194" s="18" t="s">
        <v>51</v>
      </c>
      <c r="D194" s="22">
        <v>9745.4699999999993</v>
      </c>
      <c r="E194" s="22">
        <v>9800</v>
      </c>
      <c r="F194" s="22">
        <f>Tableau3[[#This Row],[Produit]]-Tableau3[[#This Row],[Charges]]</f>
        <v>54.530000000000655</v>
      </c>
    </row>
    <row r="195" spans="1:6" x14ac:dyDescent="0.25">
      <c r="A195" s="17">
        <v>44316</v>
      </c>
      <c r="B195" s="18" t="s">
        <v>30</v>
      </c>
      <c r="D195" s="22">
        <v>2650</v>
      </c>
      <c r="E195" s="22">
        <v>83955</v>
      </c>
      <c r="F195" s="22">
        <f>Tableau3[[#This Row],[Produit]]-Tableau3[[#This Row],[Charges]]</f>
        <v>81305</v>
      </c>
    </row>
    <row r="196" spans="1:6" x14ac:dyDescent="0.25">
      <c r="A196" s="17">
        <v>44316</v>
      </c>
      <c r="B196" s="18" t="s">
        <v>38</v>
      </c>
      <c r="D196" s="22">
        <v>58100.31</v>
      </c>
      <c r="E196" s="22">
        <v>68582.55</v>
      </c>
      <c r="F196" s="22">
        <f>Tableau3[[#This Row],[Produit]]-Tableau3[[#This Row],[Charges]]</f>
        <v>10482.240000000005</v>
      </c>
    </row>
    <row r="197" spans="1:6" x14ac:dyDescent="0.25">
      <c r="A197" s="17">
        <v>44316</v>
      </c>
      <c r="B197" s="18" t="s">
        <v>11</v>
      </c>
      <c r="D197" s="22">
        <v>17936.66</v>
      </c>
      <c r="E197" s="22">
        <v>54000</v>
      </c>
      <c r="F197" s="22">
        <f>Tableau3[[#This Row],[Produit]]-Tableau3[[#This Row],[Charges]]</f>
        <v>36063.339999999997</v>
      </c>
    </row>
    <row r="198" spans="1:6" x14ac:dyDescent="0.25">
      <c r="A198" s="17">
        <v>44316</v>
      </c>
      <c r="B198" s="18" t="s">
        <v>12</v>
      </c>
      <c r="D198" s="22">
        <v>2186.4</v>
      </c>
      <c r="F198" s="22">
        <f>Tableau3[[#This Row],[Produit]]-Tableau3[[#This Row],[Charges]]</f>
        <v>-2186.4</v>
      </c>
    </row>
    <row r="199" spans="1:6" x14ac:dyDescent="0.25">
      <c r="A199" s="17">
        <v>44316</v>
      </c>
      <c r="B199" s="18" t="s">
        <v>13</v>
      </c>
      <c r="D199" s="22">
        <v>36381.269999999997</v>
      </c>
      <c r="E199" s="22">
        <v>81000</v>
      </c>
      <c r="F199" s="22">
        <f>Tableau3[[#This Row],[Produit]]-Tableau3[[#This Row],[Charges]]</f>
        <v>44618.73</v>
      </c>
    </row>
    <row r="200" spans="1:6" x14ac:dyDescent="0.25">
      <c r="A200" s="17">
        <v>44316</v>
      </c>
      <c r="B200" s="18" t="s">
        <v>14</v>
      </c>
      <c r="D200" s="22">
        <v>60633.36</v>
      </c>
      <c r="E200" s="22">
        <v>112500</v>
      </c>
      <c r="F200" s="22">
        <f>Tableau3[[#This Row],[Produit]]-Tableau3[[#This Row],[Charges]]</f>
        <v>51866.64</v>
      </c>
    </row>
    <row r="201" spans="1:6" x14ac:dyDescent="0.25">
      <c r="A201" s="17">
        <v>44316</v>
      </c>
      <c r="B201" s="18" t="s">
        <v>15</v>
      </c>
      <c r="D201" s="22">
        <v>42412.93</v>
      </c>
      <c r="E201" s="22">
        <v>64000</v>
      </c>
      <c r="F201" s="22">
        <f>Tableau3[[#This Row],[Produit]]-Tableau3[[#This Row],[Charges]]</f>
        <v>21587.07</v>
      </c>
    </row>
    <row r="202" spans="1:6" x14ac:dyDescent="0.25">
      <c r="A202" s="17">
        <v>44316</v>
      </c>
      <c r="B202" s="18" t="s">
        <v>95</v>
      </c>
      <c r="D202" s="22">
        <v>250</v>
      </c>
      <c r="F202" s="22">
        <f>Tableau3[[#This Row],[Produit]]-Tableau3[[#This Row],[Charges]]</f>
        <v>-250</v>
      </c>
    </row>
    <row r="203" spans="1:6" x14ac:dyDescent="0.25">
      <c r="A203" s="17">
        <v>44316</v>
      </c>
      <c r="B203" s="18" t="s">
        <v>97</v>
      </c>
      <c r="D203" s="22">
        <v>40</v>
      </c>
      <c r="F203" s="22">
        <f>Tableau3[[#This Row],[Produit]]-Tableau3[[#This Row],[Charges]]</f>
        <v>-40</v>
      </c>
    </row>
    <row r="204" spans="1:6" x14ac:dyDescent="0.25">
      <c r="A204" s="17">
        <v>44316</v>
      </c>
      <c r="B204" s="18" t="s">
        <v>98</v>
      </c>
      <c r="F204" s="22">
        <f>Tableau3[[#This Row],[Produit]]-Tableau3[[#This Row],[Charges]]</f>
        <v>0</v>
      </c>
    </row>
    <row r="205" spans="1:6" x14ac:dyDescent="0.25">
      <c r="A205" s="17">
        <v>44316</v>
      </c>
      <c r="B205" s="18" t="s">
        <v>99</v>
      </c>
      <c r="D205" s="22">
        <v>8260.25</v>
      </c>
      <c r="F205" s="22">
        <f>Tableau3[[#This Row],[Produit]]-Tableau3[[#This Row],[Charges]]</f>
        <v>-8260.25</v>
      </c>
    </row>
    <row r="206" spans="1:6" x14ac:dyDescent="0.25">
      <c r="A206" s="17">
        <v>44316</v>
      </c>
      <c r="B206" s="18" t="s">
        <v>20</v>
      </c>
      <c r="D206" s="22">
        <v>69970.64</v>
      </c>
      <c r="E206" s="22">
        <v>77910</v>
      </c>
      <c r="F206" s="22">
        <f>Tableau3[[#This Row],[Produit]]-Tableau3[[#This Row],[Charges]]</f>
        <v>7939.3600000000006</v>
      </c>
    </row>
    <row r="207" spans="1:6" x14ac:dyDescent="0.25">
      <c r="A207" s="17">
        <v>44316</v>
      </c>
      <c r="B207" s="18" t="s">
        <v>21</v>
      </c>
      <c r="D207" s="22">
        <v>48982.27</v>
      </c>
      <c r="E207" s="22">
        <v>139650</v>
      </c>
      <c r="F207" s="22">
        <f>Tableau3[[#This Row],[Produit]]-Tableau3[[#This Row],[Charges]]</f>
        <v>90667.73000000001</v>
      </c>
    </row>
    <row r="208" spans="1:6" x14ac:dyDescent="0.25">
      <c r="A208" s="17">
        <v>44316</v>
      </c>
      <c r="B208" s="18" t="s">
        <v>124</v>
      </c>
      <c r="D208" s="22">
        <v>18109.16</v>
      </c>
      <c r="E208" s="22">
        <v>32760</v>
      </c>
      <c r="F208" s="22">
        <f>Tableau3[[#This Row],[Produit]]-Tableau3[[#This Row],[Charges]]</f>
        <v>14650.84</v>
      </c>
    </row>
    <row r="209" spans="1:6" x14ac:dyDescent="0.25">
      <c r="A209" s="17">
        <v>44316</v>
      </c>
      <c r="B209" s="18" t="s">
        <v>22</v>
      </c>
      <c r="D209" s="22">
        <v>60701.279999999999</v>
      </c>
      <c r="E209" s="22">
        <v>91770</v>
      </c>
      <c r="F209" s="22">
        <f>Tableau3[[#This Row],[Produit]]-Tableau3[[#This Row],[Charges]]</f>
        <v>31068.720000000001</v>
      </c>
    </row>
    <row r="210" spans="1:6" x14ac:dyDescent="0.25">
      <c r="A210" s="17">
        <v>44316</v>
      </c>
      <c r="B210" s="18" t="s">
        <v>23</v>
      </c>
      <c r="D210" s="22">
        <v>71301.17</v>
      </c>
      <c r="E210" s="22">
        <v>83160</v>
      </c>
      <c r="F210" s="22">
        <f>Tableau3[[#This Row],[Produit]]-Tableau3[[#This Row],[Charges]]</f>
        <v>11858.830000000002</v>
      </c>
    </row>
    <row r="211" spans="1:6" x14ac:dyDescent="0.25">
      <c r="A211" s="17">
        <v>44316</v>
      </c>
      <c r="B211" s="18" t="s">
        <v>24</v>
      </c>
      <c r="D211" s="22">
        <v>112463.03</v>
      </c>
      <c r="E211" s="22">
        <v>120960</v>
      </c>
      <c r="F211" s="22">
        <f>Tableau3[[#This Row],[Produit]]-Tableau3[[#This Row],[Charges]]</f>
        <v>8496.9700000000012</v>
      </c>
    </row>
    <row r="212" spans="1:6" x14ac:dyDescent="0.25">
      <c r="A212" s="17">
        <v>44316</v>
      </c>
      <c r="B212" s="18" t="s">
        <v>25</v>
      </c>
      <c r="D212" s="22">
        <v>77762.259999999995</v>
      </c>
      <c r="E212" s="22">
        <v>86520</v>
      </c>
      <c r="F212" s="22">
        <f>Tableau3[[#This Row],[Produit]]-Tableau3[[#This Row],[Charges]]</f>
        <v>8757.7400000000052</v>
      </c>
    </row>
    <row r="213" spans="1:6" x14ac:dyDescent="0.25">
      <c r="A213" s="17">
        <v>44316</v>
      </c>
      <c r="B213" s="18" t="s">
        <v>26</v>
      </c>
      <c r="D213" s="22">
        <v>107106.94</v>
      </c>
      <c r="E213" s="22">
        <v>105000</v>
      </c>
      <c r="F213" s="22">
        <f>Tableau3[[#This Row],[Produit]]-Tableau3[[#This Row],[Charges]]</f>
        <v>-2106.9400000000023</v>
      </c>
    </row>
    <row r="214" spans="1:6" x14ac:dyDescent="0.25">
      <c r="A214" s="17">
        <v>44316</v>
      </c>
      <c r="B214" s="18" t="s">
        <v>27</v>
      </c>
      <c r="D214" s="22">
        <v>15491.66</v>
      </c>
      <c r="E214" s="22">
        <v>43340</v>
      </c>
      <c r="F214" s="22">
        <f>Tableau3[[#This Row],[Produit]]-Tableau3[[#This Row],[Charges]]</f>
        <v>27848.34</v>
      </c>
    </row>
    <row r="215" spans="1:6" x14ac:dyDescent="0.25">
      <c r="A215" s="17">
        <v>44316</v>
      </c>
      <c r="B215" s="18" t="s">
        <v>130</v>
      </c>
      <c r="D215" s="22">
        <v>4848.33</v>
      </c>
      <c r="E215" s="22">
        <v>0</v>
      </c>
      <c r="F215" s="22">
        <f>Tableau3[[#This Row],[Produit]]-Tableau3[[#This Row],[Charges]]</f>
        <v>-4848.33</v>
      </c>
    </row>
    <row r="216" spans="1:6" x14ac:dyDescent="0.25">
      <c r="A216" s="17">
        <v>44316</v>
      </c>
      <c r="B216" s="18" t="s">
        <v>137</v>
      </c>
      <c r="D216" s="22">
        <v>0</v>
      </c>
      <c r="E216" s="22">
        <v>0</v>
      </c>
      <c r="F216" s="22">
        <f>Tableau3[[#This Row],[Produit]]-Tableau3[[#This Row],[Charges]]</f>
        <v>0</v>
      </c>
    </row>
    <row r="217" spans="1:6" x14ac:dyDescent="0.25">
      <c r="A217" s="17">
        <v>44316</v>
      </c>
      <c r="B217" s="18" t="s">
        <v>123</v>
      </c>
      <c r="D217" s="22">
        <v>9180</v>
      </c>
      <c r="E217" s="22">
        <v>11660</v>
      </c>
      <c r="F217" s="22">
        <f>Tableau3[[#This Row],[Produit]]-Tableau3[[#This Row],[Charges]]</f>
        <v>2480</v>
      </c>
    </row>
    <row r="218" spans="1:6" x14ac:dyDescent="0.25">
      <c r="A218" s="17">
        <v>44316</v>
      </c>
      <c r="B218" s="18" t="s">
        <v>128</v>
      </c>
      <c r="D218" s="22">
        <v>25141.66</v>
      </c>
      <c r="E218" s="22">
        <v>48720</v>
      </c>
      <c r="F218" s="22">
        <f>Tableau3[[#This Row],[Produit]]-Tableau3[[#This Row],[Charges]]</f>
        <v>23578.34</v>
      </c>
    </row>
    <row r="219" spans="1:6" x14ac:dyDescent="0.25">
      <c r="A219" s="17">
        <v>44316</v>
      </c>
      <c r="B219" s="18" t="s">
        <v>127</v>
      </c>
      <c r="D219" s="22">
        <v>3658.33</v>
      </c>
      <c r="E219" s="22">
        <v>4620</v>
      </c>
      <c r="F219" s="22">
        <f>Tableau3[[#This Row],[Produit]]-Tableau3[[#This Row],[Charges]]</f>
        <v>961.67000000000007</v>
      </c>
    </row>
    <row r="220" spans="1:6" x14ac:dyDescent="0.25">
      <c r="A220" s="17">
        <v>44316</v>
      </c>
      <c r="B220" s="18" t="s">
        <v>129</v>
      </c>
      <c r="D220" s="22">
        <v>15508.33</v>
      </c>
      <c r="E220" s="22">
        <v>31080</v>
      </c>
      <c r="F220" s="22">
        <f>Tableau3[[#This Row],[Produit]]-Tableau3[[#This Row],[Charges]]</f>
        <v>15571.67</v>
      </c>
    </row>
    <row r="221" spans="1:6" x14ac:dyDescent="0.25">
      <c r="A221" s="17">
        <v>44316</v>
      </c>
      <c r="B221" s="18" t="s">
        <v>122</v>
      </c>
      <c r="D221" s="22">
        <v>11215</v>
      </c>
      <c r="E221" s="22">
        <v>16280</v>
      </c>
      <c r="F221" s="22">
        <f>Tableau3[[#This Row],[Produit]]-Tableau3[[#This Row],[Charges]]</f>
        <v>5065</v>
      </c>
    </row>
    <row r="222" spans="1:6" x14ac:dyDescent="0.25">
      <c r="A222" s="17">
        <v>44316</v>
      </c>
      <c r="B222" s="18" t="s">
        <v>58</v>
      </c>
      <c r="D222" s="22">
        <v>4890</v>
      </c>
      <c r="E222" s="22">
        <v>15210</v>
      </c>
      <c r="F222" s="22">
        <f>Tableau3[[#This Row],[Produit]]-Tableau3[[#This Row],[Charges]]</f>
        <v>10320</v>
      </c>
    </row>
    <row r="223" spans="1:6" x14ac:dyDescent="0.25">
      <c r="A223" s="17">
        <v>44316</v>
      </c>
      <c r="B223" s="18" t="s">
        <v>59</v>
      </c>
      <c r="D223" s="22">
        <v>2160</v>
      </c>
      <c r="E223" s="22">
        <v>9880</v>
      </c>
      <c r="F223" s="22">
        <f>Tableau3[[#This Row],[Produit]]-Tableau3[[#This Row],[Charges]]</f>
        <v>7720</v>
      </c>
    </row>
    <row r="224" spans="1:6" x14ac:dyDescent="0.25">
      <c r="A224" s="17">
        <v>44316</v>
      </c>
      <c r="B224" s="18" t="s">
        <v>60</v>
      </c>
      <c r="D224" s="22">
        <v>2710</v>
      </c>
      <c r="E224" s="22">
        <v>15080</v>
      </c>
      <c r="F224" s="22">
        <f>Tableau3[[#This Row],[Produit]]-Tableau3[[#This Row],[Charges]]</f>
        <v>12370</v>
      </c>
    </row>
    <row r="225" spans="1:6" x14ac:dyDescent="0.25">
      <c r="A225" s="17">
        <v>44316</v>
      </c>
      <c r="B225" s="18" t="s">
        <v>61</v>
      </c>
      <c r="D225" s="22">
        <v>3780</v>
      </c>
      <c r="E225" s="22">
        <v>14300</v>
      </c>
      <c r="F225" s="22">
        <f>Tableau3[[#This Row],[Produit]]-Tableau3[[#This Row],[Charges]]</f>
        <v>10520</v>
      </c>
    </row>
    <row r="226" spans="1:6" x14ac:dyDescent="0.25">
      <c r="A226" s="17">
        <v>44316</v>
      </c>
      <c r="B226" s="18" t="s">
        <v>33</v>
      </c>
      <c r="D226" s="22">
        <v>3640</v>
      </c>
      <c r="E226" s="22">
        <v>30960</v>
      </c>
      <c r="F226" s="22">
        <f>Tableau3[[#This Row],[Produit]]-Tableau3[[#This Row],[Charges]]</f>
        <v>27320</v>
      </c>
    </row>
    <row r="227" spans="1:6" x14ac:dyDescent="0.25">
      <c r="A227" s="17">
        <v>44316</v>
      </c>
      <c r="B227" s="18" t="s">
        <v>34</v>
      </c>
      <c r="D227" s="22">
        <v>5685.87</v>
      </c>
      <c r="E227" s="22">
        <v>14760</v>
      </c>
      <c r="F227" s="22">
        <f>Tableau3[[#This Row],[Produit]]-Tableau3[[#This Row],[Charges]]</f>
        <v>9074.130000000001</v>
      </c>
    </row>
    <row r="228" spans="1:6" x14ac:dyDescent="0.25">
      <c r="A228" s="17">
        <v>44316</v>
      </c>
      <c r="B228" s="18" t="s">
        <v>35</v>
      </c>
      <c r="D228" s="22">
        <v>8012.49</v>
      </c>
      <c r="E228" s="22">
        <v>36900</v>
      </c>
      <c r="F228" s="22">
        <f>Tableau3[[#This Row],[Produit]]-Tableau3[[#This Row],[Charges]]</f>
        <v>28887.510000000002</v>
      </c>
    </row>
    <row r="229" spans="1:6" x14ac:dyDescent="0.25">
      <c r="A229" s="17">
        <v>44316</v>
      </c>
      <c r="B229" s="18" t="s">
        <v>63</v>
      </c>
      <c r="D229" s="22">
        <v>5844</v>
      </c>
      <c r="E229" s="22">
        <v>12350</v>
      </c>
      <c r="F229" s="22">
        <f>Tableau3[[#This Row],[Produit]]-Tableau3[[#This Row],[Charges]]</f>
        <v>6506</v>
      </c>
    </row>
    <row r="230" spans="1:6" x14ac:dyDescent="0.25">
      <c r="A230" s="17">
        <v>44316</v>
      </c>
      <c r="B230" s="18" t="s">
        <v>105</v>
      </c>
      <c r="D230" s="22">
        <v>5406</v>
      </c>
      <c r="E230" s="22">
        <v>14040</v>
      </c>
      <c r="F230" s="22">
        <f>Tableau3[[#This Row],[Produit]]-Tableau3[[#This Row],[Charges]]</f>
        <v>8634</v>
      </c>
    </row>
    <row r="231" spans="1:6" x14ac:dyDescent="0.25">
      <c r="A231" s="17">
        <v>44316</v>
      </c>
      <c r="B231" s="18" t="s">
        <v>64</v>
      </c>
      <c r="D231" s="22">
        <v>1110</v>
      </c>
      <c r="E231" s="22">
        <v>11200</v>
      </c>
      <c r="F231" s="22">
        <f>Tableau3[[#This Row],[Produit]]-Tableau3[[#This Row],[Charges]]</f>
        <v>10090</v>
      </c>
    </row>
    <row r="232" spans="1:6" x14ac:dyDescent="0.25">
      <c r="A232" s="17">
        <v>44316</v>
      </c>
      <c r="B232" s="18" t="s">
        <v>65</v>
      </c>
      <c r="D232" s="22">
        <v>11369.68</v>
      </c>
      <c r="E232" s="22">
        <v>9600</v>
      </c>
      <c r="F232" s="22">
        <f>Tableau3[[#This Row],[Produit]]-Tableau3[[#This Row],[Charges]]</f>
        <v>-1769.6800000000003</v>
      </c>
    </row>
    <row r="233" spans="1:6" x14ac:dyDescent="0.25">
      <c r="A233" s="17">
        <v>44316</v>
      </c>
      <c r="B233" s="18" t="s">
        <v>66</v>
      </c>
      <c r="D233" s="22">
        <v>11474</v>
      </c>
      <c r="E233" s="22">
        <v>11200</v>
      </c>
      <c r="F233" s="22">
        <f>Tableau3[[#This Row],[Produit]]-Tableau3[[#This Row],[Charges]]</f>
        <v>-274</v>
      </c>
    </row>
    <row r="234" spans="1:6" x14ac:dyDescent="0.25">
      <c r="A234" s="17">
        <v>44316</v>
      </c>
      <c r="B234" s="18" t="s">
        <v>67</v>
      </c>
      <c r="D234" s="22">
        <v>3798.18</v>
      </c>
      <c r="E234" s="22">
        <v>8400</v>
      </c>
      <c r="F234" s="22">
        <f>Tableau3[[#This Row],[Produit]]-Tableau3[[#This Row],[Charges]]</f>
        <v>4601.82</v>
      </c>
    </row>
    <row r="235" spans="1:6" x14ac:dyDescent="0.25">
      <c r="A235" s="17">
        <v>44316</v>
      </c>
      <c r="B235" s="18" t="s">
        <v>68</v>
      </c>
      <c r="E235" s="22">
        <v>8400</v>
      </c>
      <c r="F235" s="22">
        <f>Tableau3[[#This Row],[Produit]]-Tableau3[[#This Row],[Charges]]</f>
        <v>8400</v>
      </c>
    </row>
    <row r="236" spans="1:6" x14ac:dyDescent="0.25">
      <c r="A236" s="17">
        <v>44316</v>
      </c>
      <c r="B236" s="18" t="s">
        <v>69</v>
      </c>
      <c r="D236" s="22">
        <v>2270</v>
      </c>
      <c r="E236" s="22">
        <v>8700</v>
      </c>
      <c r="F236" s="22">
        <f>Tableau3[[#This Row],[Produit]]-Tableau3[[#This Row],[Charges]]</f>
        <v>6430</v>
      </c>
    </row>
    <row r="237" spans="1:6" x14ac:dyDescent="0.25">
      <c r="A237" s="17">
        <v>44316</v>
      </c>
      <c r="B237" s="18" t="s">
        <v>70</v>
      </c>
      <c r="D237" s="22">
        <v>2800</v>
      </c>
      <c r="F237" s="22">
        <f>Tableau3[[#This Row],[Produit]]-Tableau3[[#This Row],[Charges]]</f>
        <v>-2800</v>
      </c>
    </row>
    <row r="238" spans="1:6" x14ac:dyDescent="0.25">
      <c r="A238" s="17">
        <v>44316</v>
      </c>
      <c r="B238" s="18" t="s">
        <v>71</v>
      </c>
      <c r="D238" s="22">
        <v>2260</v>
      </c>
      <c r="E238" s="22">
        <v>9000</v>
      </c>
      <c r="F238" s="22">
        <f>Tableau3[[#This Row],[Produit]]-Tableau3[[#This Row],[Charges]]</f>
        <v>6740</v>
      </c>
    </row>
    <row r="239" spans="1:6" x14ac:dyDescent="0.25">
      <c r="A239" s="17">
        <v>44316</v>
      </c>
      <c r="B239" s="18" t="s">
        <v>72</v>
      </c>
      <c r="D239" s="22">
        <v>3710</v>
      </c>
      <c r="E239" s="22">
        <v>8100</v>
      </c>
      <c r="F239" s="22">
        <f>Tableau3[[#This Row],[Produit]]-Tableau3[[#This Row],[Charges]]</f>
        <v>4390</v>
      </c>
    </row>
    <row r="240" spans="1:6" x14ac:dyDescent="0.25">
      <c r="A240" s="17">
        <v>44316</v>
      </c>
      <c r="B240" s="18" t="s">
        <v>73</v>
      </c>
      <c r="D240" s="22">
        <v>1932</v>
      </c>
      <c r="E240" s="22">
        <v>7200</v>
      </c>
      <c r="F240" s="22">
        <f>Tableau3[[#This Row],[Produit]]-Tableau3[[#This Row],[Charges]]</f>
        <v>5268</v>
      </c>
    </row>
    <row r="241" spans="1:6" x14ac:dyDescent="0.25">
      <c r="A241" s="17">
        <v>44316</v>
      </c>
      <c r="B241" s="18" t="s">
        <v>74</v>
      </c>
      <c r="D241" s="22">
        <v>2150</v>
      </c>
      <c r="E241" s="22">
        <v>7800</v>
      </c>
      <c r="F241" s="22">
        <f>Tableau3[[#This Row],[Produit]]-Tableau3[[#This Row],[Charges]]</f>
        <v>5650</v>
      </c>
    </row>
    <row r="242" spans="1:6" x14ac:dyDescent="0.25">
      <c r="A242" s="17">
        <v>44316</v>
      </c>
      <c r="B242" s="18" t="s">
        <v>75</v>
      </c>
      <c r="D242" s="22">
        <v>2691.66</v>
      </c>
      <c r="E242" s="22">
        <v>17400</v>
      </c>
      <c r="F242" s="22">
        <f>Tableau3[[#This Row],[Produit]]-Tableau3[[#This Row],[Charges]]</f>
        <v>14708.34</v>
      </c>
    </row>
    <row r="243" spans="1:6" x14ac:dyDescent="0.25">
      <c r="A243" s="17">
        <v>44316</v>
      </c>
      <c r="B243" s="18" t="s">
        <v>76</v>
      </c>
      <c r="D243" s="22">
        <v>1410</v>
      </c>
      <c r="E243" s="22">
        <v>9000</v>
      </c>
      <c r="F243" s="22">
        <f>Tableau3[[#This Row],[Produit]]-Tableau3[[#This Row],[Charges]]</f>
        <v>7590</v>
      </c>
    </row>
    <row r="244" spans="1:6" x14ac:dyDescent="0.25">
      <c r="A244" s="17">
        <v>44316</v>
      </c>
      <c r="B244" s="18" t="s">
        <v>77</v>
      </c>
      <c r="D244" s="22">
        <v>3508.18</v>
      </c>
      <c r="E244" s="22">
        <v>7800</v>
      </c>
      <c r="F244" s="22">
        <f>Tableau3[[#This Row],[Produit]]-Tableau3[[#This Row],[Charges]]</f>
        <v>4291.82</v>
      </c>
    </row>
    <row r="245" spans="1:6" x14ac:dyDescent="0.25">
      <c r="A245" s="17">
        <v>44316</v>
      </c>
      <c r="B245" s="18" t="s">
        <v>78</v>
      </c>
      <c r="D245" s="22">
        <v>5438.18</v>
      </c>
      <c r="E245" s="22">
        <v>7800</v>
      </c>
      <c r="F245" s="22">
        <f>Tableau3[[#This Row],[Produit]]-Tableau3[[#This Row],[Charges]]</f>
        <v>2361.8199999999997</v>
      </c>
    </row>
    <row r="246" spans="1:6" x14ac:dyDescent="0.25">
      <c r="A246" s="17">
        <v>44347</v>
      </c>
      <c r="B246" s="18" t="s">
        <v>31</v>
      </c>
      <c r="D246" s="22">
        <v>725</v>
      </c>
      <c r="E246" s="22">
        <v>800</v>
      </c>
      <c r="F246" s="22">
        <f>Tableau3[[#This Row],[Produit]]-Tableau3[[#This Row],[Charges]]</f>
        <v>75</v>
      </c>
    </row>
    <row r="247" spans="1:6" x14ac:dyDescent="0.25">
      <c r="A247" s="17">
        <v>44347</v>
      </c>
      <c r="B247" s="18" t="s">
        <v>16</v>
      </c>
      <c r="D247" s="22">
        <v>9961.66</v>
      </c>
      <c r="E247" s="22">
        <v>14800</v>
      </c>
      <c r="F247" s="22">
        <f>Tableau3[[#This Row],[Produit]]-Tableau3[[#This Row],[Charges]]</f>
        <v>4838.34</v>
      </c>
    </row>
    <row r="248" spans="1:6" x14ac:dyDescent="0.25">
      <c r="A248" s="17">
        <v>44347</v>
      </c>
      <c r="B248" s="18" t="s">
        <v>17</v>
      </c>
      <c r="D248" s="22">
        <v>4330</v>
      </c>
      <c r="E248" s="22">
        <v>11400</v>
      </c>
      <c r="F248" s="22">
        <f>Tableau3[[#This Row],[Produit]]-Tableau3[[#This Row],[Charges]]</f>
        <v>7070</v>
      </c>
    </row>
    <row r="249" spans="1:6" x14ac:dyDescent="0.25">
      <c r="A249" s="17">
        <v>44347</v>
      </c>
      <c r="B249" s="18" t="s">
        <v>18</v>
      </c>
      <c r="D249" s="22">
        <v>3130</v>
      </c>
      <c r="E249" s="22">
        <v>12300</v>
      </c>
      <c r="F249" s="22">
        <f>Tableau3[[#This Row],[Produit]]-Tableau3[[#This Row],[Charges]]</f>
        <v>9170</v>
      </c>
    </row>
    <row r="250" spans="1:6" x14ac:dyDescent="0.25">
      <c r="A250" s="17">
        <v>44347</v>
      </c>
      <c r="B250" s="18" t="s">
        <v>19</v>
      </c>
      <c r="D250" s="22">
        <v>5695</v>
      </c>
      <c r="E250" s="22">
        <v>11200</v>
      </c>
      <c r="F250" s="22">
        <f>Tableau3[[#This Row],[Produit]]-Tableau3[[#This Row],[Charges]]</f>
        <v>5505</v>
      </c>
    </row>
    <row r="251" spans="1:6" x14ac:dyDescent="0.25">
      <c r="A251" s="17">
        <v>44347</v>
      </c>
      <c r="B251" s="18" t="s">
        <v>44</v>
      </c>
      <c r="D251" s="22">
        <v>9840</v>
      </c>
      <c r="E251" s="22">
        <v>46340</v>
      </c>
      <c r="F251" s="22">
        <f>Tableau3[[#This Row],[Produit]]-Tableau3[[#This Row],[Charges]]</f>
        <v>36500</v>
      </c>
    </row>
    <row r="252" spans="1:6" x14ac:dyDescent="0.25">
      <c r="A252" s="17">
        <v>44347</v>
      </c>
      <c r="B252" s="18" t="s">
        <v>45</v>
      </c>
      <c r="D252" s="22">
        <v>7600</v>
      </c>
      <c r="E252" s="22">
        <v>64680</v>
      </c>
      <c r="F252" s="22">
        <f>Tableau3[[#This Row],[Produit]]-Tableau3[[#This Row],[Charges]]</f>
        <v>57080</v>
      </c>
    </row>
    <row r="253" spans="1:6" x14ac:dyDescent="0.25">
      <c r="A253" s="17">
        <v>44347</v>
      </c>
      <c r="B253" s="18" t="s">
        <v>46</v>
      </c>
      <c r="D253" s="22">
        <v>22629.18</v>
      </c>
      <c r="E253" s="22">
        <v>48720</v>
      </c>
      <c r="F253" s="22">
        <f>Tableau3[[#This Row],[Produit]]-Tableau3[[#This Row],[Charges]]</f>
        <v>26090.82</v>
      </c>
    </row>
    <row r="254" spans="1:6" x14ac:dyDescent="0.25">
      <c r="A254" s="17">
        <v>44347</v>
      </c>
      <c r="B254" s="18" t="s">
        <v>47</v>
      </c>
      <c r="D254" s="22">
        <v>11209.18</v>
      </c>
      <c r="E254" s="22">
        <v>65240</v>
      </c>
      <c r="F254" s="22">
        <f>Tableau3[[#This Row],[Produit]]-Tableau3[[#This Row],[Charges]]</f>
        <v>54030.82</v>
      </c>
    </row>
    <row r="255" spans="1:6" x14ac:dyDescent="0.25">
      <c r="A255" s="17">
        <v>44347</v>
      </c>
      <c r="B255" s="18" t="s">
        <v>48</v>
      </c>
      <c r="D255" s="22">
        <v>8805</v>
      </c>
      <c r="E255" s="22">
        <v>17400</v>
      </c>
      <c r="F255" s="22">
        <f>Tableau3[[#This Row],[Produit]]-Tableau3[[#This Row],[Charges]]</f>
        <v>8595</v>
      </c>
    </row>
    <row r="256" spans="1:6" x14ac:dyDescent="0.25">
      <c r="A256" s="17">
        <v>44347</v>
      </c>
      <c r="B256" s="18" t="s">
        <v>49</v>
      </c>
      <c r="D256" s="22">
        <v>8070</v>
      </c>
      <c r="E256" s="22">
        <v>17625</v>
      </c>
      <c r="F256" s="22">
        <f>Tableau3[[#This Row],[Produit]]-Tableau3[[#This Row],[Charges]]</f>
        <v>9555</v>
      </c>
    </row>
    <row r="257" spans="1:6" x14ac:dyDescent="0.25">
      <c r="A257" s="17">
        <v>44347</v>
      </c>
      <c r="B257" s="18" t="s">
        <v>50</v>
      </c>
      <c r="D257" s="22">
        <v>4680</v>
      </c>
      <c r="E257" s="22">
        <v>26250</v>
      </c>
      <c r="F257" s="22">
        <f>Tableau3[[#This Row],[Produit]]-Tableau3[[#This Row],[Charges]]</f>
        <v>21570</v>
      </c>
    </row>
    <row r="258" spans="1:6" x14ac:dyDescent="0.25">
      <c r="A258" s="17">
        <v>44347</v>
      </c>
      <c r="B258" s="18" t="s">
        <v>54</v>
      </c>
      <c r="D258" s="22">
        <v>7680</v>
      </c>
      <c r="E258" s="22">
        <v>52500</v>
      </c>
      <c r="F258" s="22">
        <f>Tableau3[[#This Row],[Produit]]-Tableau3[[#This Row],[Charges]]</f>
        <v>44820</v>
      </c>
    </row>
    <row r="259" spans="1:6" x14ac:dyDescent="0.25">
      <c r="A259" s="17">
        <v>44347</v>
      </c>
      <c r="B259" s="18" t="s">
        <v>56</v>
      </c>
      <c r="D259" s="22">
        <v>21004.9</v>
      </c>
      <c r="E259" s="22">
        <v>30900</v>
      </c>
      <c r="F259" s="22">
        <f>Tableau3[[#This Row],[Produit]]-Tableau3[[#This Row],[Charges]]</f>
        <v>9895.0999999999985</v>
      </c>
    </row>
    <row r="260" spans="1:6" x14ac:dyDescent="0.25">
      <c r="A260" s="17">
        <v>44347</v>
      </c>
      <c r="B260" s="18" t="s">
        <v>57</v>
      </c>
      <c r="D260" s="22">
        <v>34146.17</v>
      </c>
      <c r="E260" s="22">
        <v>26240</v>
      </c>
      <c r="F260" s="22">
        <f>Tableau3[[#This Row],[Produit]]-Tableau3[[#This Row],[Charges]]</f>
        <v>-7906.1699999999983</v>
      </c>
    </row>
    <row r="261" spans="1:6" x14ac:dyDescent="0.25">
      <c r="A261" s="17">
        <v>44347</v>
      </c>
      <c r="B261" s="18" t="s">
        <v>55</v>
      </c>
      <c r="D261" s="22">
        <v>5330</v>
      </c>
      <c r="E261" s="22">
        <v>32480</v>
      </c>
      <c r="F261" s="22">
        <f>Tableau3[[#This Row],[Produit]]-Tableau3[[#This Row],[Charges]]</f>
        <v>27150</v>
      </c>
    </row>
    <row r="262" spans="1:6" x14ac:dyDescent="0.25">
      <c r="A262" s="17">
        <v>44347</v>
      </c>
      <c r="B262" s="18" t="s">
        <v>134</v>
      </c>
      <c r="D262" s="22">
        <v>3877.9</v>
      </c>
      <c r="E262" s="22">
        <v>5100</v>
      </c>
      <c r="F262" s="22">
        <f>Tableau3[[#This Row],[Produit]]-Tableau3[[#This Row],[Charges]]</f>
        <v>1222.0999999999999</v>
      </c>
    </row>
    <row r="263" spans="1:6" x14ac:dyDescent="0.25">
      <c r="A263" s="17">
        <v>44347</v>
      </c>
      <c r="B263" s="18" t="s">
        <v>52</v>
      </c>
      <c r="D263" s="22">
        <v>2460</v>
      </c>
      <c r="E263" s="22">
        <v>16825</v>
      </c>
      <c r="F263" s="22">
        <f>Tableau3[[#This Row],[Produit]]-Tableau3[[#This Row],[Charges]]</f>
        <v>14365</v>
      </c>
    </row>
    <row r="264" spans="1:6" x14ac:dyDescent="0.25">
      <c r="A264" s="17">
        <v>44347</v>
      </c>
      <c r="B264" s="18" t="s">
        <v>28</v>
      </c>
      <c r="D264" s="22">
        <v>24930</v>
      </c>
      <c r="E264" s="22">
        <v>61200</v>
      </c>
      <c r="F264" s="22">
        <f>Tableau3[[#This Row],[Produit]]-Tableau3[[#This Row],[Charges]]</f>
        <v>36270</v>
      </c>
    </row>
    <row r="265" spans="1:6" x14ac:dyDescent="0.25">
      <c r="A265" s="17">
        <v>44347</v>
      </c>
      <c r="B265" s="18" t="s">
        <v>29</v>
      </c>
      <c r="D265" s="22">
        <v>11987.2</v>
      </c>
      <c r="E265" s="22">
        <v>79800</v>
      </c>
      <c r="F265" s="22">
        <f>Tableau3[[#This Row],[Produit]]-Tableau3[[#This Row],[Charges]]</f>
        <v>67812.800000000003</v>
      </c>
    </row>
    <row r="266" spans="1:6" x14ac:dyDescent="0.25">
      <c r="A266" s="17">
        <v>44347</v>
      </c>
      <c r="B266" s="18" t="s">
        <v>94</v>
      </c>
      <c r="D266" s="22">
        <v>20211.650000000001</v>
      </c>
      <c r="E266" s="22">
        <v>59660</v>
      </c>
      <c r="F266" s="22">
        <f>Tableau3[[#This Row],[Produit]]-Tableau3[[#This Row],[Charges]]</f>
        <v>39448.35</v>
      </c>
    </row>
    <row r="267" spans="1:6" x14ac:dyDescent="0.25">
      <c r="A267" s="17">
        <v>44347</v>
      </c>
      <c r="B267" s="18" t="s">
        <v>126</v>
      </c>
      <c r="D267" s="22">
        <v>20383.32</v>
      </c>
      <c r="E267" s="22">
        <v>68040</v>
      </c>
      <c r="F267" s="22">
        <f>Tableau3[[#This Row],[Produit]]-Tableau3[[#This Row],[Charges]]</f>
        <v>47656.68</v>
      </c>
    </row>
    <row r="268" spans="1:6" x14ac:dyDescent="0.25">
      <c r="A268" s="17">
        <v>44347</v>
      </c>
      <c r="B268" s="18" t="s">
        <v>36</v>
      </c>
      <c r="D268" s="22">
        <v>15284.5</v>
      </c>
      <c r="E268" s="22">
        <v>157950</v>
      </c>
      <c r="F268" s="22">
        <f>Tableau3[[#This Row],[Produit]]-Tableau3[[#This Row],[Charges]]</f>
        <v>142665.5</v>
      </c>
    </row>
    <row r="269" spans="1:6" x14ac:dyDescent="0.25">
      <c r="A269" s="17">
        <v>44347</v>
      </c>
      <c r="B269" s="18" t="s">
        <v>37</v>
      </c>
      <c r="D269" s="22">
        <v>11810.6</v>
      </c>
      <c r="E269" s="22">
        <v>192375</v>
      </c>
      <c r="F269" s="22">
        <f>Tableau3[[#This Row],[Produit]]-Tableau3[[#This Row],[Charges]]</f>
        <v>180564.4</v>
      </c>
    </row>
    <row r="270" spans="1:6" x14ac:dyDescent="0.25">
      <c r="A270" s="17">
        <v>44347</v>
      </c>
      <c r="B270" s="18" t="s">
        <v>51</v>
      </c>
      <c r="D270" s="22">
        <v>7945</v>
      </c>
      <c r="E270" s="22">
        <v>20825</v>
      </c>
      <c r="F270" s="22">
        <f>Tableau3[[#This Row],[Produit]]-Tableau3[[#This Row],[Charges]]</f>
        <v>12880</v>
      </c>
    </row>
    <row r="271" spans="1:6" x14ac:dyDescent="0.25">
      <c r="A271" s="17">
        <v>44347</v>
      </c>
      <c r="B271" s="18" t="s">
        <v>30</v>
      </c>
      <c r="D271" s="22">
        <v>840</v>
      </c>
      <c r="E271" s="22">
        <v>125425</v>
      </c>
      <c r="F271" s="22">
        <f>Tableau3[[#This Row],[Produit]]-Tableau3[[#This Row],[Charges]]</f>
        <v>124585</v>
      </c>
    </row>
    <row r="272" spans="1:6" x14ac:dyDescent="0.25">
      <c r="A272" s="17">
        <v>44347</v>
      </c>
      <c r="B272" s="18" t="s">
        <v>38</v>
      </c>
      <c r="D272" s="22">
        <v>46116.76</v>
      </c>
      <c r="E272" s="22">
        <v>197800</v>
      </c>
      <c r="F272" s="22">
        <f>Tableau3[[#This Row],[Produit]]-Tableau3[[#This Row],[Charges]]</f>
        <v>151683.24</v>
      </c>
    </row>
    <row r="273" spans="1:6" x14ac:dyDescent="0.25">
      <c r="A273" s="17">
        <v>44347</v>
      </c>
      <c r="B273" s="18" t="s">
        <v>11</v>
      </c>
      <c r="D273" s="22">
        <v>17319.990000000002</v>
      </c>
      <c r="E273" s="22">
        <v>47500</v>
      </c>
      <c r="F273" s="22">
        <f>Tableau3[[#This Row],[Produit]]-Tableau3[[#This Row],[Charges]]</f>
        <v>30180.01</v>
      </c>
    </row>
    <row r="274" spans="1:6" x14ac:dyDescent="0.25">
      <c r="A274" s="17">
        <v>44347</v>
      </c>
      <c r="B274" s="18" t="s">
        <v>12</v>
      </c>
      <c r="D274" s="22">
        <v>15654.64</v>
      </c>
      <c r="F274" s="22">
        <f>Tableau3[[#This Row],[Produit]]-Tableau3[[#This Row],[Charges]]</f>
        <v>-15654.64</v>
      </c>
    </row>
    <row r="275" spans="1:6" x14ac:dyDescent="0.25">
      <c r="A275" s="17">
        <v>44347</v>
      </c>
      <c r="B275" s="18" t="s">
        <v>13</v>
      </c>
      <c r="D275" s="22">
        <v>5470</v>
      </c>
      <c r="E275" s="22">
        <v>60400</v>
      </c>
      <c r="F275" s="22">
        <f>Tableau3[[#This Row],[Produit]]-Tableau3[[#This Row],[Charges]]</f>
        <v>54930</v>
      </c>
    </row>
    <row r="276" spans="1:6" x14ac:dyDescent="0.25">
      <c r="A276" s="17">
        <v>44347</v>
      </c>
      <c r="B276" s="18" t="s">
        <v>14</v>
      </c>
      <c r="D276" s="22">
        <v>20952.400000000001</v>
      </c>
      <c r="E276" s="22">
        <v>51000</v>
      </c>
      <c r="F276" s="22">
        <f>Tableau3[[#This Row],[Produit]]-Tableau3[[#This Row],[Charges]]</f>
        <v>30047.599999999999</v>
      </c>
    </row>
    <row r="277" spans="1:6" x14ac:dyDescent="0.25">
      <c r="A277" s="17">
        <v>44347</v>
      </c>
      <c r="B277" s="18" t="s">
        <v>15</v>
      </c>
      <c r="D277" s="22">
        <v>14570</v>
      </c>
      <c r="E277" s="22">
        <v>54500</v>
      </c>
      <c r="F277" s="22">
        <f>Tableau3[[#This Row],[Produit]]-Tableau3[[#This Row],[Charges]]</f>
        <v>39930</v>
      </c>
    </row>
    <row r="278" spans="1:6" x14ac:dyDescent="0.25">
      <c r="A278" s="17">
        <v>44347</v>
      </c>
      <c r="B278" s="18" t="s">
        <v>95</v>
      </c>
      <c r="F278" s="22">
        <f>Tableau3[[#This Row],[Produit]]-Tableau3[[#This Row],[Charges]]</f>
        <v>0</v>
      </c>
    </row>
    <row r="279" spans="1:6" x14ac:dyDescent="0.25">
      <c r="A279" s="17">
        <v>44347</v>
      </c>
      <c r="B279" s="18" t="s">
        <v>97</v>
      </c>
      <c r="F279" s="22">
        <f>Tableau3[[#This Row],[Produit]]-Tableau3[[#This Row],[Charges]]</f>
        <v>0</v>
      </c>
    </row>
    <row r="280" spans="1:6" x14ac:dyDescent="0.25">
      <c r="A280" s="17">
        <v>44347</v>
      </c>
      <c r="B280" s="18" t="s">
        <v>98</v>
      </c>
      <c r="F280" s="22">
        <f>Tableau3[[#This Row],[Produit]]-Tableau3[[#This Row],[Charges]]</f>
        <v>0</v>
      </c>
    </row>
    <row r="281" spans="1:6" x14ac:dyDescent="0.25">
      <c r="A281" s="17">
        <v>44347</v>
      </c>
      <c r="B281" s="18" t="s">
        <v>99</v>
      </c>
      <c r="D281" s="22">
        <v>1320</v>
      </c>
      <c r="F281" s="22">
        <f>Tableau3[[#This Row],[Produit]]-Tableau3[[#This Row],[Charges]]</f>
        <v>-1320</v>
      </c>
    </row>
    <row r="282" spans="1:6" x14ac:dyDescent="0.25">
      <c r="A282" s="17">
        <v>44347</v>
      </c>
      <c r="B282" s="18" t="s">
        <v>100</v>
      </c>
      <c r="D282" s="22">
        <v>80</v>
      </c>
      <c r="F282" s="22">
        <f>Tableau3[[#This Row],[Produit]]-Tableau3[[#This Row],[Charges]]</f>
        <v>-80</v>
      </c>
    </row>
    <row r="283" spans="1:6" x14ac:dyDescent="0.25">
      <c r="A283" s="17">
        <v>44347</v>
      </c>
      <c r="B283" s="18" t="s">
        <v>101</v>
      </c>
      <c r="F283" s="22">
        <f>Tableau3[[#This Row],[Produit]]-Tableau3[[#This Row],[Charges]]</f>
        <v>0</v>
      </c>
    </row>
    <row r="284" spans="1:6" x14ac:dyDescent="0.25">
      <c r="A284" s="17">
        <v>44347</v>
      </c>
      <c r="B284" s="18" t="s">
        <v>102</v>
      </c>
      <c r="F284" s="22">
        <f>Tableau3[[#This Row],[Produit]]-Tableau3[[#This Row],[Charges]]</f>
        <v>0</v>
      </c>
    </row>
    <row r="285" spans="1:6" x14ac:dyDescent="0.25">
      <c r="A285" s="17">
        <v>44347</v>
      </c>
      <c r="B285" s="18" t="s">
        <v>103</v>
      </c>
      <c r="F285" s="22">
        <f>Tableau3[[#This Row],[Produit]]-Tableau3[[#This Row],[Charges]]</f>
        <v>0</v>
      </c>
    </row>
    <row r="286" spans="1:6" x14ac:dyDescent="0.25">
      <c r="A286" s="17">
        <v>44347</v>
      </c>
      <c r="B286" s="18" t="s">
        <v>104</v>
      </c>
      <c r="F286" s="22">
        <f>Tableau3[[#This Row],[Produit]]-Tableau3[[#This Row],[Charges]]</f>
        <v>0</v>
      </c>
    </row>
    <row r="287" spans="1:6" x14ac:dyDescent="0.25">
      <c r="A287" s="17">
        <v>44347</v>
      </c>
      <c r="B287" s="18" t="s">
        <v>20</v>
      </c>
      <c r="D287" s="22">
        <v>35025.81</v>
      </c>
      <c r="E287" s="22">
        <v>63000</v>
      </c>
      <c r="F287" s="22">
        <f>Tableau3[[#This Row],[Produit]]-Tableau3[[#This Row],[Charges]]</f>
        <v>27974.190000000002</v>
      </c>
    </row>
    <row r="288" spans="1:6" x14ac:dyDescent="0.25">
      <c r="A288" s="17">
        <v>44347</v>
      </c>
      <c r="B288" s="18" t="s">
        <v>21</v>
      </c>
      <c r="D288" s="22">
        <v>17881.66</v>
      </c>
      <c r="E288" s="22">
        <v>62160</v>
      </c>
      <c r="F288" s="22">
        <f>Tableau3[[#This Row],[Produit]]-Tableau3[[#This Row],[Charges]]</f>
        <v>44278.34</v>
      </c>
    </row>
    <row r="289" spans="1:6" x14ac:dyDescent="0.25">
      <c r="A289" s="17">
        <v>44347</v>
      </c>
      <c r="B289" s="18" t="s">
        <v>124</v>
      </c>
      <c r="D289" s="22">
        <v>27970</v>
      </c>
      <c r="E289" s="22">
        <v>70770</v>
      </c>
      <c r="F289" s="22">
        <f>Tableau3[[#This Row],[Produit]]-Tableau3[[#This Row],[Charges]]</f>
        <v>42800</v>
      </c>
    </row>
    <row r="290" spans="1:6" x14ac:dyDescent="0.25">
      <c r="A290" s="17">
        <v>44347</v>
      </c>
      <c r="B290" s="18" t="s">
        <v>22</v>
      </c>
      <c r="D290" s="22">
        <v>13570</v>
      </c>
      <c r="E290" s="22">
        <v>66780</v>
      </c>
      <c r="F290" s="22">
        <f>Tableau3[[#This Row],[Produit]]-Tableau3[[#This Row],[Charges]]</f>
        <v>53210</v>
      </c>
    </row>
    <row r="291" spans="1:6" x14ac:dyDescent="0.25">
      <c r="A291" s="17">
        <v>44347</v>
      </c>
      <c r="B291" s="18" t="s">
        <v>23</v>
      </c>
      <c r="D291" s="22">
        <v>36570</v>
      </c>
      <c r="E291" s="22">
        <v>47460</v>
      </c>
      <c r="F291" s="22">
        <f>Tableau3[[#This Row],[Produit]]-Tableau3[[#This Row],[Charges]]</f>
        <v>10890</v>
      </c>
    </row>
    <row r="292" spans="1:6" x14ac:dyDescent="0.25">
      <c r="A292" s="17">
        <v>44347</v>
      </c>
      <c r="B292" s="18" t="s">
        <v>24</v>
      </c>
      <c r="D292" s="22">
        <v>64505</v>
      </c>
      <c r="E292" s="22">
        <v>104580</v>
      </c>
      <c r="F292" s="22">
        <f>Tableau3[[#This Row],[Produit]]-Tableau3[[#This Row],[Charges]]</f>
        <v>40075</v>
      </c>
    </row>
    <row r="293" spans="1:6" x14ac:dyDescent="0.25">
      <c r="A293" s="17">
        <v>44347</v>
      </c>
      <c r="B293" s="18" t="s">
        <v>25</v>
      </c>
      <c r="D293" s="22">
        <v>37884.99</v>
      </c>
      <c r="E293" s="22">
        <v>56280</v>
      </c>
      <c r="F293" s="22">
        <f>Tableau3[[#This Row],[Produit]]-Tableau3[[#This Row],[Charges]]</f>
        <v>18395.010000000002</v>
      </c>
    </row>
    <row r="294" spans="1:6" x14ac:dyDescent="0.25">
      <c r="A294" s="17">
        <v>44347</v>
      </c>
      <c r="B294" s="18" t="s">
        <v>26</v>
      </c>
      <c r="D294" s="22">
        <v>81530</v>
      </c>
      <c r="E294" s="22">
        <v>96180</v>
      </c>
      <c r="F294" s="22">
        <f>Tableau3[[#This Row],[Produit]]-Tableau3[[#This Row],[Charges]]</f>
        <v>14650</v>
      </c>
    </row>
    <row r="295" spans="1:6" x14ac:dyDescent="0.25">
      <c r="A295" s="17">
        <v>44347</v>
      </c>
      <c r="B295" s="18" t="s">
        <v>27</v>
      </c>
      <c r="D295" s="22">
        <v>7910</v>
      </c>
      <c r="E295" s="22">
        <v>30580</v>
      </c>
      <c r="F295" s="22">
        <f>Tableau3[[#This Row],[Produit]]-Tableau3[[#This Row],[Charges]]</f>
        <v>22670</v>
      </c>
    </row>
    <row r="296" spans="1:6" x14ac:dyDescent="0.25">
      <c r="A296" s="17">
        <v>44347</v>
      </c>
      <c r="B296" s="18" t="s">
        <v>130</v>
      </c>
      <c r="D296" s="22">
        <v>291.64999999999998</v>
      </c>
      <c r="F296" s="22">
        <f>Tableau3[[#This Row],[Produit]]-Tableau3[[#This Row],[Charges]]</f>
        <v>-291.64999999999998</v>
      </c>
    </row>
    <row r="297" spans="1:6" x14ac:dyDescent="0.25">
      <c r="A297" s="17">
        <v>44347</v>
      </c>
      <c r="B297" s="18" t="s">
        <v>137</v>
      </c>
      <c r="D297" s="22">
        <v>10545</v>
      </c>
      <c r="E297" s="22">
        <v>17820</v>
      </c>
      <c r="F297" s="22">
        <f>Tableau3[[#This Row],[Produit]]-Tableau3[[#This Row],[Charges]]</f>
        <v>7275</v>
      </c>
    </row>
    <row r="298" spans="1:6" x14ac:dyDescent="0.25">
      <c r="A298" s="17">
        <v>44347</v>
      </c>
      <c r="B298" s="18" t="s">
        <v>123</v>
      </c>
      <c r="D298" s="22">
        <v>17455</v>
      </c>
      <c r="E298" s="22">
        <v>40040</v>
      </c>
      <c r="F298" s="22">
        <f>Tableau3[[#This Row],[Produit]]-Tableau3[[#This Row],[Charges]]</f>
        <v>22585</v>
      </c>
    </row>
    <row r="299" spans="1:6" x14ac:dyDescent="0.25">
      <c r="A299" s="17">
        <v>44347</v>
      </c>
      <c r="B299" s="18" t="s">
        <v>128</v>
      </c>
      <c r="D299" s="22">
        <v>39308.300000000003</v>
      </c>
      <c r="E299" s="22">
        <v>79380</v>
      </c>
      <c r="F299" s="22">
        <f>Tableau3[[#This Row],[Produit]]-Tableau3[[#This Row],[Charges]]</f>
        <v>40071.699999999997</v>
      </c>
    </row>
    <row r="300" spans="1:6" x14ac:dyDescent="0.25">
      <c r="A300" s="17">
        <v>44347</v>
      </c>
      <c r="B300" s="18" t="s">
        <v>127</v>
      </c>
      <c r="F300" s="22">
        <f>Tableau3[[#This Row],[Produit]]-Tableau3[[#This Row],[Charges]]</f>
        <v>0</v>
      </c>
    </row>
    <row r="301" spans="1:6" x14ac:dyDescent="0.25">
      <c r="A301" s="17">
        <v>44347</v>
      </c>
      <c r="B301" s="18" t="s">
        <v>129</v>
      </c>
      <c r="D301" s="22">
        <v>32991.620000000003</v>
      </c>
      <c r="E301" s="22">
        <v>79380</v>
      </c>
      <c r="F301" s="22">
        <f>Tableau3[[#This Row],[Produit]]-Tableau3[[#This Row],[Charges]]</f>
        <v>46388.38</v>
      </c>
    </row>
    <row r="302" spans="1:6" x14ac:dyDescent="0.25">
      <c r="A302" s="17">
        <v>44347</v>
      </c>
      <c r="B302" s="18" t="s">
        <v>122</v>
      </c>
      <c r="D302" s="22">
        <v>15255</v>
      </c>
      <c r="E302" s="22">
        <v>31900</v>
      </c>
      <c r="F302" s="22">
        <f>Tableau3[[#This Row],[Produit]]-Tableau3[[#This Row],[Charges]]</f>
        <v>16645</v>
      </c>
    </row>
    <row r="303" spans="1:6" x14ac:dyDescent="0.25">
      <c r="A303" s="17">
        <v>44347</v>
      </c>
      <c r="B303" s="18" t="s">
        <v>58</v>
      </c>
      <c r="D303" s="22">
        <v>3980</v>
      </c>
      <c r="E303" s="22">
        <v>12350</v>
      </c>
      <c r="F303" s="22">
        <f>Tableau3[[#This Row],[Produit]]-Tableau3[[#This Row],[Charges]]</f>
        <v>8370</v>
      </c>
    </row>
    <row r="304" spans="1:6" x14ac:dyDescent="0.25">
      <c r="A304" s="17">
        <v>44347</v>
      </c>
      <c r="B304" s="18" t="s">
        <v>59</v>
      </c>
      <c r="D304" s="22">
        <v>3470</v>
      </c>
      <c r="E304" s="22">
        <v>5720</v>
      </c>
      <c r="F304" s="22">
        <f>Tableau3[[#This Row],[Produit]]-Tableau3[[#This Row],[Charges]]</f>
        <v>2250</v>
      </c>
    </row>
    <row r="305" spans="1:6" x14ac:dyDescent="0.25">
      <c r="A305" s="17">
        <v>44347</v>
      </c>
      <c r="B305" s="18" t="s">
        <v>60</v>
      </c>
      <c r="D305" s="22">
        <v>2080</v>
      </c>
      <c r="E305" s="22">
        <v>12480</v>
      </c>
      <c r="F305" s="22">
        <f>Tableau3[[#This Row],[Produit]]-Tableau3[[#This Row],[Charges]]</f>
        <v>10400</v>
      </c>
    </row>
    <row r="306" spans="1:6" x14ac:dyDescent="0.25">
      <c r="A306" s="17">
        <v>44347</v>
      </c>
      <c r="B306" s="18" t="s">
        <v>61</v>
      </c>
      <c r="D306" s="22">
        <v>2060</v>
      </c>
      <c r="E306" s="22">
        <v>12285</v>
      </c>
      <c r="F306" s="22">
        <f>Tableau3[[#This Row],[Produit]]-Tableau3[[#This Row],[Charges]]</f>
        <v>10225</v>
      </c>
    </row>
    <row r="307" spans="1:6" x14ac:dyDescent="0.25">
      <c r="A307" s="17">
        <v>44347</v>
      </c>
      <c r="B307" s="18" t="s">
        <v>138</v>
      </c>
      <c r="D307" s="22">
        <v>10553.32</v>
      </c>
      <c r="F307" s="22">
        <f>Tableau3[[#This Row],[Produit]]-Tableau3[[#This Row],[Charges]]</f>
        <v>-10553.32</v>
      </c>
    </row>
    <row r="308" spans="1:6" x14ac:dyDescent="0.25">
      <c r="A308" s="17">
        <v>44347</v>
      </c>
      <c r="B308" s="18" t="s">
        <v>33</v>
      </c>
      <c r="D308" s="22">
        <v>4285</v>
      </c>
      <c r="E308" s="22">
        <v>30240</v>
      </c>
      <c r="F308" s="22">
        <f>Tableau3[[#This Row],[Produit]]-Tableau3[[#This Row],[Charges]]</f>
        <v>25955</v>
      </c>
    </row>
    <row r="309" spans="1:6" x14ac:dyDescent="0.25">
      <c r="A309" s="17">
        <v>44347</v>
      </c>
      <c r="B309" s="18" t="s">
        <v>34</v>
      </c>
      <c r="D309" s="22">
        <v>5670</v>
      </c>
      <c r="E309" s="22">
        <v>16380</v>
      </c>
      <c r="F309" s="22">
        <f>Tableau3[[#This Row],[Produit]]-Tableau3[[#This Row],[Charges]]</f>
        <v>10710</v>
      </c>
    </row>
    <row r="310" spans="1:6" x14ac:dyDescent="0.25">
      <c r="A310" s="17">
        <v>44347</v>
      </c>
      <c r="B310" s="18" t="s">
        <v>35</v>
      </c>
      <c r="D310" s="22">
        <v>6555</v>
      </c>
      <c r="E310" s="22">
        <v>23580</v>
      </c>
      <c r="F310" s="22">
        <f>Tableau3[[#This Row],[Produit]]-Tableau3[[#This Row],[Charges]]</f>
        <v>17025</v>
      </c>
    </row>
    <row r="311" spans="1:6" x14ac:dyDescent="0.25">
      <c r="A311" s="17">
        <v>44347</v>
      </c>
      <c r="B311" s="18" t="s">
        <v>63</v>
      </c>
      <c r="D311" s="22">
        <v>1420</v>
      </c>
      <c r="E311" s="22">
        <v>11050</v>
      </c>
      <c r="F311" s="22">
        <f>Tableau3[[#This Row],[Produit]]-Tableau3[[#This Row],[Charges]]</f>
        <v>9630</v>
      </c>
    </row>
    <row r="312" spans="1:6" x14ac:dyDescent="0.25">
      <c r="A312" s="17">
        <v>44347</v>
      </c>
      <c r="B312" s="18" t="s">
        <v>105</v>
      </c>
      <c r="D312" s="22">
        <v>3240</v>
      </c>
      <c r="E312" s="22">
        <v>10920</v>
      </c>
      <c r="F312" s="22">
        <f>Tableau3[[#This Row],[Produit]]-Tableau3[[#This Row],[Charges]]</f>
        <v>7680</v>
      </c>
    </row>
    <row r="313" spans="1:6" x14ac:dyDescent="0.25">
      <c r="A313" s="17">
        <v>44347</v>
      </c>
      <c r="B313" s="18" t="s">
        <v>64</v>
      </c>
      <c r="D313" s="22">
        <v>1330</v>
      </c>
      <c r="E313" s="22">
        <v>9600</v>
      </c>
      <c r="F313" s="22">
        <f>Tableau3[[#This Row],[Produit]]-Tableau3[[#This Row],[Charges]]</f>
        <v>8270</v>
      </c>
    </row>
    <row r="314" spans="1:6" x14ac:dyDescent="0.25">
      <c r="A314" s="17">
        <v>44347</v>
      </c>
      <c r="B314" s="18" t="s">
        <v>65</v>
      </c>
      <c r="D314" s="22">
        <v>2580</v>
      </c>
      <c r="E314" s="22">
        <v>18400</v>
      </c>
      <c r="F314" s="22">
        <f>Tableau3[[#This Row],[Produit]]-Tableau3[[#This Row],[Charges]]</f>
        <v>15820</v>
      </c>
    </row>
    <row r="315" spans="1:6" x14ac:dyDescent="0.25">
      <c r="A315" s="17">
        <v>44347</v>
      </c>
      <c r="B315" s="18" t="s">
        <v>66</v>
      </c>
      <c r="D315" s="22">
        <v>380</v>
      </c>
      <c r="E315" s="22">
        <v>9600</v>
      </c>
      <c r="F315" s="22">
        <f>Tableau3[[#This Row],[Produit]]-Tableau3[[#This Row],[Charges]]</f>
        <v>9220</v>
      </c>
    </row>
    <row r="316" spans="1:6" x14ac:dyDescent="0.25">
      <c r="A316" s="17">
        <v>44347</v>
      </c>
      <c r="B316" s="18" t="s">
        <v>67</v>
      </c>
      <c r="D316" s="22">
        <v>1150</v>
      </c>
      <c r="E316" s="22">
        <v>6600</v>
      </c>
      <c r="F316" s="22">
        <f>Tableau3[[#This Row],[Produit]]-Tableau3[[#This Row],[Charges]]</f>
        <v>5450</v>
      </c>
    </row>
    <row r="317" spans="1:6" x14ac:dyDescent="0.25">
      <c r="A317" s="17">
        <v>44347</v>
      </c>
      <c r="B317" s="18" t="s">
        <v>68</v>
      </c>
      <c r="D317" s="22">
        <v>200</v>
      </c>
      <c r="E317" s="22">
        <v>7200</v>
      </c>
      <c r="F317" s="22">
        <f>Tableau3[[#This Row],[Produit]]-Tableau3[[#This Row],[Charges]]</f>
        <v>7000</v>
      </c>
    </row>
    <row r="318" spans="1:6" x14ac:dyDescent="0.25">
      <c r="A318" s="17">
        <v>44347</v>
      </c>
      <c r="B318" s="18" t="s">
        <v>69</v>
      </c>
      <c r="D318" s="22">
        <v>2770</v>
      </c>
      <c r="E318" s="22">
        <v>6900</v>
      </c>
      <c r="F318" s="22">
        <f>Tableau3[[#This Row],[Produit]]-Tableau3[[#This Row],[Charges]]</f>
        <v>4130</v>
      </c>
    </row>
    <row r="319" spans="1:6" x14ac:dyDescent="0.25">
      <c r="A319" s="17">
        <v>44347</v>
      </c>
      <c r="B319" s="18" t="s">
        <v>70</v>
      </c>
      <c r="D319" s="22">
        <v>2000</v>
      </c>
      <c r="E319" s="22">
        <v>7500</v>
      </c>
      <c r="F319" s="22">
        <f>Tableau3[[#This Row],[Produit]]-Tableau3[[#This Row],[Charges]]</f>
        <v>5500</v>
      </c>
    </row>
    <row r="320" spans="1:6" x14ac:dyDescent="0.25">
      <c r="A320" s="17">
        <v>44347</v>
      </c>
      <c r="B320" s="18" t="s">
        <v>71</v>
      </c>
      <c r="D320" s="22">
        <v>3380</v>
      </c>
      <c r="E320" s="22">
        <v>7200</v>
      </c>
      <c r="F320" s="22">
        <f>Tableau3[[#This Row],[Produit]]-Tableau3[[#This Row],[Charges]]</f>
        <v>3820</v>
      </c>
    </row>
    <row r="321" spans="1:6" x14ac:dyDescent="0.25">
      <c r="A321" s="17">
        <v>44347</v>
      </c>
      <c r="B321" s="18" t="s">
        <v>72</v>
      </c>
      <c r="D321" s="22">
        <v>3438</v>
      </c>
      <c r="E321" s="22">
        <v>7500</v>
      </c>
      <c r="F321" s="22">
        <f>Tableau3[[#This Row],[Produit]]-Tableau3[[#This Row],[Charges]]</f>
        <v>4062</v>
      </c>
    </row>
    <row r="322" spans="1:6" x14ac:dyDescent="0.25">
      <c r="A322" s="17">
        <v>44347</v>
      </c>
      <c r="B322" s="18" t="s">
        <v>73</v>
      </c>
      <c r="D322" s="22">
        <v>1992</v>
      </c>
      <c r="E322" s="22">
        <v>6000</v>
      </c>
      <c r="F322" s="22">
        <f>Tableau3[[#This Row],[Produit]]-Tableau3[[#This Row],[Charges]]</f>
        <v>4008</v>
      </c>
    </row>
    <row r="323" spans="1:6" x14ac:dyDescent="0.25">
      <c r="A323" s="17">
        <v>44347</v>
      </c>
      <c r="B323" s="18" t="s">
        <v>74</v>
      </c>
      <c r="D323" s="22">
        <v>1780</v>
      </c>
      <c r="E323" s="22">
        <v>6600</v>
      </c>
      <c r="F323" s="22">
        <f>Tableau3[[#This Row],[Produit]]-Tableau3[[#This Row],[Charges]]</f>
        <v>4820</v>
      </c>
    </row>
    <row r="324" spans="1:6" x14ac:dyDescent="0.25">
      <c r="A324" s="17">
        <v>44347</v>
      </c>
      <c r="B324" s="18" t="s">
        <v>75</v>
      </c>
      <c r="D324" s="22">
        <v>2130</v>
      </c>
      <c r="E324" s="22">
        <v>6600</v>
      </c>
      <c r="F324" s="22">
        <f>Tableau3[[#This Row],[Produit]]-Tableau3[[#This Row],[Charges]]</f>
        <v>4470</v>
      </c>
    </row>
    <row r="325" spans="1:6" x14ac:dyDescent="0.25">
      <c r="A325" s="17">
        <v>44347</v>
      </c>
      <c r="B325" s="18" t="s">
        <v>76</v>
      </c>
      <c r="D325" s="22">
        <v>1940</v>
      </c>
      <c r="E325" s="22">
        <v>7500</v>
      </c>
      <c r="F325" s="22">
        <f>Tableau3[[#This Row],[Produit]]-Tableau3[[#This Row],[Charges]]</f>
        <v>5560</v>
      </c>
    </row>
    <row r="326" spans="1:6" x14ac:dyDescent="0.25">
      <c r="A326" s="17">
        <v>44347</v>
      </c>
      <c r="B326" s="18" t="s">
        <v>77</v>
      </c>
      <c r="D326" s="22">
        <v>1300</v>
      </c>
      <c r="E326" s="22">
        <v>6300</v>
      </c>
      <c r="F326" s="22">
        <f>Tableau3[[#This Row],[Produit]]-Tableau3[[#This Row],[Charges]]</f>
        <v>5000</v>
      </c>
    </row>
    <row r="327" spans="1:6" x14ac:dyDescent="0.25">
      <c r="A327" s="17">
        <v>44347</v>
      </c>
      <c r="B327" s="18" t="s">
        <v>78</v>
      </c>
      <c r="D327" s="22">
        <v>2460</v>
      </c>
      <c r="E327" s="22">
        <v>6600</v>
      </c>
      <c r="F327" s="22">
        <f>Tableau3[[#This Row],[Produit]]-Tableau3[[#This Row],[Charges]]</f>
        <v>4140</v>
      </c>
    </row>
    <row r="328" spans="1:6" x14ac:dyDescent="0.25">
      <c r="A328" s="17">
        <v>44347</v>
      </c>
      <c r="B328" s="18" t="s">
        <v>132</v>
      </c>
      <c r="D328" s="22">
        <v>1100</v>
      </c>
      <c r="E328" s="22">
        <v>7800</v>
      </c>
      <c r="F328" s="22">
        <f>Tableau3[[#This Row],[Produit]]-Tableau3[[#This Row],[Charges]]</f>
        <v>6700</v>
      </c>
    </row>
    <row r="329" spans="1:6" x14ac:dyDescent="0.25">
      <c r="B329" s="18" t="s">
        <v>31</v>
      </c>
      <c r="E329" s="22">
        <v>0</v>
      </c>
      <c r="F329" s="22">
        <f>Tableau3[[#This Row],[Produit]]-Tableau3[[#This Row],[Charges]]</f>
        <v>0</v>
      </c>
    </row>
    <row r="330" spans="1:6" x14ac:dyDescent="0.25">
      <c r="E330" s="18"/>
    </row>
  </sheetData>
  <sortState xmlns:xlrd2="http://schemas.microsoft.com/office/spreadsheetml/2017/richdata2" ref="H2:U124">
    <sortCondition ref="I3:I124"/>
  </sortState>
  <phoneticPr fontId="9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18B4B-70A4-4028-B37C-2AEF891C1BB5}">
  <sheetPr codeName="Feuil5"/>
  <dimension ref="M2:M66"/>
  <sheetViews>
    <sheetView workbookViewId="0">
      <selection activeCell="C50" sqref="C50"/>
    </sheetView>
  </sheetViews>
  <sheetFormatPr baseColWidth="10" defaultRowHeight="15" x14ac:dyDescent="0.25"/>
  <cols>
    <col min="1" max="1" width="21" bestFit="1" customWidth="1"/>
    <col min="2" max="2" width="19.28515625" bestFit="1" customWidth="1"/>
    <col min="3" max="6" width="21.5703125" bestFit="1" customWidth="1"/>
    <col min="12" max="12" width="21" bestFit="1" customWidth="1"/>
    <col min="13" max="13" width="18.28515625" style="23" bestFit="1" customWidth="1"/>
    <col min="20" max="20" width="21" bestFit="1" customWidth="1"/>
    <col min="21" max="21" width="18" bestFit="1" customWidth="1"/>
    <col min="22" max="22" width="17.5703125" bestFit="1" customWidth="1"/>
    <col min="23" max="23" width="16.7109375" bestFit="1" customWidth="1"/>
    <col min="28" max="29" width="16.7109375" bestFit="1" customWidth="1"/>
    <col min="30" max="30" width="6.7109375" bestFit="1" customWidth="1"/>
    <col min="31" max="32" width="11.85546875" bestFit="1" customWidth="1"/>
    <col min="33" max="33" width="9.42578125" bestFit="1" customWidth="1"/>
    <col min="34" max="39" width="11.85546875" bestFit="1" customWidth="1"/>
    <col min="40" max="40" width="10.85546875" bestFit="1" customWidth="1"/>
    <col min="41" max="43" width="11.85546875" bestFit="1" customWidth="1"/>
    <col min="44" max="44" width="12.85546875" bestFit="1" customWidth="1"/>
    <col min="45" max="46" width="11.85546875" bestFit="1" customWidth="1"/>
    <col min="47" max="47" width="6.5703125" bestFit="1" customWidth="1"/>
    <col min="48" max="48" width="11.85546875" bestFit="1" customWidth="1"/>
    <col min="49" max="49" width="12.85546875" bestFit="1" customWidth="1"/>
    <col min="50" max="51" width="11.85546875" bestFit="1" customWidth="1"/>
    <col min="52" max="52" width="12.85546875" bestFit="1" customWidth="1"/>
    <col min="53" max="53" width="10.85546875" bestFit="1" customWidth="1"/>
    <col min="54" max="56" width="11.85546875" bestFit="1" customWidth="1"/>
    <col min="57" max="57" width="8.42578125" bestFit="1" customWidth="1"/>
    <col min="58" max="60" width="11.85546875" bestFit="1" customWidth="1"/>
    <col min="61" max="61" width="8.85546875" bestFit="1" customWidth="1"/>
    <col min="62" max="63" width="9.42578125" bestFit="1" customWidth="1"/>
    <col min="64" max="64" width="11.85546875" bestFit="1" customWidth="1"/>
    <col min="65" max="65" width="8.85546875" bestFit="1" customWidth="1"/>
    <col min="66" max="66" width="10.85546875" bestFit="1" customWidth="1"/>
    <col min="67" max="69" width="9.42578125" bestFit="1" customWidth="1"/>
    <col min="70" max="70" width="10.85546875" bestFit="1" customWidth="1"/>
    <col min="71" max="86" width="11.85546875" bestFit="1" customWidth="1"/>
    <col min="87" max="88" width="10.85546875" bestFit="1" customWidth="1"/>
    <col min="89" max="89" width="9.42578125" bestFit="1" customWidth="1"/>
    <col min="90" max="93" width="10.85546875" bestFit="1" customWidth="1"/>
    <col min="94" max="94" width="12.85546875" bestFit="1" customWidth="1"/>
    <col min="95" max="98" width="10.85546875" bestFit="1" customWidth="1"/>
    <col min="99" max="99" width="11.85546875" bestFit="1" customWidth="1"/>
    <col min="100" max="101" width="10.85546875" bestFit="1" customWidth="1"/>
    <col min="102" max="102" width="6.28515625" bestFit="1" customWidth="1"/>
    <col min="103" max="103" width="14.28515625" bestFit="1" customWidth="1"/>
  </cols>
  <sheetData>
    <row r="2" spans="13:13" x14ac:dyDescent="0.25">
      <c r="M2"/>
    </row>
    <row r="3" spans="13:13" x14ac:dyDescent="0.25">
      <c r="M3"/>
    </row>
    <row r="4" spans="13:13" x14ac:dyDescent="0.25">
      <c r="M4"/>
    </row>
    <row r="5" spans="13:13" x14ac:dyDescent="0.25">
      <c r="M5"/>
    </row>
    <row r="6" spans="13:13" x14ac:dyDescent="0.25">
      <c r="M6"/>
    </row>
    <row r="7" spans="13:13" x14ac:dyDescent="0.25">
      <c r="M7"/>
    </row>
    <row r="8" spans="13:13" x14ac:dyDescent="0.25">
      <c r="M8"/>
    </row>
    <row r="9" spans="13:13" x14ac:dyDescent="0.25">
      <c r="M9"/>
    </row>
    <row r="10" spans="13:13" x14ac:dyDescent="0.25">
      <c r="M10"/>
    </row>
    <row r="11" spans="13:13" x14ac:dyDescent="0.25">
      <c r="M11"/>
    </row>
    <row r="12" spans="13:13" x14ac:dyDescent="0.25">
      <c r="M12"/>
    </row>
    <row r="13" spans="13:13" x14ac:dyDescent="0.25">
      <c r="M13"/>
    </row>
    <row r="14" spans="13:13" x14ac:dyDescent="0.25">
      <c r="M14"/>
    </row>
    <row r="15" spans="13:13" x14ac:dyDescent="0.25">
      <c r="M15"/>
    </row>
    <row r="16" spans="13:13" x14ac:dyDescent="0.25">
      <c r="M16"/>
    </row>
    <row r="17" spans="13:13" x14ac:dyDescent="0.25">
      <c r="M17"/>
    </row>
    <row r="18" spans="13:13" x14ac:dyDescent="0.25">
      <c r="M18"/>
    </row>
    <row r="19" spans="13:13" x14ac:dyDescent="0.25">
      <c r="M19"/>
    </row>
    <row r="20" spans="13:13" x14ac:dyDescent="0.25">
      <c r="M20"/>
    </row>
    <row r="21" spans="13:13" x14ac:dyDescent="0.25">
      <c r="M21"/>
    </row>
    <row r="22" spans="13:13" x14ac:dyDescent="0.25">
      <c r="M22"/>
    </row>
    <row r="23" spans="13:13" x14ac:dyDescent="0.25">
      <c r="M23"/>
    </row>
    <row r="24" spans="13:13" x14ac:dyDescent="0.25">
      <c r="M24"/>
    </row>
    <row r="25" spans="13:13" x14ac:dyDescent="0.25">
      <c r="M25"/>
    </row>
    <row r="26" spans="13:13" x14ac:dyDescent="0.25">
      <c r="M26"/>
    </row>
    <row r="27" spans="13:13" x14ac:dyDescent="0.25">
      <c r="M27"/>
    </row>
    <row r="28" spans="13:13" x14ac:dyDescent="0.25">
      <c r="M28"/>
    </row>
    <row r="29" spans="13:13" x14ac:dyDescent="0.25">
      <c r="M29"/>
    </row>
    <row r="30" spans="13:13" x14ac:dyDescent="0.25">
      <c r="M30"/>
    </row>
    <row r="31" spans="13:13" x14ac:dyDescent="0.25">
      <c r="M31"/>
    </row>
    <row r="32" spans="13:13" x14ac:dyDescent="0.25">
      <c r="M32"/>
    </row>
    <row r="33" spans="13:13" x14ac:dyDescent="0.25">
      <c r="M33"/>
    </row>
    <row r="34" spans="13:13" x14ac:dyDescent="0.25">
      <c r="M34"/>
    </row>
    <row r="35" spans="13:13" x14ac:dyDescent="0.25">
      <c r="M35"/>
    </row>
    <row r="36" spans="13:13" x14ac:dyDescent="0.25">
      <c r="M36"/>
    </row>
    <row r="37" spans="13:13" x14ac:dyDescent="0.25">
      <c r="M37"/>
    </row>
    <row r="38" spans="13:13" x14ac:dyDescent="0.25">
      <c r="M38"/>
    </row>
    <row r="39" spans="13:13" x14ac:dyDescent="0.25">
      <c r="M39"/>
    </row>
    <row r="40" spans="13:13" x14ac:dyDescent="0.25">
      <c r="M40"/>
    </row>
    <row r="41" spans="13:13" x14ac:dyDescent="0.25">
      <c r="M41"/>
    </row>
    <row r="42" spans="13:13" x14ac:dyDescent="0.25">
      <c r="M42"/>
    </row>
    <row r="43" spans="13:13" x14ac:dyDescent="0.25">
      <c r="M43"/>
    </row>
    <row r="44" spans="13:13" x14ac:dyDescent="0.25">
      <c r="M44"/>
    </row>
    <row r="45" spans="13:13" x14ac:dyDescent="0.25">
      <c r="M45"/>
    </row>
    <row r="46" spans="13:13" x14ac:dyDescent="0.25">
      <c r="M46"/>
    </row>
    <row r="47" spans="13:13" x14ac:dyDescent="0.25">
      <c r="M47"/>
    </row>
    <row r="48" spans="13:13" x14ac:dyDescent="0.25">
      <c r="M48"/>
    </row>
    <row r="49" spans="13:13" x14ac:dyDescent="0.25">
      <c r="M49"/>
    </row>
    <row r="50" spans="13:13" x14ac:dyDescent="0.25">
      <c r="M50"/>
    </row>
    <row r="51" spans="13:13" x14ac:dyDescent="0.25">
      <c r="M51"/>
    </row>
    <row r="52" spans="13:13" x14ac:dyDescent="0.25">
      <c r="M52"/>
    </row>
    <row r="53" spans="13:13" x14ac:dyDescent="0.25">
      <c r="M53"/>
    </row>
    <row r="54" spans="13:13" x14ac:dyDescent="0.25">
      <c r="M54"/>
    </row>
    <row r="55" spans="13:13" x14ac:dyDescent="0.25">
      <c r="M55"/>
    </row>
    <row r="56" spans="13:13" x14ac:dyDescent="0.25">
      <c r="M56"/>
    </row>
    <row r="57" spans="13:13" x14ac:dyDescent="0.25">
      <c r="M57"/>
    </row>
    <row r="58" spans="13:13" x14ac:dyDescent="0.25">
      <c r="M58"/>
    </row>
    <row r="59" spans="13:13" x14ac:dyDescent="0.25">
      <c r="M59"/>
    </row>
    <row r="60" spans="13:13" x14ac:dyDescent="0.25">
      <c r="M60"/>
    </row>
    <row r="61" spans="13:13" x14ac:dyDescent="0.25">
      <c r="M61"/>
    </row>
    <row r="62" spans="13:13" x14ac:dyDescent="0.25">
      <c r="M62"/>
    </row>
    <row r="63" spans="13:13" x14ac:dyDescent="0.25">
      <c r="M63"/>
    </row>
    <row r="64" spans="13:13" x14ac:dyDescent="0.25">
      <c r="M64"/>
    </row>
    <row r="65" spans="13:13" x14ac:dyDescent="0.25">
      <c r="M65"/>
    </row>
    <row r="66" spans="13:13" x14ac:dyDescent="0.25">
      <c r="M6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Feuil1</vt:lpstr>
      <vt:lpstr>Détails</vt:lpstr>
      <vt:lpstr>Cons_Gasoil</vt:lpstr>
      <vt:lpstr>Table_Bord</vt:lpstr>
      <vt:lpstr>Feuil2</vt:lpstr>
      <vt:lpstr>Dépenses</vt:lpstr>
      <vt:lpstr>Traitement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Aissa CHOUKRANI</dc:creator>
  <cp:lastModifiedBy>Mouhand OUTKHOUYA</cp:lastModifiedBy>
  <cp:lastPrinted>2021-11-05T14:07:57Z</cp:lastPrinted>
  <dcterms:created xsi:type="dcterms:W3CDTF">2015-06-05T18:19:34Z</dcterms:created>
  <dcterms:modified xsi:type="dcterms:W3CDTF">2021-11-29T09:48:36Z</dcterms:modified>
</cp:coreProperties>
</file>