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 learning\The English Text for Webs\"/>
    </mc:Choice>
  </mc:AlternateContent>
  <bookViews>
    <workbookView xWindow="0" yWindow="0" windowWidth="20490" windowHeight="7650" activeTab="1"/>
  </bookViews>
  <sheets>
    <sheet name="Sheet1" sheetId="1" r:id="rId1"/>
    <sheet name="Persi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2" l="1"/>
  <c r="AB30" i="2"/>
  <c r="Z29" i="2"/>
  <c r="AB29" i="2"/>
  <c r="AB28" i="2" l="1"/>
  <c r="V4" i="2" l="1"/>
  <c r="AB27" i="2" l="1"/>
  <c r="AB26" i="2"/>
  <c r="AB25" i="2"/>
  <c r="AB24" i="2"/>
  <c r="AB23" i="2" l="1"/>
  <c r="AB22" i="2" l="1"/>
  <c r="AB21" i="2"/>
  <c r="K2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K23" i="2"/>
  <c r="K24" i="2"/>
  <c r="K25" i="2"/>
  <c r="K26" i="2"/>
  <c r="K27" i="2"/>
  <c r="K28" i="2"/>
  <c r="K29" i="2"/>
  <c r="K30" i="2"/>
  <c r="K31" i="2"/>
  <c r="K32" i="2"/>
  <c r="K33" i="2"/>
  <c r="K34" i="2"/>
  <c r="K2" i="2" l="1"/>
  <c r="K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3" i="2"/>
  <c r="R4" i="2"/>
  <c r="S4" i="2" s="1"/>
  <c r="T4" i="2" s="1"/>
  <c r="R5" i="2"/>
  <c r="S5" i="2" s="1"/>
  <c r="T5" i="2" s="1"/>
  <c r="R6" i="2"/>
  <c r="S6" i="2" s="1"/>
  <c r="T6" i="2" s="1"/>
  <c r="R7" i="2"/>
  <c r="S7" i="2" s="1"/>
  <c r="T7" i="2" s="1"/>
  <c r="R8" i="2"/>
  <c r="S8" i="2" s="1"/>
  <c r="T8" i="2" s="1"/>
  <c r="R9" i="2"/>
  <c r="S9" i="2" s="1"/>
  <c r="T9" i="2" s="1"/>
  <c r="R10" i="2"/>
  <c r="S10" i="2" s="1"/>
  <c r="T10" i="2" s="1"/>
  <c r="R11" i="2"/>
  <c r="S11" i="2" s="1"/>
  <c r="T11" i="2" s="1"/>
  <c r="R12" i="2"/>
  <c r="S12" i="2" s="1"/>
  <c r="T12" i="2" s="1"/>
  <c r="R13" i="2"/>
  <c r="S13" i="2" s="1"/>
  <c r="T13" i="2" s="1"/>
  <c r="R14" i="2"/>
  <c r="S14" i="2" s="1"/>
  <c r="T14" i="2" s="1"/>
  <c r="R15" i="2"/>
  <c r="R16" i="2"/>
  <c r="S16" i="2" s="1"/>
  <c r="T16" i="2" s="1"/>
  <c r="R17" i="2"/>
  <c r="S17" i="2" s="1"/>
  <c r="T17" i="2" s="1"/>
  <c r="R18" i="2"/>
  <c r="S18" i="2" s="1"/>
  <c r="T18" i="2" s="1"/>
  <c r="R19" i="2"/>
  <c r="S19" i="2" s="1"/>
  <c r="T19" i="2" s="1"/>
  <c r="R20" i="2"/>
  <c r="S20" i="2" s="1"/>
  <c r="T20" i="2" s="1"/>
  <c r="R21" i="2"/>
  <c r="S21" i="2" s="1"/>
  <c r="T21" i="2" s="1"/>
  <c r="S15" i="2" l="1"/>
  <c r="T15" i="2" s="1"/>
  <c r="I10" i="2"/>
  <c r="I11" i="2"/>
  <c r="I12" i="2"/>
  <c r="I13" i="2"/>
  <c r="I14" i="2"/>
  <c r="I4" i="2"/>
  <c r="I5" i="2"/>
  <c r="I6" i="2"/>
  <c r="I7" i="2"/>
  <c r="I8" i="2"/>
  <c r="I9" i="2"/>
  <c r="I15" i="2"/>
  <c r="I16" i="2"/>
  <c r="I17" i="2"/>
  <c r="I18" i="2"/>
  <c r="I19" i="2"/>
  <c r="I20" i="2"/>
  <c r="I21" i="2"/>
  <c r="AA1" i="2" l="1"/>
  <c r="Y29" i="2"/>
  <c r="Y30" i="2"/>
  <c r="Y31" i="2"/>
  <c r="Y32" i="2"/>
  <c r="Y33" i="2"/>
  <c r="Y34" i="2"/>
  <c r="Y35" i="2"/>
  <c r="Y36" i="2"/>
  <c r="Y37" i="2"/>
  <c r="Y38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H2" i="2"/>
  <c r="E4" i="1" l="1"/>
  <c r="E5" i="1"/>
  <c r="E6" i="1"/>
  <c r="H4" i="1" l="1"/>
  <c r="H5" i="1" s="1"/>
  <c r="H6" i="1" s="1"/>
  <c r="H7" i="1" s="1"/>
  <c r="B2" i="1"/>
  <c r="H8" i="1" l="1"/>
  <c r="E7" i="1"/>
  <c r="P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C4" i="1"/>
  <c r="C5" i="1"/>
  <c r="D5" i="1" s="1"/>
  <c r="C6" i="1"/>
  <c r="D6" i="1" s="1"/>
  <c r="C7" i="1"/>
  <c r="D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5" i="1"/>
  <c r="F6" i="1"/>
  <c r="F7" i="1"/>
  <c r="D8" i="1" l="1"/>
  <c r="H9" i="1"/>
  <c r="E8" i="1"/>
  <c r="F8" i="1" s="1"/>
  <c r="G5" i="1"/>
  <c r="G6" i="1"/>
  <c r="G7" i="1"/>
  <c r="D4" i="1"/>
  <c r="F4" i="1"/>
  <c r="G8" i="1" l="1"/>
  <c r="H10" i="1"/>
  <c r="E9" i="1"/>
  <c r="G4" i="1"/>
  <c r="F9" i="1" l="1"/>
  <c r="D9" i="1"/>
  <c r="H11" i="1"/>
  <c r="E10" i="1"/>
  <c r="G9" i="1" l="1"/>
  <c r="H12" i="1"/>
  <c r="E11" i="1"/>
  <c r="F10" i="1"/>
  <c r="D10" i="1"/>
  <c r="G10" i="1" l="1"/>
  <c r="F11" i="1"/>
  <c r="D11" i="1"/>
  <c r="H13" i="1"/>
  <c r="E12" i="1"/>
  <c r="H14" i="1" l="1"/>
  <c r="E13" i="1"/>
  <c r="F12" i="1"/>
  <c r="D12" i="1"/>
  <c r="G11" i="1"/>
  <c r="F13" i="1" l="1"/>
  <c r="D13" i="1"/>
  <c r="G12" i="1"/>
  <c r="H15" i="1"/>
  <c r="E14" i="1"/>
  <c r="D14" i="1" l="1"/>
  <c r="F14" i="1"/>
  <c r="H16" i="1"/>
  <c r="E15" i="1"/>
  <c r="G13" i="1"/>
  <c r="G14" i="1" l="1"/>
  <c r="F15" i="1"/>
  <c r="D15" i="1"/>
  <c r="H17" i="1"/>
  <c r="E16" i="1"/>
  <c r="F16" i="1" l="1"/>
  <c r="D16" i="1"/>
  <c r="H18" i="1"/>
  <c r="E17" i="1"/>
  <c r="G15" i="1"/>
  <c r="F17" i="1" l="1"/>
  <c r="D17" i="1"/>
  <c r="H19" i="1"/>
  <c r="E18" i="1"/>
  <c r="G16" i="1"/>
  <c r="F18" i="1" l="1"/>
  <c r="D18" i="1"/>
  <c r="H20" i="1"/>
  <c r="E19" i="1"/>
  <c r="G17" i="1"/>
  <c r="F19" i="1" l="1"/>
  <c r="D19" i="1"/>
  <c r="H21" i="1"/>
  <c r="E21" i="1" s="1"/>
  <c r="E20" i="1"/>
  <c r="G18" i="1"/>
  <c r="F21" i="1" l="1"/>
  <c r="D21" i="1"/>
  <c r="F20" i="1"/>
  <c r="D20" i="1"/>
  <c r="G19" i="1"/>
  <c r="V3" i="2" l="1"/>
  <c r="Z3" i="2" s="1"/>
  <c r="G20" i="1"/>
  <c r="G21" i="1"/>
  <c r="P3" i="1" l="1"/>
  <c r="P5" i="1" s="1"/>
  <c r="Y3" i="2"/>
  <c r="Z4" i="2"/>
  <c r="V5" i="2"/>
  <c r="V6" i="2"/>
  <c r="P6" i="1" l="1"/>
  <c r="Y4" i="2"/>
  <c r="Z5" i="2"/>
  <c r="Z6" i="2" l="1"/>
  <c r="Y5" i="2"/>
  <c r="Z7" i="2" l="1"/>
  <c r="Y6" i="2"/>
  <c r="Z8" i="2" l="1"/>
  <c r="Y7" i="2"/>
  <c r="Y8" i="2" l="1"/>
  <c r="Z9" i="2"/>
  <c r="Z10" i="2" l="1"/>
  <c r="Y9" i="2"/>
  <c r="Z11" i="2" l="1"/>
  <c r="Y10" i="2"/>
  <c r="Y11" i="2" l="1"/>
  <c r="Z12" i="2"/>
  <c r="Z13" i="2" l="1"/>
  <c r="Y12" i="2"/>
  <c r="Z14" i="2" l="1"/>
  <c r="Y13" i="2"/>
  <c r="L4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Y14" i="2" l="1"/>
  <c r="Z15" i="2"/>
  <c r="Z16" i="2" l="1"/>
  <c r="Y15" i="2"/>
  <c r="Z17" i="2" l="1"/>
  <c r="Y16" i="2"/>
  <c r="Z18" i="2" l="1"/>
  <c r="Y17" i="2"/>
  <c r="Z19" i="2" l="1"/>
  <c r="Y18" i="2"/>
  <c r="Z20" i="2" l="1"/>
  <c r="Y19" i="2"/>
  <c r="Z21" i="2" l="1"/>
  <c r="Y20" i="2"/>
  <c r="Z22" i="2" l="1"/>
  <c r="Y21" i="2"/>
  <c r="Z23" i="2" l="1"/>
  <c r="Y22" i="2"/>
  <c r="Y23" i="2" l="1"/>
  <c r="Z24" i="2"/>
  <c r="Z25" i="2" l="1"/>
  <c r="Y24" i="2"/>
  <c r="Z26" i="2" l="1"/>
  <c r="Y25" i="2"/>
  <c r="Z27" i="2" l="1"/>
  <c r="Y26" i="2"/>
  <c r="Y27" i="2" l="1"/>
  <c r="Z28" i="2"/>
  <c r="Y28" i="2" s="1"/>
</calcChain>
</file>

<file path=xl/sharedStrings.xml><?xml version="1.0" encoding="utf-8"?>
<sst xmlns="http://schemas.openxmlformats.org/spreadsheetml/2006/main" count="178" uniqueCount="106">
  <si>
    <t>Date</t>
  </si>
  <si>
    <t xml:space="preserve">total words </t>
  </si>
  <si>
    <t>days</t>
  </si>
  <si>
    <t>Persentage</t>
  </si>
  <si>
    <t>Fee</t>
  </si>
  <si>
    <t>Cost</t>
  </si>
  <si>
    <t>totalcost</t>
  </si>
  <si>
    <t xml:space="preserve">name </t>
  </si>
  <si>
    <t>Total cost</t>
  </si>
  <si>
    <t>Namaz</t>
  </si>
  <si>
    <t>Cheque</t>
  </si>
  <si>
    <t>Asqar</t>
  </si>
  <si>
    <t>Income</t>
  </si>
  <si>
    <t>remaind</t>
  </si>
  <si>
    <t>ARM</t>
  </si>
  <si>
    <t>Car</t>
  </si>
  <si>
    <t>Home</t>
  </si>
  <si>
    <t>CANAD</t>
  </si>
  <si>
    <t>Total words</t>
  </si>
  <si>
    <t>احمد ذکایی</t>
  </si>
  <si>
    <t>محمود ذکایی</t>
  </si>
  <si>
    <t>نعمت الله خان احمدی</t>
  </si>
  <si>
    <t>گوشی با کیفیت و خوب</t>
  </si>
  <si>
    <t>Customer</t>
  </si>
  <si>
    <t>Desscribtion</t>
  </si>
  <si>
    <t>محمد کربلایی</t>
  </si>
  <si>
    <t>ترجمیک</t>
  </si>
  <si>
    <t>مریم ذکایی</t>
  </si>
  <si>
    <t>زینب ذکایی</t>
  </si>
  <si>
    <t>لباسشویی</t>
  </si>
  <si>
    <t>لباس خوب</t>
  </si>
  <si>
    <t>کفش خوب</t>
  </si>
  <si>
    <t>2604 قابل ایرپاد 1 و 2</t>
  </si>
  <si>
    <t>2206 آها استایل</t>
  </si>
  <si>
    <t>2221 لوازم جانبی ایرپاد اپل</t>
  </si>
  <si>
    <t>2222 لوازم جانبی ایرپاد</t>
  </si>
  <si>
    <t>2223 لوازم جانبی ایرپاد پرو اپل</t>
  </si>
  <si>
    <t>1481534 وکلات مهاجرت</t>
  </si>
  <si>
    <t>1431367 آموزش فرم دهی به ناخن</t>
  </si>
  <si>
    <t xml:space="preserve">  1431452 آموزش تکنیک شانه و قیچی</t>
  </si>
  <si>
    <t>1452345 گوشی تلفن</t>
  </si>
  <si>
    <t>1452328 گوشی تلفن</t>
  </si>
  <si>
    <t>1416744 لایسنس های نود</t>
  </si>
  <si>
    <t>2602 قاب ایرپاد 3</t>
  </si>
  <si>
    <t>تاریخ</t>
  </si>
  <si>
    <t>روز</t>
  </si>
  <si>
    <t>موضوع</t>
  </si>
  <si>
    <t>مبلغ</t>
  </si>
  <si>
    <t>مانده</t>
  </si>
  <si>
    <t>تشخیص</t>
  </si>
  <si>
    <t>خرید لوازم بهداشتی</t>
  </si>
  <si>
    <t>خرید شلوار</t>
  </si>
  <si>
    <t>خرید پیراهن</t>
  </si>
  <si>
    <t>خرید آینه ماشین</t>
  </si>
  <si>
    <t>خرید تشت</t>
  </si>
  <si>
    <t>خرید بیسکوئیت</t>
  </si>
  <si>
    <t>خرید شکلات</t>
  </si>
  <si>
    <t>شنبه</t>
  </si>
  <si>
    <t>جمعه</t>
  </si>
  <si>
    <t>هدیه جشن تولد بیتا پرویزی</t>
  </si>
  <si>
    <t>سهم قهوه شرکت</t>
  </si>
  <si>
    <t>Row</t>
  </si>
  <si>
    <t>sd</t>
  </si>
  <si>
    <t>2224 مشخصات قیمت و خرید لوازم جانبی ایرپاد 1 و 2 اپل</t>
  </si>
  <si>
    <t>یکشنبه</t>
  </si>
  <si>
    <t>واریز به حساب نیلوفر خان احمدی</t>
  </si>
  <si>
    <t>خرید خوراکی</t>
  </si>
  <si>
    <t>واریز به حساب محمود ذکایی</t>
  </si>
  <si>
    <t>Total</t>
  </si>
  <si>
    <t>Rmaind</t>
  </si>
  <si>
    <t>گروه</t>
  </si>
  <si>
    <t>خرج خودم</t>
  </si>
  <si>
    <t>نام</t>
  </si>
  <si>
    <t>بهینه سازی ماشین</t>
  </si>
  <si>
    <t>نیلوفر خان احمدی / خانه</t>
  </si>
  <si>
    <t>Percent</t>
  </si>
  <si>
    <t>2603 مشخصات خرید و قیمت قاب ایرپاد پرو Airpods pro اپل</t>
  </si>
  <si>
    <t>2606 مشخصات خرید و قیمت نگهدارنده و تو گوشی ایرپاد پرو اپل</t>
  </si>
  <si>
    <t>1503855 محتوای فارسی برای خاویار و غذای لوکس</t>
  </si>
  <si>
    <t>2607 مشخصات خرید و قیمت نگهدارنده و تو گوشی ایرپاد 3 اپل</t>
  </si>
  <si>
    <t>1510009 کاور لتر دانشجو</t>
  </si>
  <si>
    <t>1503906 کاور لتر دانشجو</t>
  </si>
  <si>
    <t>1511352 محتوای طلایی فارسی</t>
  </si>
  <si>
    <t>1511148 محتوای طلایی فارسی</t>
  </si>
  <si>
    <t>1512287 ترجمه فارسی به انگلیسی نقره ای</t>
  </si>
  <si>
    <t>خرید تیغ اصلاح</t>
  </si>
  <si>
    <t>خرید کابل کامیپوتر</t>
  </si>
  <si>
    <t>خرید اینترنت</t>
  </si>
  <si>
    <t>خرید هدست و فلش</t>
  </si>
  <si>
    <t>خرید چای</t>
  </si>
  <si>
    <t>واریزی به حساب محمود ذکایی</t>
  </si>
  <si>
    <t>خرید آدامس</t>
  </si>
  <si>
    <t>2608 مشخصات خرید و قیمت نگهدارنده و تو گوشی ایرپاد 1 و 2 اپل</t>
  </si>
  <si>
    <t xml:space="preserve">1514362 ترجمه فارسی به انگلیسی </t>
  </si>
  <si>
    <t>ماشین لباسشویی</t>
  </si>
  <si>
    <t>نیلارز</t>
  </si>
  <si>
    <t>خرید ناهار</t>
  </si>
  <si>
    <t>خرید اسباب بازی</t>
  </si>
  <si>
    <t>خانه</t>
  </si>
  <si>
    <t>2282 مشخصات خرید و قیمت کاور قلم اپل Apple Pencil</t>
  </si>
  <si>
    <t xml:space="preserve">2284 مشخصات خرید و قیمت کاور قلم لمسی اپل نسل 2 Apple Pencil </t>
  </si>
  <si>
    <t>2283 مشخصات خرید و قیمت کاور لمسی اپل نسل 1 Apple Pencil</t>
  </si>
  <si>
    <t xml:space="preserve">۱۵۱۸۴۵۸ چکیده جامعه شناسی فارسی به انگلیسی </t>
  </si>
  <si>
    <t>دوشنبه</t>
  </si>
  <si>
    <t>خرید میوه</t>
  </si>
  <si>
    <t>خرید ظرف آب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</si>
</sst>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20"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2" formatCode="0.00"/>
    </dxf>
    <dxf>
      <numFmt numFmtId="3" formatCode="#,##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coming" displayName="Incoming" ref="A3:H21" totalsRowShown="0">
  <autoFilter ref="A3:H21"/>
  <tableColumns count="8">
    <tableColumn id="1" name="Date"/>
    <tableColumn id="2" name="total words " dataDxfId="19"/>
    <tableColumn id="3" name="days" dataDxfId="18">
      <calculatedColumnFormula>IF(COUNTA(Incoming[[#This Row],[Date]])&gt;0,TODAY()-A4,0)</calculatedColumnFormula>
    </tableColumn>
    <tableColumn id="4" name="Persentage">
      <calculatedColumnFormula>(C4/365)*(0.2)*E4</calculatedColumnFormula>
    </tableColumn>
    <tableColumn id="5" name="Fee" dataDxfId="17">
      <calculatedColumnFormula>100+((Incoming[[#This Row],[Total words]]/200000)*100)</calculatedColumnFormula>
    </tableColumn>
    <tableColumn id="6" name="Cost" dataDxfId="16">
      <calculatedColumnFormula>B4*E4</calculatedColumnFormula>
    </tableColumn>
    <tableColumn id="7" name="totalcost" dataDxfId="15">
      <calculatedColumnFormula>F4+D4</calculatedColumnFormula>
    </tableColumn>
    <tableColumn id="8" name="Total words" dataDxfId="14">
      <calculatedColumnFormula>SUM(B4,H3)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st" displayName="Cost" ref="J3:M21" totalsRowShown="0">
  <autoFilter ref="J3:M21"/>
  <tableColumns count="4">
    <tableColumn id="1" name="Date"/>
    <tableColumn id="2" name="name "/>
    <tableColumn id="3" name="Cost" dataDxfId="13"/>
    <tableColumn id="4" name="Total cost" dataDxfId="12">
      <calculatedColumnFormula>SUM(Cost[[#This Row],[Cost]],Cost[[#Headers],[Total cost]])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coming4" displayName="Incoming4" ref="C3:L34" totalsRowShown="0">
  <autoFilter ref="C3:L34"/>
  <sortState ref="C4:L21">
    <sortCondition ref="F3:F21"/>
  </sortState>
  <tableColumns count="10">
    <tableColumn id="1" name="sd"/>
    <tableColumn id="10" name="Row" dataDxfId="10"/>
    <tableColumn id="8" name="Date"/>
    <tableColumn id="9" name="Customer"/>
    <tableColumn id="4" name="Desscribtion"/>
    <tableColumn id="2" name="total words " dataDxfId="9"/>
    <tableColumn id="3" name="days" dataDxfId="8">
      <calculatedColumnFormula>IF(COUNTA(Incoming4[[#This Row],[Date]])&gt;0,TODAY()-E4,0)</calculatedColumnFormula>
    </tableColumn>
    <tableColumn id="5" name="Fee" dataDxfId="7">
      <calculatedColumnFormula>100+((#REF!/200000)*100)</calculatedColumnFormula>
    </tableColumn>
    <tableColumn id="6" name="Cost" dataDxfId="6">
      <calculatedColumnFormula>ROUND((H4*J4),0)</calculatedColumnFormula>
    </tableColumn>
    <tableColumn id="7" name="totalcost" dataDxfId="5">
      <calculatedColumnFormula>ROUND(SUM(K4,L3),0)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ost5" displayName="Cost5" ref="N3:T21" totalsRowShown="0">
  <tableColumns count="7">
    <tableColumn id="1" name="Date"/>
    <tableColumn id="2" name="name "/>
    <tableColumn id="3" name="Cost" dataDxfId="4"/>
    <tableColumn id="4" name="Total cost" dataDxfId="3">
      <calculatedColumnFormula>SUM(P4,Q3)</calculatedColumnFormula>
    </tableColumn>
    <tableColumn id="6" name="Total" dataDxfId="2">
      <calculatedColumnFormula>SUMIF($AC$3:AC30000,Cost5[[#This Row],[Date]],$AA$3:AA3:AA30000)</calculatedColumnFormula>
    </tableColumn>
    <tableColumn id="5" name="Rmaind" dataDxfId="1">
      <calculatedColumnFormula>Cost5[[#This Row],[Cost]]-Cost5[[#This Row],[Total]]</calculatedColumnFormula>
    </tableColumn>
    <tableColumn id="7" name="Percent" dataDxfId="0" dataCellStyle="Percent">
      <calculatedColumnFormula>IF(Cost5[[#This Row],[Rmaind]]&gt;0,Cost5[[#This Row],[Total]]/Cost5[[#This Row],[Cost]],0)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13.5703125" customWidth="1"/>
    <col min="3" max="3" width="10.42578125" style="2" bestFit="1" customWidth="1"/>
    <col min="4" max="4" width="13.140625" customWidth="1"/>
    <col min="7" max="7" width="10.85546875" customWidth="1"/>
    <col min="8" max="8" width="13.5703125" bestFit="1" customWidth="1"/>
    <col min="12" max="13" width="15.42578125" bestFit="1" customWidth="1"/>
    <col min="16" max="16" width="15.5703125" bestFit="1" customWidth="1"/>
  </cols>
  <sheetData>
    <row r="2" spans="1:16" x14ac:dyDescent="0.25">
      <c r="B2">
        <f>SUM(Incoming[[total words ]])</f>
        <v>5475</v>
      </c>
    </row>
    <row r="3" spans="1:16" x14ac:dyDescent="0.25">
      <c r="A3" t="s">
        <v>0</v>
      </c>
      <c r="B3" t="s">
        <v>1</v>
      </c>
      <c r="C3" s="2" t="s">
        <v>2</v>
      </c>
      <c r="D3" t="s">
        <v>3</v>
      </c>
      <c r="E3" t="s">
        <v>4</v>
      </c>
      <c r="F3" t="s">
        <v>5</v>
      </c>
      <c r="G3" t="s">
        <v>6</v>
      </c>
      <c r="H3" t="s">
        <v>18</v>
      </c>
      <c r="J3" t="s">
        <v>0</v>
      </c>
      <c r="K3" t="s">
        <v>7</v>
      </c>
      <c r="L3" t="s">
        <v>5</v>
      </c>
      <c r="M3" t="s">
        <v>8</v>
      </c>
      <c r="O3" t="s">
        <v>12</v>
      </c>
      <c r="P3" s="3">
        <f ca="1">SUM(Incoming[totalcost])</f>
        <v>557000.66170191776</v>
      </c>
    </row>
    <row r="4" spans="1:16" x14ac:dyDescent="0.25">
      <c r="A4" s="1">
        <v>44844</v>
      </c>
      <c r="B4" s="3">
        <v>1546</v>
      </c>
      <c r="C4" s="3">
        <f ca="1">IF(COUNTA(Incoming[[#This Row],[Date]])&gt;0,TODAY()-A4,0)</f>
        <v>21</v>
      </c>
      <c r="D4">
        <f ca="1">(C4/365)*(0.2)*E4</f>
        <v>1.1595797260273972</v>
      </c>
      <c r="E4">
        <f>100+((Incoming[[#This Row],[Total words]]/200000)*100)</f>
        <v>100.773</v>
      </c>
      <c r="F4" s="3">
        <f>B4*E4</f>
        <v>155795.05799999999</v>
      </c>
      <c r="G4" s="4">
        <f ca="1">F4+D4</f>
        <v>155796.21757972601</v>
      </c>
      <c r="H4" s="3">
        <f t="shared" ref="H4:H21" si="0">SUM(B4,H3)</f>
        <v>1546</v>
      </c>
      <c r="K4" t="s">
        <v>9</v>
      </c>
      <c r="L4" s="4">
        <v>50000000</v>
      </c>
      <c r="M4" s="4">
        <f>SUM(Cost[[#This Row],[Cost]],Cost[[#Headers],[Total cost]])</f>
        <v>50000000</v>
      </c>
      <c r="O4" t="s">
        <v>5</v>
      </c>
      <c r="P4" s="3">
        <f>SUM(Cost[Cost])</f>
        <v>3036000000</v>
      </c>
    </row>
    <row r="5" spans="1:16" x14ac:dyDescent="0.25">
      <c r="A5" s="1">
        <v>44845</v>
      </c>
      <c r="B5" s="3">
        <v>1698</v>
      </c>
      <c r="C5" s="3">
        <f ca="1">IF(COUNTA(Incoming[[#This Row],[Date]])&gt;0,TODAY()-A5,0)</f>
        <v>20</v>
      </c>
      <c r="D5">
        <f t="shared" ref="D5:D21" ca="1" si="1">(C5/365)*(0.2)*E5</f>
        <v>1.1136657534246575</v>
      </c>
      <c r="E5">
        <f>100+((Incoming[[#This Row],[Total words]]/200000)*100)</f>
        <v>101.622</v>
      </c>
      <c r="F5" s="3">
        <f t="shared" ref="F5:F21" si="2">B5*E5</f>
        <v>172554.15599999999</v>
      </c>
      <c r="G5" s="4">
        <f t="shared" ref="G5:G21" ca="1" si="3">F5+D5</f>
        <v>172555.26966575341</v>
      </c>
      <c r="H5" s="3">
        <f t="shared" si="0"/>
        <v>3244</v>
      </c>
      <c r="K5" t="s">
        <v>10</v>
      </c>
      <c r="L5" s="4">
        <v>100000000</v>
      </c>
      <c r="M5" s="4">
        <f>SUM(Cost[[#This Row],[Cost]],Cost[[#Headers],[Total cost]])</f>
        <v>100000000</v>
      </c>
      <c r="O5" t="s">
        <v>13</v>
      </c>
      <c r="P5" s="3">
        <f ca="1">P3-P4</f>
        <v>-3035442999.3382978</v>
      </c>
    </row>
    <row r="6" spans="1:16" x14ac:dyDescent="0.25">
      <c r="A6" s="1">
        <v>44847</v>
      </c>
      <c r="B6" s="3">
        <v>1468</v>
      </c>
      <c r="C6" s="3">
        <f ca="1">IF(COUNTA(Incoming[[#This Row],[Date]])&gt;0,TODAY()-A6,0)</f>
        <v>18</v>
      </c>
      <c r="D6">
        <f t="shared" ca="1" si="1"/>
        <v>1.0095386301369862</v>
      </c>
      <c r="E6">
        <f>100+((Incoming[[#This Row],[Total words]]/200000)*100)</f>
        <v>102.35599999999999</v>
      </c>
      <c r="F6" s="3">
        <f t="shared" si="2"/>
        <v>150258.60799999998</v>
      </c>
      <c r="G6" s="4">
        <f t="shared" ca="1" si="3"/>
        <v>150259.61753863012</v>
      </c>
      <c r="H6" s="3">
        <f t="shared" si="0"/>
        <v>4712</v>
      </c>
      <c r="K6" t="s">
        <v>11</v>
      </c>
      <c r="L6" s="4">
        <v>86000000</v>
      </c>
      <c r="M6" s="4">
        <f>SUM(Cost[[#This Row],[Cost]],Cost[[#Headers],[Total cost]])</f>
        <v>86000000</v>
      </c>
      <c r="O6" t="s">
        <v>3</v>
      </c>
      <c r="P6" s="5">
        <f ca="1">P3/P4</f>
        <v>1.8346530359088201E-4</v>
      </c>
    </row>
    <row r="7" spans="1:16" x14ac:dyDescent="0.25">
      <c r="A7" s="1">
        <v>44850</v>
      </c>
      <c r="B7" s="3">
        <v>763</v>
      </c>
      <c r="C7" s="3">
        <f ca="1">IF(COUNTA(Incoming[[#This Row],[Date]])&gt;0,TODAY()-A7,0)</f>
        <v>15</v>
      </c>
      <c r="D7">
        <f t="shared" ca="1" si="1"/>
        <v>0.844417808219178</v>
      </c>
      <c r="E7">
        <f>100+((Incoming[[#This Row],[Total words]]/200000)*100)</f>
        <v>102.7375</v>
      </c>
      <c r="F7" s="3">
        <f t="shared" si="2"/>
        <v>78388.712499999994</v>
      </c>
      <c r="G7" s="4">
        <f t="shared" ca="1" si="3"/>
        <v>78389.556917808208</v>
      </c>
      <c r="H7" s="3">
        <f t="shared" si="0"/>
        <v>5475</v>
      </c>
      <c r="K7" t="s">
        <v>14</v>
      </c>
      <c r="L7" s="4">
        <v>300000000</v>
      </c>
      <c r="M7" s="4">
        <f>SUM(Cost[[#This Row],[Cost]],Cost[[#Headers],[Total cost]])</f>
        <v>300000000</v>
      </c>
    </row>
    <row r="8" spans="1:16" x14ac:dyDescent="0.25">
      <c r="B8" s="3"/>
      <c r="C8" s="3">
        <f ca="1">IF(COUNTA(Incoming[[#This Row],[Date]])&gt;0,TODAY()-A8,0)</f>
        <v>0</v>
      </c>
      <c r="D8">
        <f t="shared" ca="1" si="1"/>
        <v>0</v>
      </c>
      <c r="E8">
        <f>100+((Incoming[[#This Row],[Total words]]/200000)*100)</f>
        <v>102.7375</v>
      </c>
      <c r="F8" s="3">
        <f t="shared" si="2"/>
        <v>0</v>
      </c>
      <c r="G8" s="4">
        <f t="shared" ca="1" si="3"/>
        <v>0</v>
      </c>
      <c r="H8" s="3">
        <f t="shared" si="0"/>
        <v>5475</v>
      </c>
      <c r="K8" t="s">
        <v>15</v>
      </c>
      <c r="L8" s="4">
        <v>200000000</v>
      </c>
      <c r="M8" s="4">
        <f>SUM(Cost[[#This Row],[Cost]],Cost[[#Headers],[Total cost]])</f>
        <v>200000000</v>
      </c>
    </row>
    <row r="9" spans="1:16" x14ac:dyDescent="0.25">
      <c r="B9" s="3"/>
      <c r="C9" s="3">
        <f ca="1">IF(COUNTA(Incoming[[#This Row],[Date]])&gt;0,TODAY()-A9,0)</f>
        <v>0</v>
      </c>
      <c r="D9">
        <f t="shared" ca="1" si="1"/>
        <v>0</v>
      </c>
      <c r="E9">
        <f>100+((Incoming[[#This Row],[Total words]]/200000)*100)</f>
        <v>102.7375</v>
      </c>
      <c r="F9" s="3">
        <f t="shared" si="2"/>
        <v>0</v>
      </c>
      <c r="G9" s="4">
        <f t="shared" ca="1" si="3"/>
        <v>0</v>
      </c>
      <c r="H9" s="3">
        <f t="shared" si="0"/>
        <v>5475</v>
      </c>
      <c r="K9" t="s">
        <v>16</v>
      </c>
      <c r="L9" s="4">
        <v>300000000</v>
      </c>
      <c r="M9" s="4">
        <f>SUM(Cost[[#This Row],[Cost]],Cost[[#Headers],[Total cost]])</f>
        <v>300000000</v>
      </c>
    </row>
    <row r="10" spans="1:16" x14ac:dyDescent="0.25">
      <c r="B10" s="3"/>
      <c r="C10" s="3">
        <f ca="1">IF(COUNTA(Incoming[[#This Row],[Date]])&gt;0,TODAY()-A10,0)</f>
        <v>0</v>
      </c>
      <c r="D10">
        <f t="shared" ca="1" si="1"/>
        <v>0</v>
      </c>
      <c r="E10">
        <f>100+((Incoming[[#This Row],[Total words]]/200000)*100)</f>
        <v>102.7375</v>
      </c>
      <c r="F10" s="3">
        <f t="shared" si="2"/>
        <v>0</v>
      </c>
      <c r="G10" s="4">
        <f t="shared" ca="1" si="3"/>
        <v>0</v>
      </c>
      <c r="H10" s="3">
        <f t="shared" si="0"/>
        <v>5475</v>
      </c>
      <c r="K10" t="s">
        <v>17</v>
      </c>
      <c r="L10" s="4">
        <v>2000000000</v>
      </c>
      <c r="M10" s="4">
        <f>SUM(Cost[[#This Row],[Cost]],Cost[[#Headers],[Total cost]])</f>
        <v>2000000000</v>
      </c>
    </row>
    <row r="11" spans="1:16" x14ac:dyDescent="0.25">
      <c r="B11" s="3"/>
      <c r="C11" s="3">
        <f ca="1">IF(COUNTA(Incoming[[#This Row],[Date]])&gt;0,TODAY()-A11,0)</f>
        <v>0</v>
      </c>
      <c r="D11">
        <f t="shared" ca="1" si="1"/>
        <v>0</v>
      </c>
      <c r="E11">
        <f>100+((Incoming[[#This Row],[Total words]]/200000)*100)</f>
        <v>102.7375</v>
      </c>
      <c r="F11" s="3">
        <f t="shared" si="2"/>
        <v>0</v>
      </c>
      <c r="G11" s="4">
        <f t="shared" ca="1" si="3"/>
        <v>0</v>
      </c>
      <c r="H11" s="3">
        <f t="shared" si="0"/>
        <v>5475</v>
      </c>
      <c r="L11" s="4"/>
      <c r="M11" s="4">
        <f>SUM(Cost[[#This Row],[Cost]],Cost[[#Headers],[Total cost]])</f>
        <v>0</v>
      </c>
    </row>
    <row r="12" spans="1:16" x14ac:dyDescent="0.25">
      <c r="B12" s="3"/>
      <c r="C12" s="3">
        <f ca="1">IF(COUNTA(Incoming[[#This Row],[Date]])&gt;0,TODAY()-A12,0)</f>
        <v>0</v>
      </c>
      <c r="D12">
        <f t="shared" ca="1" si="1"/>
        <v>0</v>
      </c>
      <c r="E12">
        <f>100+((Incoming[[#This Row],[Total words]]/200000)*100)</f>
        <v>102.7375</v>
      </c>
      <c r="F12" s="3">
        <f t="shared" si="2"/>
        <v>0</v>
      </c>
      <c r="G12" s="4">
        <f t="shared" ca="1" si="3"/>
        <v>0</v>
      </c>
      <c r="H12" s="3">
        <f t="shared" si="0"/>
        <v>5475</v>
      </c>
      <c r="L12" s="4"/>
      <c r="M12" s="4">
        <f>SUM(Cost[[#This Row],[Cost]],Cost[[#Headers],[Total cost]])</f>
        <v>0</v>
      </c>
    </row>
    <row r="13" spans="1:16" x14ac:dyDescent="0.25">
      <c r="B13" s="3"/>
      <c r="C13" s="3">
        <f ca="1">IF(COUNTA(Incoming[[#This Row],[Date]])&gt;0,TODAY()-A13,0)</f>
        <v>0</v>
      </c>
      <c r="D13">
        <f t="shared" ca="1" si="1"/>
        <v>0</v>
      </c>
      <c r="E13">
        <f>100+((Incoming[[#This Row],[Total words]]/200000)*100)</f>
        <v>102.7375</v>
      </c>
      <c r="F13" s="3">
        <f t="shared" si="2"/>
        <v>0</v>
      </c>
      <c r="G13" s="4">
        <f t="shared" ca="1" si="3"/>
        <v>0</v>
      </c>
      <c r="H13" s="3">
        <f t="shared" si="0"/>
        <v>5475</v>
      </c>
      <c r="L13" s="4"/>
      <c r="M13" s="4">
        <f>SUM(Cost[[#This Row],[Cost]],Cost[[#Headers],[Total cost]])</f>
        <v>0</v>
      </c>
    </row>
    <row r="14" spans="1:16" x14ac:dyDescent="0.25">
      <c r="B14" s="3"/>
      <c r="C14" s="3">
        <f ca="1">IF(COUNTA(Incoming[[#This Row],[Date]])&gt;0,TODAY()-A14,0)</f>
        <v>0</v>
      </c>
      <c r="D14">
        <f t="shared" ca="1" si="1"/>
        <v>0</v>
      </c>
      <c r="E14">
        <f>100+((Incoming[[#This Row],[Total words]]/200000)*100)</f>
        <v>102.7375</v>
      </c>
      <c r="F14" s="3">
        <f t="shared" si="2"/>
        <v>0</v>
      </c>
      <c r="G14" s="4">
        <f t="shared" ca="1" si="3"/>
        <v>0</v>
      </c>
      <c r="H14" s="3">
        <f t="shared" si="0"/>
        <v>5475</v>
      </c>
      <c r="L14" s="4"/>
      <c r="M14" s="4">
        <f>SUM(Cost[[#This Row],[Cost]],Cost[[#Headers],[Total cost]])</f>
        <v>0</v>
      </c>
    </row>
    <row r="15" spans="1:16" x14ac:dyDescent="0.25">
      <c r="B15" s="3"/>
      <c r="C15" s="3">
        <f ca="1">IF(COUNTA(Incoming[[#This Row],[Date]])&gt;0,TODAY()-A15,0)</f>
        <v>0</v>
      </c>
      <c r="D15">
        <f t="shared" ca="1" si="1"/>
        <v>0</v>
      </c>
      <c r="E15">
        <f>100+((Incoming[[#This Row],[Total words]]/200000)*100)</f>
        <v>102.7375</v>
      </c>
      <c r="F15" s="3">
        <f t="shared" si="2"/>
        <v>0</v>
      </c>
      <c r="G15" s="4">
        <f t="shared" ca="1" si="3"/>
        <v>0</v>
      </c>
      <c r="H15" s="3">
        <f t="shared" si="0"/>
        <v>5475</v>
      </c>
      <c r="L15" s="4"/>
      <c r="M15" s="4">
        <f>SUM(Cost[[#This Row],[Cost]],Cost[[#Headers],[Total cost]])</f>
        <v>0</v>
      </c>
    </row>
    <row r="16" spans="1:16" x14ac:dyDescent="0.25">
      <c r="B16" s="3"/>
      <c r="C16" s="3">
        <f ca="1">IF(COUNTA(Incoming[[#This Row],[Date]])&gt;0,TODAY()-A16,0)</f>
        <v>0</v>
      </c>
      <c r="D16">
        <f t="shared" ca="1" si="1"/>
        <v>0</v>
      </c>
      <c r="E16">
        <f>100+((Incoming[[#This Row],[Total words]]/200000)*100)</f>
        <v>102.7375</v>
      </c>
      <c r="F16" s="3">
        <f t="shared" si="2"/>
        <v>0</v>
      </c>
      <c r="G16" s="4">
        <f t="shared" ca="1" si="3"/>
        <v>0</v>
      </c>
      <c r="H16" s="3">
        <f t="shared" si="0"/>
        <v>5475</v>
      </c>
      <c r="L16" s="4"/>
      <c r="M16" s="4">
        <f>SUM(Cost[[#This Row],[Cost]],Cost[[#Headers],[Total cost]])</f>
        <v>0</v>
      </c>
    </row>
    <row r="17" spans="2:13" x14ac:dyDescent="0.25">
      <c r="B17" s="3"/>
      <c r="C17" s="3">
        <f ca="1">IF(COUNTA(Incoming[[#This Row],[Date]])&gt;0,TODAY()-A17,0)</f>
        <v>0</v>
      </c>
      <c r="D17">
        <f t="shared" ca="1" si="1"/>
        <v>0</v>
      </c>
      <c r="E17">
        <f>100+((Incoming[[#This Row],[Total words]]/200000)*100)</f>
        <v>102.7375</v>
      </c>
      <c r="F17" s="3">
        <f t="shared" si="2"/>
        <v>0</v>
      </c>
      <c r="G17" s="4">
        <f t="shared" ca="1" si="3"/>
        <v>0</v>
      </c>
      <c r="H17" s="3">
        <f t="shared" si="0"/>
        <v>5475</v>
      </c>
      <c r="L17" s="4"/>
      <c r="M17" s="4">
        <f>SUM(Cost[[#This Row],[Cost]],Cost[[#Headers],[Total cost]])</f>
        <v>0</v>
      </c>
    </row>
    <row r="18" spans="2:13" x14ac:dyDescent="0.25">
      <c r="B18" s="3"/>
      <c r="C18" s="3">
        <f ca="1">IF(COUNTA(Incoming[[#This Row],[Date]])&gt;0,TODAY()-A18,0)</f>
        <v>0</v>
      </c>
      <c r="D18">
        <f t="shared" ca="1" si="1"/>
        <v>0</v>
      </c>
      <c r="E18">
        <f>100+((Incoming[[#This Row],[Total words]]/200000)*100)</f>
        <v>102.7375</v>
      </c>
      <c r="F18" s="3">
        <f t="shared" si="2"/>
        <v>0</v>
      </c>
      <c r="G18" s="4">
        <f t="shared" ca="1" si="3"/>
        <v>0</v>
      </c>
      <c r="H18" s="3">
        <f t="shared" si="0"/>
        <v>5475</v>
      </c>
      <c r="L18" s="4"/>
      <c r="M18" s="4">
        <f>SUM(Cost[[#This Row],[Cost]],Cost[[#Headers],[Total cost]])</f>
        <v>0</v>
      </c>
    </row>
    <row r="19" spans="2:13" x14ac:dyDescent="0.25">
      <c r="B19" s="3"/>
      <c r="C19" s="3">
        <f ca="1">IF(COUNTA(Incoming[[#This Row],[Date]])&gt;0,TODAY()-A19,0)</f>
        <v>0</v>
      </c>
      <c r="D19">
        <f t="shared" ca="1" si="1"/>
        <v>0</v>
      </c>
      <c r="E19">
        <f>100+((Incoming[[#This Row],[Total words]]/200000)*100)</f>
        <v>102.7375</v>
      </c>
      <c r="F19" s="3">
        <f t="shared" si="2"/>
        <v>0</v>
      </c>
      <c r="G19" s="4">
        <f t="shared" ca="1" si="3"/>
        <v>0</v>
      </c>
      <c r="H19" s="3">
        <f t="shared" si="0"/>
        <v>5475</v>
      </c>
      <c r="L19" s="4"/>
      <c r="M19" s="4">
        <f>SUM(Cost[[#This Row],[Cost]],Cost[[#Headers],[Total cost]])</f>
        <v>0</v>
      </c>
    </row>
    <row r="20" spans="2:13" x14ac:dyDescent="0.25">
      <c r="B20" s="3"/>
      <c r="C20" s="3">
        <f ca="1">IF(COUNTA(Incoming[[#This Row],[Date]])&gt;0,TODAY()-A20,0)</f>
        <v>0</v>
      </c>
      <c r="D20">
        <f t="shared" ca="1" si="1"/>
        <v>0</v>
      </c>
      <c r="E20">
        <f>100+((Incoming[[#This Row],[Total words]]/200000)*100)</f>
        <v>102.7375</v>
      </c>
      <c r="F20" s="3">
        <f t="shared" si="2"/>
        <v>0</v>
      </c>
      <c r="G20" s="4">
        <f t="shared" ca="1" si="3"/>
        <v>0</v>
      </c>
      <c r="H20" s="3">
        <f t="shared" si="0"/>
        <v>5475</v>
      </c>
      <c r="L20" s="4"/>
      <c r="M20" s="4">
        <f>SUM(Cost[[#This Row],[Cost]],Cost[[#Headers],[Total cost]])</f>
        <v>0</v>
      </c>
    </row>
    <row r="21" spans="2:13" x14ac:dyDescent="0.25">
      <c r="B21" s="3"/>
      <c r="C21" s="3">
        <f ca="1">IF(COUNTA(Incoming[[#This Row],[Date]])&gt;0,TODAY()-A21,0)</f>
        <v>0</v>
      </c>
      <c r="D21">
        <f t="shared" ca="1" si="1"/>
        <v>0</v>
      </c>
      <c r="E21">
        <f>100+((Incoming[[#This Row],[Total words]]/200000)*100)</f>
        <v>102.7375</v>
      </c>
      <c r="F21" s="3">
        <f t="shared" si="2"/>
        <v>0</v>
      </c>
      <c r="G21" s="4">
        <f t="shared" ca="1" si="3"/>
        <v>0</v>
      </c>
      <c r="H21" s="3">
        <f t="shared" si="0"/>
        <v>5475</v>
      </c>
      <c r="L21" s="4"/>
      <c r="M21" s="4">
        <f>SUM(Cost[[#This Row],[Cost]],Cost[[#Headers],[Total cost]])</f>
        <v>0</v>
      </c>
    </row>
  </sheetData>
  <conditionalFormatting sqref="H4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{9689BD58-F72D-402B-865C-09DB1BE2AC0F}</x14:id>
        </ext>
      </extLst>
    </cfRule>
  </conditionalFormatting>
  <conditionalFormatting sqref="D4:D21">
    <cfRule type="colorScale" priority="2">
      <colorScale>
        <cfvo type="min"/>
        <cfvo type="max"/>
        <color rgb="FFFCFCFF"/>
        <color rgb="FF63BE7B"/>
      </colorScale>
    </cfRule>
  </conditionalFormatting>
  <conditionalFormatting sqref="P3:P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89BD58-F72D-402B-865C-09DB1BE2A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38"/>
  <sheetViews>
    <sheetView tabSelected="1" topLeftCell="R13" workbookViewId="0">
      <selection activeCell="V24" sqref="V24"/>
    </sheetView>
  </sheetViews>
  <sheetFormatPr defaultRowHeight="15" x14ac:dyDescent="0.25"/>
  <cols>
    <col min="3" max="3" width="10.42578125" bestFit="1" customWidth="1"/>
    <col min="4" max="5" width="10.42578125" customWidth="1"/>
    <col min="6" max="6" width="11.85546875" bestFit="1" customWidth="1"/>
    <col min="7" max="7" width="48.5703125" bestFit="1" customWidth="1"/>
    <col min="8" max="8" width="13.5703125" customWidth="1"/>
    <col min="9" max="9" width="8.5703125" style="2" bestFit="1" customWidth="1"/>
    <col min="11" max="11" width="10.140625" bestFit="1" customWidth="1"/>
    <col min="12" max="12" width="11.7109375" bestFit="1" customWidth="1"/>
    <col min="14" max="14" width="7.42578125" bestFit="1" customWidth="1"/>
    <col min="15" max="15" width="17.5703125" bestFit="1" customWidth="1"/>
    <col min="16" max="17" width="15.42578125" style="3" bestFit="1" customWidth="1"/>
    <col min="18" max="18" width="15.42578125" style="3" customWidth="1"/>
    <col min="19" max="19" width="12.7109375" bestFit="1" customWidth="1"/>
    <col min="20" max="20" width="12.7109375" customWidth="1"/>
    <col min="22" max="22" width="15.5703125" bestFit="1" customWidth="1"/>
    <col min="25" max="25" width="9.140625" style="6"/>
    <col min="26" max="27" width="10.140625" style="3" bestFit="1" customWidth="1"/>
    <col min="28" max="29" width="10.140625" style="3" customWidth="1"/>
    <col min="30" max="30" width="25.85546875" bestFit="1" customWidth="1"/>
  </cols>
  <sheetData>
    <row r="1" spans="3:33" x14ac:dyDescent="0.25">
      <c r="K1" s="3">
        <f>AVERAGE(Incoming4[Cost])</f>
        <v>1305598.3870967743</v>
      </c>
      <c r="AA1" s="3">
        <f>SUM(AA3:AA3000)</f>
        <v>33449000</v>
      </c>
    </row>
    <row r="2" spans="3:33" x14ac:dyDescent="0.25">
      <c r="H2">
        <f>SUM(Incoming4[[total words ]])</f>
        <v>76536</v>
      </c>
      <c r="K2" s="3">
        <f>SUM(Incoming4[Cost])</f>
        <v>40473550</v>
      </c>
      <c r="Y2" s="6" t="s">
        <v>49</v>
      </c>
      <c r="Z2" s="3" t="s">
        <v>48</v>
      </c>
      <c r="AA2" s="3" t="s">
        <v>47</v>
      </c>
      <c r="AB2" s="3" t="s">
        <v>72</v>
      </c>
      <c r="AC2" s="3" t="s">
        <v>70</v>
      </c>
      <c r="AD2" t="s">
        <v>46</v>
      </c>
      <c r="AE2" t="s">
        <v>45</v>
      </c>
      <c r="AF2" t="s">
        <v>44</v>
      </c>
      <c r="AG2">
        <v>0</v>
      </c>
    </row>
    <row r="3" spans="3:33" x14ac:dyDescent="0.25">
      <c r="C3" t="s">
        <v>62</v>
      </c>
      <c r="D3" t="s">
        <v>61</v>
      </c>
      <c r="E3" t="s">
        <v>0</v>
      </c>
      <c r="F3" t="s">
        <v>23</v>
      </c>
      <c r="G3" t="s">
        <v>24</v>
      </c>
      <c r="H3" t="s">
        <v>1</v>
      </c>
      <c r="I3" s="2" t="s">
        <v>2</v>
      </c>
      <c r="J3" t="s">
        <v>4</v>
      </c>
      <c r="K3" t="s">
        <v>5</v>
      </c>
      <c r="L3" t="s">
        <v>6</v>
      </c>
      <c r="N3" t="s">
        <v>0</v>
      </c>
      <c r="O3" t="s">
        <v>7</v>
      </c>
      <c r="P3" s="3" t="s">
        <v>5</v>
      </c>
      <c r="Q3" s="3" t="s">
        <v>8</v>
      </c>
      <c r="R3" s="3" t="s">
        <v>68</v>
      </c>
      <c r="S3" t="s">
        <v>69</v>
      </c>
      <c r="T3" t="s">
        <v>75</v>
      </c>
      <c r="U3" t="s">
        <v>12</v>
      </c>
      <c r="V3" s="3">
        <f>SUM(Incoming4[Cost])</f>
        <v>40473550</v>
      </c>
      <c r="Y3" s="6" t="str">
        <f>IF(Z3&gt;0, "طلبکار", IF(Z3&lt;0,"بدهکار","-"))</f>
        <v>طلبکار</v>
      </c>
      <c r="Z3" s="3">
        <f>V3-AA3</f>
        <v>39673550</v>
      </c>
      <c r="AA3" s="3">
        <v>800000</v>
      </c>
      <c r="AB3" s="3" t="str">
        <f>IFERROR((VLOOKUP(AC3,Cost5[[Date]:[name ]],2,FALSE)),"-")</f>
        <v>خرج خودم</v>
      </c>
      <c r="AC3" s="3">
        <v>12</v>
      </c>
      <c r="AD3" t="s">
        <v>50</v>
      </c>
      <c r="AG3">
        <v>1</v>
      </c>
    </row>
    <row r="4" spans="3:33" x14ac:dyDescent="0.25">
      <c r="C4" s="1"/>
      <c r="D4" s="7">
        <v>6</v>
      </c>
      <c r="E4" s="1">
        <v>44843</v>
      </c>
      <c r="F4" t="s">
        <v>26</v>
      </c>
      <c r="G4" t="s">
        <v>37</v>
      </c>
      <c r="H4" s="3">
        <v>1000</v>
      </c>
      <c r="I4" s="2">
        <f ca="1">IF(COUNTA(Incoming4[[#This Row],[Date]])&gt;0,TODAY()-E4,0)</f>
        <v>22</v>
      </c>
      <c r="J4">
        <v>700</v>
      </c>
      <c r="K4" s="3">
        <f t="shared" ref="K4:K21" si="0">ROUND((H4*J4),0)</f>
        <v>700000</v>
      </c>
      <c r="L4" s="3">
        <f t="shared" ref="L4:L34" si="1">ROUND(SUM(K4,L3),0)</f>
        <v>700000</v>
      </c>
      <c r="N4">
        <v>1</v>
      </c>
      <c r="O4" t="s">
        <v>22</v>
      </c>
      <c r="P4" s="3">
        <v>80000000</v>
      </c>
      <c r="Q4" s="3">
        <f t="shared" ref="Q4:Q21" si="2">SUM(P4,Q3)</f>
        <v>80000000</v>
      </c>
      <c r="R4" s="3">
        <f>SUMIF($AC$3:AC30000,Cost5[[#This Row],[Date]],$AA$3:AA3:AA30000)</f>
        <v>0</v>
      </c>
      <c r="S4" s="3">
        <f>Cost5[[#This Row],[Cost]]-Cost5[[#This Row],[Total]]</f>
        <v>80000000</v>
      </c>
      <c r="T4" s="8">
        <f>IF(Cost5[[#This Row],[Rmaind]]&gt;0,Cost5[[#This Row],[Total]]/Cost5[[#This Row],[Cost]],0)</f>
        <v>0</v>
      </c>
      <c r="U4" t="s">
        <v>5</v>
      </c>
      <c r="V4" s="3">
        <f>SUM(Cost5[Cost])</f>
        <v>2401876758</v>
      </c>
      <c r="Y4" s="6" t="str">
        <f t="shared" ref="Y4:Y38" si="3">IF(Z4&gt;0, "طلبکار", IF(Z4&lt;0,"بدهکار","-"))</f>
        <v>طلبکار</v>
      </c>
      <c r="Z4" s="3">
        <f t="shared" ref="Z4:Z30" si="4">Z3-AA4</f>
        <v>37073550</v>
      </c>
      <c r="AA4" s="3">
        <v>2600000</v>
      </c>
      <c r="AB4" s="3" t="str">
        <f>IFERROR((VLOOKUP(AC4,Cost5[[Date]:[name ]],2,FALSE)),"-")</f>
        <v>لباس خوب</v>
      </c>
      <c r="AC4" s="3">
        <v>6</v>
      </c>
      <c r="AD4" t="s">
        <v>51</v>
      </c>
      <c r="AE4" t="s">
        <v>58</v>
      </c>
      <c r="AF4">
        <v>14010729</v>
      </c>
      <c r="AG4">
        <v>2</v>
      </c>
    </row>
    <row r="5" spans="3:33" x14ac:dyDescent="0.25">
      <c r="C5" s="1"/>
      <c r="D5" s="7">
        <v>7</v>
      </c>
      <c r="E5" s="1">
        <v>44826</v>
      </c>
      <c r="F5" t="s">
        <v>26</v>
      </c>
      <c r="G5" t="s">
        <v>38</v>
      </c>
      <c r="H5" s="3">
        <v>12000</v>
      </c>
      <c r="I5" s="2">
        <f ca="1">IF(COUNTA(Incoming4[[#This Row],[Date]])&gt;0,TODAY()-E5,0)</f>
        <v>39</v>
      </c>
      <c r="J5">
        <v>556.66665999999998</v>
      </c>
      <c r="K5" s="3">
        <f t="shared" si="0"/>
        <v>6680000</v>
      </c>
      <c r="L5" s="3">
        <f t="shared" si="1"/>
        <v>7380000</v>
      </c>
      <c r="N5">
        <v>2</v>
      </c>
      <c r="O5" t="s">
        <v>27</v>
      </c>
      <c r="P5" s="3">
        <v>1800000</v>
      </c>
      <c r="Q5" s="3">
        <f t="shared" si="2"/>
        <v>81800000</v>
      </c>
      <c r="R5" s="3">
        <f>SUMIF($AC$3:AC30001,Cost5[[#This Row],[Date]],$AA$3:AA4:AA30001)</f>
        <v>0</v>
      </c>
      <c r="S5" s="3">
        <f>Cost5[[#This Row],[Cost]]-Cost5[[#This Row],[Total]]</f>
        <v>1800000</v>
      </c>
      <c r="T5" s="8">
        <f>IF(Cost5[[#This Row],[Rmaind]]&gt;0,Cost5[[#This Row],[Total]]/Cost5[[#This Row],[Cost]],0)</f>
        <v>0</v>
      </c>
      <c r="U5" t="s">
        <v>13</v>
      </c>
      <c r="V5" s="3">
        <f>V3-V4</f>
        <v>-2361403208</v>
      </c>
      <c r="Y5" s="6" t="str">
        <f t="shared" si="3"/>
        <v>طلبکار</v>
      </c>
      <c r="Z5" s="3">
        <f t="shared" si="4"/>
        <v>33273550</v>
      </c>
      <c r="AA5" s="3">
        <v>3800000</v>
      </c>
      <c r="AB5" s="3" t="str">
        <f>IFERROR((VLOOKUP(AC5,Cost5[[Date]:[name ]],2,FALSE)),"-")</f>
        <v>لباس خوب</v>
      </c>
      <c r="AC5" s="3">
        <v>6</v>
      </c>
      <c r="AD5" t="s">
        <v>52</v>
      </c>
      <c r="AE5" t="s">
        <v>58</v>
      </c>
      <c r="AF5">
        <v>14010729</v>
      </c>
      <c r="AG5">
        <v>3</v>
      </c>
    </row>
    <row r="6" spans="3:33" x14ac:dyDescent="0.25">
      <c r="C6" s="1"/>
      <c r="D6" s="7">
        <v>8</v>
      </c>
      <c r="E6" s="1">
        <v>44826</v>
      </c>
      <c r="F6" t="s">
        <v>26</v>
      </c>
      <c r="G6" t="s">
        <v>39</v>
      </c>
      <c r="H6" s="3">
        <v>12000</v>
      </c>
      <c r="I6" s="2">
        <f ca="1">IF(COUNTA(Incoming4[[#This Row],[Date]])&gt;0,TODAY()-E6,0)</f>
        <v>39</v>
      </c>
      <c r="J6">
        <v>556.66665999999998</v>
      </c>
      <c r="K6" s="3">
        <f t="shared" si="0"/>
        <v>6680000</v>
      </c>
      <c r="L6" s="3">
        <f t="shared" si="1"/>
        <v>14060000</v>
      </c>
      <c r="N6">
        <v>3</v>
      </c>
      <c r="O6" t="s">
        <v>28</v>
      </c>
      <c r="P6" s="3">
        <v>1400000</v>
      </c>
      <c r="Q6" s="3">
        <f t="shared" si="2"/>
        <v>83200000</v>
      </c>
      <c r="R6" s="3">
        <f>SUMIF($AC$3:AC30002,Cost5[[#This Row],[Date]],$AA$3:AA5:AA30002)</f>
        <v>0</v>
      </c>
      <c r="S6" s="3">
        <f>Cost5[[#This Row],[Cost]]-Cost5[[#This Row],[Total]]</f>
        <v>1400000</v>
      </c>
      <c r="T6" s="8">
        <f>IF(Cost5[[#This Row],[Rmaind]]&gt;0,Cost5[[#This Row],[Total]]/Cost5[[#This Row],[Cost]],0)</f>
        <v>0</v>
      </c>
      <c r="U6" t="s">
        <v>3</v>
      </c>
      <c r="V6" s="5">
        <f>V3/V4</f>
        <v>1.6850802134286691E-2</v>
      </c>
      <c r="Y6" s="6" t="str">
        <f t="shared" si="3"/>
        <v>طلبکار</v>
      </c>
      <c r="Z6" s="3">
        <f t="shared" si="4"/>
        <v>31073550</v>
      </c>
      <c r="AA6" s="3">
        <v>2200000</v>
      </c>
      <c r="AB6" s="3" t="str">
        <f>IFERROR((VLOOKUP(AC6,Cost5[[Date]:[name ]],2,FALSE)),"-")</f>
        <v>بهینه سازی ماشین</v>
      </c>
      <c r="AC6" s="3">
        <v>13</v>
      </c>
      <c r="AD6" t="s">
        <v>53</v>
      </c>
      <c r="AE6" t="s">
        <v>58</v>
      </c>
      <c r="AF6">
        <v>14010729</v>
      </c>
      <c r="AG6">
        <v>4</v>
      </c>
    </row>
    <row r="7" spans="3:33" x14ac:dyDescent="0.25">
      <c r="C7" s="1"/>
      <c r="D7" s="7">
        <v>9</v>
      </c>
      <c r="E7" s="1">
        <v>44824</v>
      </c>
      <c r="F7" t="s">
        <v>26</v>
      </c>
      <c r="G7" t="s">
        <v>40</v>
      </c>
      <c r="H7" s="3">
        <v>750</v>
      </c>
      <c r="I7" s="2">
        <f ca="1">IF(COUNTA(Incoming4[[#This Row],[Date]])&gt;0,TODAY()-E7,0)</f>
        <v>41</v>
      </c>
      <c r="J7">
        <v>400</v>
      </c>
      <c r="K7" s="3">
        <f t="shared" si="0"/>
        <v>300000</v>
      </c>
      <c r="L7" s="3">
        <f t="shared" si="1"/>
        <v>14360000</v>
      </c>
      <c r="N7">
        <v>4</v>
      </c>
      <c r="O7" t="s">
        <v>94</v>
      </c>
      <c r="P7" s="3">
        <v>1500000</v>
      </c>
      <c r="Q7" s="3">
        <f t="shared" si="2"/>
        <v>84700000</v>
      </c>
      <c r="R7" s="3">
        <f>SUMIF($AC$3:AC30003,Cost5[[#This Row],[Date]],$AA$3:AA6:AA30003)</f>
        <v>0</v>
      </c>
      <c r="S7" s="3">
        <f>Cost5[[#This Row],[Cost]]-Cost5[[#This Row],[Total]]</f>
        <v>1500000</v>
      </c>
      <c r="T7" s="8">
        <f>IF(Cost5[[#This Row],[Rmaind]]&gt;0,Cost5[[#This Row],[Total]]/Cost5[[#This Row],[Cost]],0)</f>
        <v>0</v>
      </c>
      <c r="Y7" s="6" t="str">
        <f t="shared" si="3"/>
        <v>طلبکار</v>
      </c>
      <c r="Z7" s="3">
        <f t="shared" si="4"/>
        <v>30173550</v>
      </c>
      <c r="AA7" s="3">
        <v>900000</v>
      </c>
      <c r="AB7" s="3" t="str">
        <f>IFERROR((VLOOKUP(AC7,Cost5[[Date]:[name ]],2,FALSE)),"-")</f>
        <v>خرج خودم</v>
      </c>
      <c r="AC7" s="3">
        <v>12</v>
      </c>
      <c r="AD7" t="s">
        <v>54</v>
      </c>
      <c r="AE7" t="s">
        <v>57</v>
      </c>
      <c r="AF7">
        <v>14010730</v>
      </c>
      <c r="AG7">
        <v>5</v>
      </c>
    </row>
    <row r="8" spans="3:33" x14ac:dyDescent="0.25">
      <c r="C8" s="1"/>
      <c r="D8" s="7">
        <v>10</v>
      </c>
      <c r="E8" s="1">
        <v>44824</v>
      </c>
      <c r="F8" t="s">
        <v>26</v>
      </c>
      <c r="G8" t="s">
        <v>41</v>
      </c>
      <c r="H8" s="3">
        <v>750</v>
      </c>
      <c r="I8" s="2">
        <f ca="1">IF(COUNTA(Incoming4[[#This Row],[Date]])&gt;0,TODAY()-E8,0)</f>
        <v>41</v>
      </c>
      <c r="J8">
        <v>400</v>
      </c>
      <c r="K8" s="3">
        <f t="shared" si="0"/>
        <v>300000</v>
      </c>
      <c r="L8" s="3">
        <f t="shared" si="1"/>
        <v>14660000</v>
      </c>
      <c r="N8">
        <v>5</v>
      </c>
      <c r="O8" t="s">
        <v>29</v>
      </c>
      <c r="P8" s="3">
        <v>6000000</v>
      </c>
      <c r="Q8" s="3">
        <f t="shared" si="2"/>
        <v>90700000</v>
      </c>
      <c r="R8" s="3">
        <f>SUMIF($AC$3:AC30004,Cost5[[#This Row],[Date]],$AA$3:AA7:AA30004)</f>
        <v>0</v>
      </c>
      <c r="S8" s="3">
        <f>Cost5[[#This Row],[Cost]]-Cost5[[#This Row],[Total]]</f>
        <v>6000000</v>
      </c>
      <c r="T8" s="8">
        <f>IF(Cost5[[#This Row],[Rmaind]]&gt;0,Cost5[[#This Row],[Total]]/Cost5[[#This Row],[Cost]],0)</f>
        <v>0</v>
      </c>
      <c r="Y8" s="6" t="str">
        <f t="shared" si="3"/>
        <v>طلبکار</v>
      </c>
      <c r="Z8" s="3">
        <f t="shared" si="4"/>
        <v>29863550</v>
      </c>
      <c r="AA8" s="3">
        <v>310000</v>
      </c>
      <c r="AB8" s="3" t="str">
        <f>IFERROR((VLOOKUP(AC8,Cost5[[Date]:[name ]],2,FALSE)),"-")</f>
        <v>خرج خودم</v>
      </c>
      <c r="AC8" s="3">
        <v>12</v>
      </c>
      <c r="AD8" t="s">
        <v>55</v>
      </c>
      <c r="AE8" t="s">
        <v>57</v>
      </c>
      <c r="AF8">
        <v>14010730</v>
      </c>
      <c r="AG8">
        <v>6</v>
      </c>
    </row>
    <row r="9" spans="3:33" x14ac:dyDescent="0.25">
      <c r="C9" s="1"/>
      <c r="D9" s="7">
        <v>11</v>
      </c>
      <c r="E9" s="1">
        <v>44820</v>
      </c>
      <c r="F9" t="s">
        <v>26</v>
      </c>
      <c r="G9" t="s">
        <v>42</v>
      </c>
      <c r="H9" s="3">
        <v>20000</v>
      </c>
      <c r="I9" s="2">
        <f ca="1">IF(COUNTA(Incoming4[[#This Row],[Date]])&gt;0,TODAY()-E9,0)</f>
        <v>45</v>
      </c>
      <c r="J9">
        <v>388</v>
      </c>
      <c r="K9" s="3">
        <f t="shared" si="0"/>
        <v>7760000</v>
      </c>
      <c r="L9" s="3">
        <f t="shared" si="1"/>
        <v>22420000</v>
      </c>
      <c r="N9">
        <v>6</v>
      </c>
      <c r="O9" t="s">
        <v>30</v>
      </c>
      <c r="P9" s="3">
        <v>50000000</v>
      </c>
      <c r="Q9" s="3">
        <f t="shared" si="2"/>
        <v>140700000</v>
      </c>
      <c r="R9" s="3">
        <f>SUMIF($AC$3:AC30005,Cost5[[#This Row],[Date]],$AA$3:AA8:AA30005)</f>
        <v>6400000</v>
      </c>
      <c r="S9" s="3">
        <f>Cost5[[#This Row],[Cost]]-Cost5[[#This Row],[Total]]</f>
        <v>43600000</v>
      </c>
      <c r="T9" s="8">
        <f>IF(Cost5[[#This Row],[Rmaind]]&gt;0,Cost5[[#This Row],[Total]]/Cost5[[#This Row],[Cost]],0)</f>
        <v>0.128</v>
      </c>
      <c r="Y9" s="6" t="str">
        <f t="shared" si="3"/>
        <v>طلبکار</v>
      </c>
      <c r="Z9" s="3">
        <f t="shared" si="4"/>
        <v>29463550</v>
      </c>
      <c r="AA9" s="3">
        <v>400000</v>
      </c>
      <c r="AB9" s="3" t="str">
        <f>IFERROR((VLOOKUP(AC9,Cost5[[Date]:[name ]],2,FALSE)),"-")</f>
        <v>خرج خودم</v>
      </c>
      <c r="AC9" s="3">
        <v>12</v>
      </c>
      <c r="AD9" t="s">
        <v>56</v>
      </c>
      <c r="AE9" t="s">
        <v>57</v>
      </c>
      <c r="AF9">
        <v>14010730</v>
      </c>
      <c r="AG9">
        <v>7</v>
      </c>
    </row>
    <row r="10" spans="3:33" x14ac:dyDescent="0.25">
      <c r="C10" s="1"/>
      <c r="D10" s="7">
        <v>1</v>
      </c>
      <c r="E10" s="1">
        <v>44844</v>
      </c>
      <c r="F10" s="1" t="s">
        <v>25</v>
      </c>
      <c r="G10" s="1" t="s">
        <v>33</v>
      </c>
      <c r="H10" s="3">
        <v>1534</v>
      </c>
      <c r="I10" s="2">
        <f ca="1">IF(COUNTA(Incoming4[[#This Row],[Date]])&gt;0,TODAY()-E10,0)</f>
        <v>21</v>
      </c>
      <c r="J10">
        <v>550</v>
      </c>
      <c r="K10" s="3">
        <f t="shared" si="0"/>
        <v>843700</v>
      </c>
      <c r="L10" s="3">
        <f t="shared" si="1"/>
        <v>23263700</v>
      </c>
      <c r="N10">
        <v>7</v>
      </c>
      <c r="O10" t="s">
        <v>31</v>
      </c>
      <c r="P10" s="3">
        <v>30000000</v>
      </c>
      <c r="Q10" s="3">
        <f t="shared" si="2"/>
        <v>170700000</v>
      </c>
      <c r="R10" s="3">
        <f>SUMIF($AC$3:AC30006,Cost5[[#This Row],[Date]],$AA$3:AA9:AA30006)</f>
        <v>0</v>
      </c>
      <c r="S10" s="3">
        <f>Cost5[[#This Row],[Cost]]-Cost5[[#This Row],[Total]]</f>
        <v>30000000</v>
      </c>
      <c r="T10" s="8">
        <f>IF(Cost5[[#This Row],[Rmaind]]&gt;0,Cost5[[#This Row],[Total]]/Cost5[[#This Row],[Cost]],0)</f>
        <v>0</v>
      </c>
      <c r="Y10" s="6" t="str">
        <f t="shared" si="3"/>
        <v>طلبکار</v>
      </c>
      <c r="Z10" s="3">
        <f t="shared" si="4"/>
        <v>29097550</v>
      </c>
      <c r="AA10" s="3">
        <v>366000</v>
      </c>
      <c r="AB10" s="3" t="str">
        <f>IFERROR((VLOOKUP(AC10,Cost5[[Date]:[name ]],2,FALSE)),"-")</f>
        <v>خرج خودم</v>
      </c>
      <c r="AC10" s="3">
        <v>12</v>
      </c>
      <c r="AD10" t="s">
        <v>59</v>
      </c>
      <c r="AE10" t="s">
        <v>57</v>
      </c>
      <c r="AF10">
        <v>14010730</v>
      </c>
      <c r="AG10">
        <v>8</v>
      </c>
    </row>
    <row r="11" spans="3:33" x14ac:dyDescent="0.25">
      <c r="C11" s="1"/>
      <c r="D11" s="7">
        <v>2</v>
      </c>
      <c r="E11" s="1">
        <v>44845</v>
      </c>
      <c r="F11" s="1" t="s">
        <v>25</v>
      </c>
      <c r="G11" s="1" t="s">
        <v>34</v>
      </c>
      <c r="H11" s="3">
        <v>1558</v>
      </c>
      <c r="I11" s="2">
        <f ca="1">IF(COUNTA(Incoming4[[#This Row],[Date]])&gt;0,TODAY()-E11,0)</f>
        <v>20</v>
      </c>
      <c r="J11">
        <v>550</v>
      </c>
      <c r="K11" s="3">
        <f t="shared" si="0"/>
        <v>856900</v>
      </c>
      <c r="L11" s="3">
        <f t="shared" si="1"/>
        <v>24120600</v>
      </c>
      <c r="N11">
        <v>8</v>
      </c>
      <c r="O11" t="s">
        <v>20</v>
      </c>
      <c r="P11" s="3">
        <v>50000000</v>
      </c>
      <c r="Q11" s="3">
        <f t="shared" si="2"/>
        <v>220700000</v>
      </c>
      <c r="R11" s="3">
        <f>SUMIF($AC$3:AC30007,Cost5[[#This Row],[Date]],$AA$3:AA10:AA30007)</f>
        <v>7006000</v>
      </c>
      <c r="S11" s="3">
        <f>Cost5[[#This Row],[Cost]]-Cost5[[#This Row],[Total]]</f>
        <v>42994000</v>
      </c>
      <c r="T11" s="8">
        <f>IF(Cost5[[#This Row],[Rmaind]]&gt;0,Cost5[[#This Row],[Total]]/Cost5[[#This Row],[Cost]],0)</f>
        <v>0.14011999999999999</v>
      </c>
      <c r="Y11" s="6" t="str">
        <f t="shared" si="3"/>
        <v>طلبکار</v>
      </c>
      <c r="Z11" s="3">
        <f t="shared" si="4"/>
        <v>28851550</v>
      </c>
      <c r="AA11" s="3">
        <v>246000</v>
      </c>
      <c r="AB11" s="3" t="str">
        <f>IFERROR((VLOOKUP(AC11,Cost5[[Date]:[name ]],2,FALSE)),"-")</f>
        <v>خرج خودم</v>
      </c>
      <c r="AC11" s="3">
        <v>12</v>
      </c>
      <c r="AD11" t="s">
        <v>60</v>
      </c>
      <c r="AE11" t="s">
        <v>57</v>
      </c>
      <c r="AF11">
        <v>14010730</v>
      </c>
      <c r="AG11">
        <v>9</v>
      </c>
    </row>
    <row r="12" spans="3:33" x14ac:dyDescent="0.25">
      <c r="C12" s="1"/>
      <c r="D12" s="7">
        <v>3</v>
      </c>
      <c r="E12" s="1">
        <v>44846</v>
      </c>
      <c r="F12" s="1" t="s">
        <v>25</v>
      </c>
      <c r="G12" s="1" t="s">
        <v>35</v>
      </c>
      <c r="H12" s="3">
        <v>1536</v>
      </c>
      <c r="I12" s="2">
        <f ca="1">IF(COUNTA(Incoming4[[#This Row],[Date]])&gt;0,TODAY()-E12,0)</f>
        <v>19</v>
      </c>
      <c r="J12">
        <v>550</v>
      </c>
      <c r="K12" s="3">
        <f t="shared" si="0"/>
        <v>844800</v>
      </c>
      <c r="L12" s="3">
        <f t="shared" si="1"/>
        <v>24965400</v>
      </c>
      <c r="N12">
        <v>9</v>
      </c>
      <c r="O12" t="s">
        <v>19</v>
      </c>
      <c r="P12" s="3">
        <v>204342734</v>
      </c>
      <c r="Q12" s="3">
        <f t="shared" si="2"/>
        <v>425042734</v>
      </c>
      <c r="R12" s="3">
        <f>SUMIF($AC$3:AC30008,Cost5[[#This Row],[Date]],$AA$3:AA11:AA30008)</f>
        <v>0</v>
      </c>
      <c r="S12" s="3">
        <f>Cost5[[#This Row],[Cost]]-Cost5[[#This Row],[Total]]</f>
        <v>204342734</v>
      </c>
      <c r="T12" s="8">
        <f>IF(Cost5[[#This Row],[Rmaind]]&gt;0,Cost5[[#This Row],[Total]]/Cost5[[#This Row],[Cost]],0)</f>
        <v>0</v>
      </c>
      <c r="Y12" s="6" t="str">
        <f t="shared" si="3"/>
        <v>طلبکار</v>
      </c>
      <c r="Z12" s="3">
        <f t="shared" si="4"/>
        <v>23851550</v>
      </c>
      <c r="AA12" s="3">
        <v>5000000</v>
      </c>
      <c r="AB12" s="3" t="str">
        <f>IFERROR((VLOOKUP(AC12,Cost5[[Date]:[name ]],2,FALSE)),"-")</f>
        <v>خانه</v>
      </c>
      <c r="AC12" s="3">
        <v>15</v>
      </c>
      <c r="AD12" t="s">
        <v>65</v>
      </c>
      <c r="AE12" t="s">
        <v>64</v>
      </c>
      <c r="AF12">
        <v>14010801</v>
      </c>
      <c r="AG12">
        <v>10</v>
      </c>
    </row>
    <row r="13" spans="3:33" x14ac:dyDescent="0.25">
      <c r="C13" s="1"/>
      <c r="D13" s="7">
        <v>4</v>
      </c>
      <c r="E13" s="1">
        <v>44847</v>
      </c>
      <c r="F13" s="1" t="s">
        <v>25</v>
      </c>
      <c r="G13" s="1" t="s">
        <v>36</v>
      </c>
      <c r="H13" s="3">
        <v>1494</v>
      </c>
      <c r="I13" s="2">
        <f ca="1">IF(COUNTA(Incoming4[[#This Row],[Date]])&gt;0,TODAY()-E13,0)</f>
        <v>18</v>
      </c>
      <c r="J13">
        <v>550</v>
      </c>
      <c r="K13" s="3">
        <f t="shared" si="0"/>
        <v>821700</v>
      </c>
      <c r="L13" s="3">
        <f t="shared" si="1"/>
        <v>25787100</v>
      </c>
      <c r="N13">
        <v>10</v>
      </c>
      <c r="O13" t="s">
        <v>21</v>
      </c>
      <c r="P13" s="3">
        <v>494610000</v>
      </c>
      <c r="Q13" s="3">
        <f t="shared" si="2"/>
        <v>919652734</v>
      </c>
      <c r="R13" s="3">
        <f>SUMIF($AC$3:AC30009,Cost5[[#This Row],[Date]],$AA$3:AA12:AA30009)</f>
        <v>0</v>
      </c>
      <c r="S13" s="3">
        <f>Cost5[[#This Row],[Cost]]-Cost5[[#This Row],[Total]]</f>
        <v>494610000</v>
      </c>
      <c r="T13" s="8">
        <f>IF(Cost5[[#This Row],[Rmaind]]&gt;0,Cost5[[#This Row],[Total]]/Cost5[[#This Row],[Cost]],0)</f>
        <v>0</v>
      </c>
      <c r="Y13" s="6" t="str">
        <f t="shared" si="3"/>
        <v>طلبکار</v>
      </c>
      <c r="Z13" s="3">
        <f t="shared" si="4"/>
        <v>23711550</v>
      </c>
      <c r="AA13" s="3">
        <v>140000</v>
      </c>
      <c r="AB13" s="3" t="str">
        <f>IFERROR((VLOOKUP(AC13,Cost5[[Date]:[name ]],2,FALSE)),"-")</f>
        <v>خرج خودم</v>
      </c>
      <c r="AC13" s="3">
        <v>12</v>
      </c>
      <c r="AD13" t="s">
        <v>66</v>
      </c>
      <c r="AE13" t="s">
        <v>64</v>
      </c>
      <c r="AF13">
        <v>14010801</v>
      </c>
      <c r="AG13">
        <v>11</v>
      </c>
    </row>
    <row r="14" spans="3:33" x14ac:dyDescent="0.25">
      <c r="C14" s="1"/>
      <c r="D14" s="7">
        <v>5</v>
      </c>
      <c r="E14" s="1">
        <v>44848</v>
      </c>
      <c r="F14" s="1" t="s">
        <v>25</v>
      </c>
      <c r="G14" s="1" t="s">
        <v>32</v>
      </c>
      <c r="H14" s="3">
        <v>1681</v>
      </c>
      <c r="I14" s="2">
        <f ca="1">IF(COUNTA(Incoming4[[#This Row],[Date]])&gt;0,TODAY()-E14,0)</f>
        <v>17</v>
      </c>
      <c r="J14">
        <v>550</v>
      </c>
      <c r="K14" s="3">
        <f t="shared" si="0"/>
        <v>924550</v>
      </c>
      <c r="L14" s="3">
        <f t="shared" si="1"/>
        <v>26711650</v>
      </c>
      <c r="N14">
        <v>11</v>
      </c>
      <c r="O14" t="s">
        <v>74</v>
      </c>
      <c r="P14" s="3">
        <v>182224024</v>
      </c>
      <c r="Q14" s="3">
        <f t="shared" si="2"/>
        <v>1101876758</v>
      </c>
      <c r="R14" s="3">
        <f>SUMIF($AC$3:AC30010,Cost5[[#This Row],[Date]],$AA$3:AA13:AA30010)</f>
        <v>2900000</v>
      </c>
      <c r="S14" s="3">
        <f>Cost5[[#This Row],[Cost]]-Cost5[[#This Row],[Total]]</f>
        <v>179324024</v>
      </c>
      <c r="T14" s="8">
        <f>IF(Cost5[[#This Row],[Rmaind]]&gt;0,Cost5[[#This Row],[Total]]/Cost5[[#This Row],[Cost]],0)</f>
        <v>1.5914476787100257E-2</v>
      </c>
      <c r="Y14" s="6" t="str">
        <f t="shared" si="3"/>
        <v>طلبکار</v>
      </c>
      <c r="Z14" s="3">
        <f t="shared" si="4"/>
        <v>20711550</v>
      </c>
      <c r="AA14" s="3">
        <v>3000000</v>
      </c>
      <c r="AB14" s="3" t="str">
        <f>IFERROR((VLOOKUP(AC14,Cost5[[Date]:[name ]],2,FALSE)),"-")</f>
        <v>محمود ذکایی</v>
      </c>
      <c r="AC14" s="3">
        <v>8</v>
      </c>
      <c r="AD14" t="s">
        <v>67</v>
      </c>
      <c r="AE14" t="s">
        <v>64</v>
      </c>
      <c r="AF14">
        <v>14010801</v>
      </c>
      <c r="AG14">
        <v>12</v>
      </c>
    </row>
    <row r="15" spans="3:33" x14ac:dyDescent="0.25">
      <c r="C15" s="1"/>
      <c r="D15" s="7">
        <v>12</v>
      </c>
      <c r="E15" s="1">
        <v>44849</v>
      </c>
      <c r="F15" t="s">
        <v>25</v>
      </c>
      <c r="G15" t="s">
        <v>43</v>
      </c>
      <c r="H15" s="3">
        <v>1657</v>
      </c>
      <c r="I15" s="2">
        <f ca="1">IF(COUNTA(Incoming4[[#This Row],[Date]])&gt;0,TODAY()-E15,0)</f>
        <v>16</v>
      </c>
      <c r="J15">
        <v>550</v>
      </c>
      <c r="K15" s="3">
        <f t="shared" si="0"/>
        <v>911350</v>
      </c>
      <c r="L15" s="3">
        <f t="shared" si="1"/>
        <v>27623000</v>
      </c>
      <c r="N15">
        <v>12</v>
      </c>
      <c r="O15" t="s">
        <v>71</v>
      </c>
      <c r="P15" s="3">
        <v>50000000</v>
      </c>
      <c r="Q15" s="3">
        <f t="shared" si="2"/>
        <v>1151876758</v>
      </c>
      <c r="R15" s="3">
        <f>SUMIF($AC$3:AC30011,Cost5[[#This Row],[Date]],$AA$3:AA14:AA30011)</f>
        <v>6273000</v>
      </c>
      <c r="S15" s="3">
        <f>Cost5[[#This Row],[Cost]]-Cost5[[#This Row],[Total]]</f>
        <v>43727000</v>
      </c>
      <c r="T15" s="8">
        <f>IF(Cost5[[#This Row],[Rmaind]]&gt;0,Cost5[[#This Row],[Total]]/Cost5[[#This Row],[Cost]],0)</f>
        <v>0.12545999999999999</v>
      </c>
      <c r="Y15" s="6" t="str">
        <f t="shared" si="3"/>
        <v>طلبکار</v>
      </c>
      <c r="Z15" s="3">
        <f t="shared" si="4"/>
        <v>20311550</v>
      </c>
      <c r="AA15" s="3">
        <v>400000</v>
      </c>
      <c r="AB15" s="3" t="str">
        <f>IFERROR((VLOOKUP(AC15,Cost5[[Date]:[name ]],2,FALSE)),"-")</f>
        <v>خرج خودم</v>
      </c>
      <c r="AC15" s="3">
        <v>12</v>
      </c>
      <c r="AD15" t="s">
        <v>85</v>
      </c>
      <c r="AE15" t="s">
        <v>58</v>
      </c>
      <c r="AF15">
        <v>14010805</v>
      </c>
      <c r="AG15">
        <v>13</v>
      </c>
    </row>
    <row r="16" spans="3:33" x14ac:dyDescent="0.25">
      <c r="D16" s="7">
        <v>13</v>
      </c>
      <c r="E16" s="1">
        <v>44856</v>
      </c>
      <c r="F16" t="s">
        <v>25</v>
      </c>
      <c r="G16" t="s">
        <v>63</v>
      </c>
      <c r="H16" s="3">
        <v>1829</v>
      </c>
      <c r="I16" s="2">
        <f ca="1">IF(COUNTA(Incoming4[[#This Row],[Date]])&gt;0,TODAY()-E16,0)</f>
        <v>9</v>
      </c>
      <c r="J16">
        <v>550</v>
      </c>
      <c r="K16" s="3">
        <f t="shared" si="0"/>
        <v>1005950</v>
      </c>
      <c r="L16" s="3">
        <f t="shared" si="1"/>
        <v>28628950</v>
      </c>
      <c r="N16">
        <v>13</v>
      </c>
      <c r="O16" t="s">
        <v>73</v>
      </c>
      <c r="P16" s="3">
        <v>200000000</v>
      </c>
      <c r="Q16" s="3">
        <f t="shared" si="2"/>
        <v>1351876758</v>
      </c>
      <c r="R16" s="3">
        <f>SUMIF($AC$3:AC30012,Cost5[[#This Row],[Date]],$AA$3:AA15:AA30012)</f>
        <v>2200000</v>
      </c>
      <c r="S16" s="3">
        <f>Cost5[[#This Row],[Cost]]-Cost5[[#This Row],[Total]]</f>
        <v>197800000</v>
      </c>
      <c r="T16" s="8">
        <f>IF(Cost5[[#This Row],[Rmaind]]&gt;0,Cost5[[#This Row],[Total]]/Cost5[[#This Row],[Cost]],0)</f>
        <v>1.0999999999999999E-2</v>
      </c>
      <c r="Y16" s="6" t="str">
        <f t="shared" si="3"/>
        <v>طلبکار</v>
      </c>
      <c r="Z16" s="3">
        <f t="shared" si="4"/>
        <v>19761550</v>
      </c>
      <c r="AA16" s="3">
        <v>550000</v>
      </c>
      <c r="AB16" s="3" t="str">
        <f>IFERROR((VLOOKUP(AC16,Cost5[[Date]:[name ]],2,FALSE)),"-")</f>
        <v>خرج خودم</v>
      </c>
      <c r="AC16" s="3">
        <v>12</v>
      </c>
      <c r="AD16" t="s">
        <v>86</v>
      </c>
      <c r="AE16" t="s">
        <v>58</v>
      </c>
      <c r="AF16">
        <v>14010805</v>
      </c>
      <c r="AG16">
        <v>14</v>
      </c>
    </row>
    <row r="17" spans="4:33" x14ac:dyDescent="0.25">
      <c r="D17" s="7">
        <v>14</v>
      </c>
      <c r="E17" s="1">
        <v>44857</v>
      </c>
      <c r="F17" t="s">
        <v>25</v>
      </c>
      <c r="G17" t="s">
        <v>76</v>
      </c>
      <c r="H17" s="3">
        <v>1834</v>
      </c>
      <c r="I17" s="2">
        <f ca="1">IF(COUNTA(Incoming4[[#This Row],[Date]])&gt;0,TODAY()-E17,0)</f>
        <v>8</v>
      </c>
      <c r="J17">
        <v>550</v>
      </c>
      <c r="K17" s="3">
        <f t="shared" si="0"/>
        <v>1008700</v>
      </c>
      <c r="L17" s="3">
        <f t="shared" si="1"/>
        <v>29637650</v>
      </c>
      <c r="N17">
        <v>14</v>
      </c>
      <c r="O17" t="s">
        <v>95</v>
      </c>
      <c r="P17" s="3">
        <v>50000000</v>
      </c>
      <c r="Q17" s="3">
        <f t="shared" si="2"/>
        <v>1401876758</v>
      </c>
      <c r="R17" s="3">
        <f>SUMIF($AC$3:AC30013,Cost5[[#This Row],[Date]],$AA$3:AA16:AA30013)</f>
        <v>3670000</v>
      </c>
      <c r="S17" s="3">
        <f>Cost5[[#This Row],[Cost]]-Cost5[[#This Row],[Total]]</f>
        <v>46330000</v>
      </c>
      <c r="T17" s="8">
        <f>IF(Cost5[[#This Row],[Rmaind]]&gt;0,Cost5[[#This Row],[Total]]/Cost5[[#This Row],[Cost]],0)</f>
        <v>7.3400000000000007E-2</v>
      </c>
      <c r="Y17" s="6" t="str">
        <f t="shared" si="3"/>
        <v>طلبکار</v>
      </c>
      <c r="Z17" s="3">
        <f t="shared" si="4"/>
        <v>19195550</v>
      </c>
      <c r="AA17" s="3">
        <v>566000</v>
      </c>
      <c r="AB17" s="3" t="str">
        <f>IFERROR((VLOOKUP(AC17,Cost5[[Date]:[name ]],2,FALSE)),"-")</f>
        <v>خرج خودم</v>
      </c>
      <c r="AC17" s="3">
        <v>12</v>
      </c>
      <c r="AD17" t="s">
        <v>87</v>
      </c>
      <c r="AE17" t="s">
        <v>58</v>
      </c>
      <c r="AF17">
        <v>14010805</v>
      </c>
      <c r="AG17">
        <v>15</v>
      </c>
    </row>
    <row r="18" spans="4:33" x14ac:dyDescent="0.25">
      <c r="D18" s="7">
        <v>15</v>
      </c>
      <c r="E18" s="1">
        <v>44858</v>
      </c>
      <c r="F18" t="s">
        <v>25</v>
      </c>
      <c r="G18" t="s">
        <v>77</v>
      </c>
      <c r="H18" s="3">
        <v>1745</v>
      </c>
      <c r="I18" s="2">
        <f ca="1">IF(COUNTA(Incoming4[[#This Row],[Date]])&gt;0,TODAY()-E18,0)</f>
        <v>7</v>
      </c>
      <c r="J18">
        <v>550</v>
      </c>
      <c r="K18" s="3">
        <f t="shared" si="0"/>
        <v>959750</v>
      </c>
      <c r="L18" s="3">
        <f t="shared" si="1"/>
        <v>30597400</v>
      </c>
      <c r="N18">
        <v>15</v>
      </c>
      <c r="O18" t="s">
        <v>98</v>
      </c>
      <c r="P18" s="3">
        <v>1000000000</v>
      </c>
      <c r="Q18" s="3">
        <f t="shared" si="2"/>
        <v>2401876758</v>
      </c>
      <c r="R18" s="3">
        <f>SUMIF($AC$3:AC30014,Cost5[[#This Row],[Date]],$AA$3:AA17:AA30014)</f>
        <v>5000000</v>
      </c>
      <c r="S18" s="3">
        <f>Cost5[[#This Row],[Cost]]-Cost5[[#This Row],[Total]]</f>
        <v>995000000</v>
      </c>
      <c r="T18" s="8">
        <f>IF(Cost5[[#This Row],[Rmaind]]&gt;0,Cost5[[#This Row],[Total]]/Cost5[[#This Row],[Cost]],0)</f>
        <v>5.0000000000000001E-3</v>
      </c>
      <c r="Y18" s="6" t="str">
        <f t="shared" si="3"/>
        <v>طلبکار</v>
      </c>
      <c r="Z18" s="3">
        <f t="shared" si="4"/>
        <v>18995550</v>
      </c>
      <c r="AA18" s="3">
        <v>200000</v>
      </c>
      <c r="AB18" s="3" t="str">
        <f>IFERROR((VLOOKUP(AC18,Cost5[[Date]:[name ]],2,FALSE)),"-")</f>
        <v>خرج خودم</v>
      </c>
      <c r="AC18" s="3">
        <v>12</v>
      </c>
      <c r="AD18" t="s">
        <v>66</v>
      </c>
      <c r="AE18" t="s">
        <v>58</v>
      </c>
      <c r="AF18">
        <v>14010805</v>
      </c>
      <c r="AG18">
        <v>16</v>
      </c>
    </row>
    <row r="19" spans="4:33" x14ac:dyDescent="0.25">
      <c r="D19" s="7">
        <v>16</v>
      </c>
      <c r="E19" s="1">
        <v>44858</v>
      </c>
      <c r="F19" t="s">
        <v>26</v>
      </c>
      <c r="G19" t="s">
        <v>78</v>
      </c>
      <c r="H19" s="3">
        <v>3750</v>
      </c>
      <c r="I19" s="2">
        <f ca="1">IF(COUNTA(Incoming4[[#This Row],[Date]])&gt;0,TODAY()-E19,0)</f>
        <v>7</v>
      </c>
      <c r="J19">
        <v>666.66665999999998</v>
      </c>
      <c r="K19" s="3">
        <f t="shared" si="0"/>
        <v>2500000</v>
      </c>
      <c r="L19" s="3">
        <f t="shared" si="1"/>
        <v>33097400</v>
      </c>
      <c r="N19">
        <v>16</v>
      </c>
      <c r="Q19" s="3">
        <f t="shared" si="2"/>
        <v>2401876758</v>
      </c>
      <c r="R19" s="3">
        <f>SUMIF($AC$3:AC30015,Cost5[[#This Row],[Date]],$AA$3:AA18:AA30015)</f>
        <v>0</v>
      </c>
      <c r="S19" s="3">
        <f>Cost5[[#This Row],[Cost]]-Cost5[[#This Row],[Total]]</f>
        <v>0</v>
      </c>
      <c r="T19" s="8">
        <f>IF(Cost5[[#This Row],[Rmaind]]&gt;0,Cost5[[#This Row],[Total]]/Cost5[[#This Row],[Cost]],0)</f>
        <v>0</v>
      </c>
      <c r="Y19" s="6" t="str">
        <f t="shared" si="3"/>
        <v>طلبکار</v>
      </c>
      <c r="Z19" s="3">
        <f t="shared" si="4"/>
        <v>16095550</v>
      </c>
      <c r="AA19" s="3">
        <v>2900000</v>
      </c>
      <c r="AB19" s="3" t="str">
        <f>IFERROR((VLOOKUP(AC19,Cost5[[Date]:[name ]],2,FALSE)),"-")</f>
        <v>نیلوفر خان احمدی / خانه</v>
      </c>
      <c r="AC19" s="3">
        <v>11</v>
      </c>
      <c r="AD19" t="s">
        <v>88</v>
      </c>
      <c r="AE19" t="s">
        <v>58</v>
      </c>
      <c r="AF19">
        <v>14010805</v>
      </c>
      <c r="AG19">
        <v>17</v>
      </c>
    </row>
    <row r="20" spans="4:33" x14ac:dyDescent="0.25">
      <c r="D20" s="7">
        <v>17</v>
      </c>
      <c r="E20" s="1">
        <v>44859</v>
      </c>
      <c r="F20" t="s">
        <v>25</v>
      </c>
      <c r="G20" t="s">
        <v>79</v>
      </c>
      <c r="H20" s="3">
        <v>1670</v>
      </c>
      <c r="I20" s="2">
        <f ca="1">IF(COUNTA(Incoming4[[#This Row],[Date]])&gt;0,TODAY()-E20,0)</f>
        <v>6</v>
      </c>
      <c r="J20">
        <v>550</v>
      </c>
      <c r="K20" s="3">
        <f t="shared" si="0"/>
        <v>918500</v>
      </c>
      <c r="L20" s="3">
        <f t="shared" si="1"/>
        <v>34015900</v>
      </c>
      <c r="N20">
        <v>17</v>
      </c>
      <c r="Q20" s="3">
        <f t="shared" si="2"/>
        <v>2401876758</v>
      </c>
      <c r="R20" s="3">
        <f>SUMIF($AC$3:AC30016,Cost5[[#This Row],[Date]],$AA$3:AA19:AA30016)</f>
        <v>0</v>
      </c>
      <c r="S20" s="3">
        <f>Cost5[[#This Row],[Cost]]-Cost5[[#This Row],[Total]]</f>
        <v>0</v>
      </c>
      <c r="T20" s="8">
        <f>IF(Cost5[[#This Row],[Rmaind]]&gt;0,Cost5[[#This Row],[Total]]/Cost5[[#This Row],[Cost]],0)</f>
        <v>0</v>
      </c>
      <c r="Y20" s="6" t="str">
        <f t="shared" si="3"/>
        <v>طلبکار</v>
      </c>
      <c r="Z20" s="3">
        <f t="shared" si="4"/>
        <v>15844550</v>
      </c>
      <c r="AA20" s="3">
        <v>251000</v>
      </c>
      <c r="AB20" s="3" t="str">
        <f>IFERROR((VLOOKUP(AC20,Cost5[[Date]:[name ]],2,FALSE)),"-")</f>
        <v>خرج خودم</v>
      </c>
      <c r="AC20" s="3">
        <v>12</v>
      </c>
      <c r="AD20" t="s">
        <v>89</v>
      </c>
      <c r="AE20" t="s">
        <v>58</v>
      </c>
      <c r="AF20">
        <v>14010805</v>
      </c>
      <c r="AG20">
        <v>18</v>
      </c>
    </row>
    <row r="21" spans="4:33" x14ac:dyDescent="0.25">
      <c r="D21" s="7">
        <v>18</v>
      </c>
      <c r="E21" s="1">
        <v>44860</v>
      </c>
      <c r="F21" t="s">
        <v>26</v>
      </c>
      <c r="G21" t="s">
        <v>80</v>
      </c>
      <c r="H21" s="3">
        <v>424</v>
      </c>
      <c r="I21" s="2">
        <f ca="1">IF(COUNTA(Incoming4[[#This Row],[Date]])&gt;0,TODAY()-E21,0)</f>
        <v>5</v>
      </c>
      <c r="J21">
        <v>801.88599999999997</v>
      </c>
      <c r="K21" s="3">
        <f t="shared" si="0"/>
        <v>340000</v>
      </c>
      <c r="L21" s="3">
        <f>ROUND(SUM(K21,L20),0)</f>
        <v>34355900</v>
      </c>
      <c r="N21">
        <v>18</v>
      </c>
      <c r="Q21" s="3">
        <f t="shared" si="2"/>
        <v>2401876758</v>
      </c>
      <c r="R21" s="3">
        <f>SUMIF($AC$3:AC30017,Cost5[[#This Row],[Date]],$AA$3:AA20:AA30017)</f>
        <v>0</v>
      </c>
      <c r="S21" s="3">
        <f>Cost5[[#This Row],[Cost]]-Cost5[[#This Row],[Total]]</f>
        <v>0</v>
      </c>
      <c r="T21" s="8">
        <f>IF(Cost5[[#This Row],[Rmaind]]&gt;0,Cost5[[#This Row],[Total]]/Cost5[[#This Row],[Cost]],0)</f>
        <v>0</v>
      </c>
      <c r="Y21" s="6" t="str">
        <f t="shared" si="3"/>
        <v>طلبکار</v>
      </c>
      <c r="Z21" s="3">
        <f t="shared" si="4"/>
        <v>11844550</v>
      </c>
      <c r="AA21" s="3">
        <v>4000000</v>
      </c>
      <c r="AB21" s="3" t="str">
        <f>IFERROR((VLOOKUP(AC21,Cost5[[Date]:[name ]],2,FALSE)),"-")</f>
        <v>محمود ذکایی</v>
      </c>
      <c r="AC21" s="3">
        <v>8</v>
      </c>
      <c r="AD21" t="s">
        <v>90</v>
      </c>
      <c r="AE21" t="s">
        <v>58</v>
      </c>
      <c r="AF21">
        <v>14010805</v>
      </c>
      <c r="AG21">
        <v>19</v>
      </c>
    </row>
    <row r="22" spans="4:33" x14ac:dyDescent="0.25">
      <c r="D22" s="7">
        <v>19</v>
      </c>
      <c r="E22" s="1">
        <v>44860</v>
      </c>
      <c r="F22" t="s">
        <v>26</v>
      </c>
      <c r="G22" t="s">
        <v>81</v>
      </c>
      <c r="H22" s="3">
        <v>353</v>
      </c>
      <c r="I22" s="2">
        <f ca="1">IF(COUNTA(Incoming4[[#This Row],[Date]])&gt;0,TODAY()-E22,0)</f>
        <v>5</v>
      </c>
      <c r="J22" s="9">
        <v>1218.1300000000001</v>
      </c>
      <c r="K22" s="3">
        <f>ROUND((H22*J22),0)</f>
        <v>430000</v>
      </c>
      <c r="L22" s="3">
        <f t="shared" si="1"/>
        <v>34785900</v>
      </c>
      <c r="Y22" s="6" t="str">
        <f t="shared" si="3"/>
        <v>طلبکار</v>
      </c>
      <c r="Z22" s="3">
        <f t="shared" si="4"/>
        <v>11838550</v>
      </c>
      <c r="AA22" s="3">
        <v>6000</v>
      </c>
      <c r="AB22" s="3" t="str">
        <f>IFERROR((VLOOKUP(AC22,Cost5[[Date]:[name ]],2,FALSE)),"-")</f>
        <v>محمود ذکایی</v>
      </c>
      <c r="AC22" s="3">
        <v>8</v>
      </c>
      <c r="AD22" t="s">
        <v>90</v>
      </c>
      <c r="AE22" t="s">
        <v>58</v>
      </c>
      <c r="AF22">
        <v>14010805</v>
      </c>
      <c r="AG22">
        <v>20</v>
      </c>
    </row>
    <row r="23" spans="4:33" x14ac:dyDescent="0.25">
      <c r="D23" s="7">
        <v>20</v>
      </c>
      <c r="E23" s="1">
        <v>44862</v>
      </c>
      <c r="F23" t="s">
        <v>26</v>
      </c>
      <c r="G23" t="s">
        <v>82</v>
      </c>
      <c r="H23" s="3">
        <v>1000</v>
      </c>
      <c r="I23" s="2">
        <f ca="1">IF(COUNTA(Incoming4[[#This Row],[Date]])&gt;0,TODAY()-E23,0)</f>
        <v>3</v>
      </c>
      <c r="J23" s="9">
        <v>830</v>
      </c>
      <c r="K23" s="3">
        <f t="shared" ref="K23:K34" si="5">ROUND((H23*J23),0)</f>
        <v>830000</v>
      </c>
      <c r="L23" s="3">
        <f t="shared" si="1"/>
        <v>35615900</v>
      </c>
      <c r="Y23" s="6" t="str">
        <f t="shared" si="3"/>
        <v>طلبکار</v>
      </c>
      <c r="Z23" s="3">
        <f t="shared" si="4"/>
        <v>11788550</v>
      </c>
      <c r="AA23" s="3">
        <v>50000</v>
      </c>
      <c r="AB23" s="3" t="str">
        <f>IFERROR((VLOOKUP(AC23,Cost5[[Date]:[name ]],2,FALSE)),"-")</f>
        <v>خرج خودم</v>
      </c>
      <c r="AC23" s="3">
        <v>12</v>
      </c>
      <c r="AD23" t="s">
        <v>91</v>
      </c>
      <c r="AE23" t="s">
        <v>58</v>
      </c>
      <c r="AF23">
        <v>14010805</v>
      </c>
      <c r="AG23">
        <v>21</v>
      </c>
    </row>
    <row r="24" spans="4:33" x14ac:dyDescent="0.25">
      <c r="D24" s="7">
        <v>21</v>
      </c>
      <c r="E24" s="1">
        <v>44862</v>
      </c>
      <c r="F24" t="s">
        <v>26</v>
      </c>
      <c r="G24" t="s">
        <v>83</v>
      </c>
      <c r="H24" s="3">
        <v>750</v>
      </c>
      <c r="I24" s="2">
        <f ca="1">IF(COUNTA(Incoming4[[#This Row],[Date]])&gt;0,TODAY()-E24,0)</f>
        <v>3</v>
      </c>
      <c r="J24" s="9">
        <v>840</v>
      </c>
      <c r="K24" s="3">
        <f t="shared" si="5"/>
        <v>630000</v>
      </c>
      <c r="L24" s="3">
        <f t="shared" si="1"/>
        <v>36245900</v>
      </c>
      <c r="Y24" s="6" t="str">
        <f t="shared" si="3"/>
        <v>طلبکار</v>
      </c>
      <c r="Z24" s="3">
        <f t="shared" si="4"/>
        <v>11588550</v>
      </c>
      <c r="AA24" s="3">
        <v>200000</v>
      </c>
      <c r="AB24" s="3" t="str">
        <f>IFERROR((VLOOKUP(AC24,Cost5[[Date]:[name ]],2,FALSE)),"-")</f>
        <v>خرج خودم</v>
      </c>
      <c r="AC24" s="3">
        <v>12</v>
      </c>
      <c r="AD24" t="s">
        <v>55</v>
      </c>
      <c r="AE24" t="s">
        <v>57</v>
      </c>
      <c r="AF24">
        <v>14010806</v>
      </c>
      <c r="AG24">
        <v>22</v>
      </c>
    </row>
    <row r="25" spans="4:33" x14ac:dyDescent="0.25">
      <c r="D25" s="7">
        <v>22</v>
      </c>
      <c r="E25" s="1">
        <v>44862</v>
      </c>
      <c r="F25" t="s">
        <v>26</v>
      </c>
      <c r="G25" t="s">
        <v>84</v>
      </c>
      <c r="H25" s="3">
        <v>190</v>
      </c>
      <c r="I25" s="2">
        <f ca="1">IF(COUNTA(Incoming4[[#This Row],[Date]])&gt;0,TODAY()-E25,0)</f>
        <v>3</v>
      </c>
      <c r="J25" s="9">
        <v>1000</v>
      </c>
      <c r="K25" s="3">
        <f t="shared" si="5"/>
        <v>190000</v>
      </c>
      <c r="L25" s="3">
        <f t="shared" si="1"/>
        <v>36435900</v>
      </c>
      <c r="Y25" s="6" t="str">
        <f t="shared" si="3"/>
        <v>طلبکار</v>
      </c>
      <c r="Z25" s="3">
        <f t="shared" si="4"/>
        <v>11048550</v>
      </c>
      <c r="AA25" s="3">
        <v>540000</v>
      </c>
      <c r="AB25" s="3" t="str">
        <f>IFERROR((VLOOKUP(AC25,Cost5[[Date]:[name ]],2,FALSE)),"-")</f>
        <v>خرج خودم</v>
      </c>
      <c r="AC25" s="3">
        <v>12</v>
      </c>
      <c r="AD25" t="s">
        <v>96</v>
      </c>
      <c r="AE25" t="s">
        <v>57</v>
      </c>
      <c r="AF25">
        <v>14010806</v>
      </c>
      <c r="AG25">
        <v>23</v>
      </c>
    </row>
    <row r="26" spans="4:33" x14ac:dyDescent="0.25">
      <c r="D26" s="7">
        <v>23</v>
      </c>
      <c r="E26" s="1">
        <v>44863</v>
      </c>
      <c r="F26" t="s">
        <v>25</v>
      </c>
      <c r="G26" t="s">
        <v>92</v>
      </c>
      <c r="H26" s="3">
        <v>1640</v>
      </c>
      <c r="I26" s="2">
        <f ca="1">IF(COUNTA(Incoming4[[#This Row],[Date]])&gt;0,TODAY()-E26,0)</f>
        <v>2</v>
      </c>
      <c r="J26" s="9">
        <v>550</v>
      </c>
      <c r="K26" s="3">
        <f t="shared" si="5"/>
        <v>902000</v>
      </c>
      <c r="L26" s="3">
        <f t="shared" si="1"/>
        <v>37337900</v>
      </c>
      <c r="Y26" s="6" t="str">
        <f t="shared" si="3"/>
        <v>طلبکار</v>
      </c>
      <c r="Z26" s="3">
        <f t="shared" si="4"/>
        <v>8098550</v>
      </c>
      <c r="AA26" s="3">
        <v>2950000</v>
      </c>
      <c r="AB26" s="3" t="str">
        <f>IFERROR((VLOOKUP(AC26,Cost5[[Date]:[name ]],2,FALSE)),"-")</f>
        <v>نیلارز</v>
      </c>
      <c r="AC26" s="3">
        <v>14</v>
      </c>
      <c r="AD26" t="s">
        <v>97</v>
      </c>
      <c r="AE26" t="s">
        <v>57</v>
      </c>
      <c r="AF26">
        <v>14010806</v>
      </c>
      <c r="AG26">
        <v>24</v>
      </c>
    </row>
    <row r="27" spans="4:33" x14ac:dyDescent="0.25">
      <c r="D27" s="7">
        <v>24</v>
      </c>
      <c r="E27" s="1">
        <v>44863</v>
      </c>
      <c r="F27" t="s">
        <v>26</v>
      </c>
      <c r="G27" t="s">
        <v>93</v>
      </c>
      <c r="H27" s="3">
        <v>324</v>
      </c>
      <c r="I27" s="2">
        <f ca="1">IF(COUNTA(Incoming4[[#This Row],[Date]])&gt;0,TODAY()-E27,0)</f>
        <v>2</v>
      </c>
      <c r="J27" s="9">
        <v>802.46900000000005</v>
      </c>
      <c r="K27" s="3">
        <f t="shared" si="5"/>
        <v>260000</v>
      </c>
      <c r="L27" s="3">
        <f t="shared" si="1"/>
        <v>37597900</v>
      </c>
      <c r="Y27" s="6" t="str">
        <f t="shared" si="3"/>
        <v>طلبکار</v>
      </c>
      <c r="Z27" s="3">
        <f t="shared" si="4"/>
        <v>7378550</v>
      </c>
      <c r="AA27" s="3">
        <v>720000</v>
      </c>
      <c r="AB27" s="3" t="str">
        <f>IFERROR((VLOOKUP(AC27,Cost5[[Date]:[name ]],2,FALSE)),"-")</f>
        <v>نیلارز</v>
      </c>
      <c r="AC27" s="3">
        <v>14</v>
      </c>
      <c r="AD27" t="s">
        <v>97</v>
      </c>
      <c r="AE27" t="s">
        <v>57</v>
      </c>
      <c r="AF27">
        <v>14010806</v>
      </c>
      <c r="AG27">
        <v>25</v>
      </c>
    </row>
    <row r="28" spans="4:33" x14ac:dyDescent="0.25">
      <c r="D28" s="7">
        <v>25</v>
      </c>
      <c r="E28" s="1">
        <v>44864</v>
      </c>
      <c r="F28" t="s">
        <v>25</v>
      </c>
      <c r="G28" t="s">
        <v>99</v>
      </c>
      <c r="H28" s="3">
        <v>1555</v>
      </c>
      <c r="I28" s="2">
        <f ca="1">IF(COUNTA(Incoming4[[#This Row],[Date]])&gt;0,TODAY()-E28,0)</f>
        <v>1</v>
      </c>
      <c r="J28" s="9">
        <v>550</v>
      </c>
      <c r="K28" s="3">
        <f t="shared" si="5"/>
        <v>855250</v>
      </c>
      <c r="L28" s="3">
        <f t="shared" si="1"/>
        <v>38453150</v>
      </c>
      <c r="Y28" s="6" t="str">
        <f t="shared" si="3"/>
        <v>طلبکار</v>
      </c>
      <c r="Z28" s="3">
        <f t="shared" si="4"/>
        <v>7178550</v>
      </c>
      <c r="AA28" s="3">
        <v>200000</v>
      </c>
      <c r="AB28" s="3" t="str">
        <f>IFERROR((VLOOKUP(AC28,Cost5[[Date]:[name ]],2,FALSE)),"-")</f>
        <v>خرج خودم</v>
      </c>
      <c r="AC28" s="3">
        <v>12</v>
      </c>
      <c r="AD28" t="s">
        <v>55</v>
      </c>
      <c r="AE28" t="s">
        <v>57</v>
      </c>
      <c r="AF28">
        <v>14010808</v>
      </c>
      <c r="AG28">
        <v>26</v>
      </c>
    </row>
    <row r="29" spans="4:33" x14ac:dyDescent="0.25">
      <c r="D29" s="7">
        <v>26</v>
      </c>
      <c r="E29" s="1">
        <v>44864</v>
      </c>
      <c r="F29" t="s">
        <v>25</v>
      </c>
      <c r="G29" t="s">
        <v>100</v>
      </c>
      <c r="H29" s="3">
        <v>1628</v>
      </c>
      <c r="I29" s="2">
        <f ca="1">IF(COUNTA(Incoming4[[#This Row],[Date]])&gt;0,TODAY()-E29,0)</f>
        <v>1</v>
      </c>
      <c r="J29" s="9">
        <v>550</v>
      </c>
      <c r="K29" s="3">
        <f t="shared" si="5"/>
        <v>895400</v>
      </c>
      <c r="L29" s="3">
        <f t="shared" si="1"/>
        <v>39348550</v>
      </c>
      <c r="Y29" s="6" t="str">
        <f t="shared" si="3"/>
        <v>طلبکار</v>
      </c>
      <c r="Z29" s="3">
        <f t="shared" si="4"/>
        <v>7054550</v>
      </c>
      <c r="AA29" s="3">
        <v>124000</v>
      </c>
      <c r="AB29" s="3" t="str">
        <f>IFERROR((VLOOKUP(AC29,Cost5[[Date]:[name ]],2,FALSE)),"-")</f>
        <v>خرج خودم</v>
      </c>
      <c r="AC29" s="3">
        <v>12</v>
      </c>
      <c r="AD29" t="s">
        <v>104</v>
      </c>
      <c r="AE29" t="s">
        <v>103</v>
      </c>
      <c r="AF29">
        <v>14010809</v>
      </c>
      <c r="AG29">
        <v>27</v>
      </c>
    </row>
    <row r="30" spans="4:33" x14ac:dyDescent="0.25">
      <c r="D30" s="7">
        <v>27</v>
      </c>
      <c r="E30" s="1">
        <v>44864</v>
      </c>
      <c r="F30" t="s">
        <v>25</v>
      </c>
      <c r="G30" t="s">
        <v>101</v>
      </c>
      <c r="H30" s="3">
        <v>1500</v>
      </c>
      <c r="I30" s="2">
        <f ca="1">IF(COUNTA(Incoming4[[#This Row],[Date]])&gt;0,TODAY()-E30,0)</f>
        <v>1</v>
      </c>
      <c r="J30" s="9">
        <v>550</v>
      </c>
      <c r="K30" s="3">
        <f t="shared" si="5"/>
        <v>825000</v>
      </c>
      <c r="L30" s="3">
        <f t="shared" si="1"/>
        <v>40173550</v>
      </c>
      <c r="Y30" s="6" t="str">
        <f t="shared" si="3"/>
        <v>طلبکار</v>
      </c>
      <c r="Z30" s="3">
        <f t="shared" si="4"/>
        <v>7024550</v>
      </c>
      <c r="AA30" s="3">
        <v>30000</v>
      </c>
      <c r="AB30" s="3" t="str">
        <f>IFERROR((VLOOKUP(AC30,Cost5[[Date]:[name ]],2,FALSE)),"-")</f>
        <v>خرج خودم</v>
      </c>
      <c r="AC30" s="3">
        <v>12</v>
      </c>
      <c r="AD30" t="s">
        <v>105</v>
      </c>
      <c r="AE30" t="s">
        <v>103</v>
      </c>
      <c r="AF30">
        <v>14010809</v>
      </c>
      <c r="AG30">
        <v>28</v>
      </c>
    </row>
    <row r="31" spans="4:33" x14ac:dyDescent="0.25">
      <c r="D31" s="7">
        <v>28</v>
      </c>
      <c r="E31" s="1">
        <v>44865</v>
      </c>
      <c r="F31" t="s">
        <v>26</v>
      </c>
      <c r="G31" t="s">
        <v>102</v>
      </c>
      <c r="H31" s="3">
        <v>384</v>
      </c>
      <c r="I31" s="2">
        <f ca="1">IF(COUNTA(Incoming4[[#This Row],[Date]])&gt;0,TODAY()-E31,0)</f>
        <v>0</v>
      </c>
      <c r="J31" s="9">
        <v>781.25</v>
      </c>
      <c r="K31" s="3">
        <f t="shared" si="5"/>
        <v>300000</v>
      </c>
      <c r="L31" s="3">
        <f t="shared" si="1"/>
        <v>40473550</v>
      </c>
      <c r="Y31" s="6" t="str">
        <f t="shared" si="3"/>
        <v>-</v>
      </c>
      <c r="AG31">
        <v>29</v>
      </c>
    </row>
    <row r="32" spans="4:33" x14ac:dyDescent="0.25">
      <c r="D32" s="7">
        <v>29</v>
      </c>
      <c r="H32" s="3"/>
      <c r="I32" s="2">
        <f ca="1">IF(COUNTA(Incoming4[[#This Row],[Date]])&gt;0,TODAY()-E32,0)</f>
        <v>0</v>
      </c>
      <c r="J32" s="9">
        <v>0</v>
      </c>
      <c r="K32" s="3">
        <f t="shared" si="5"/>
        <v>0</v>
      </c>
      <c r="L32" s="3">
        <f t="shared" si="1"/>
        <v>40473550</v>
      </c>
      <c r="Y32" s="6" t="str">
        <f t="shared" si="3"/>
        <v>-</v>
      </c>
      <c r="AG32">
        <v>30</v>
      </c>
    </row>
    <row r="33" spans="4:33" x14ac:dyDescent="0.25">
      <c r="D33" s="7">
        <v>30</v>
      </c>
      <c r="H33" s="3"/>
      <c r="I33" s="2">
        <f ca="1">IF(COUNTA(Incoming4[[#This Row],[Date]])&gt;0,TODAY()-E33,0)</f>
        <v>0</v>
      </c>
      <c r="J33" s="9">
        <v>0</v>
      </c>
      <c r="K33" s="3">
        <f t="shared" si="5"/>
        <v>0</v>
      </c>
      <c r="L33" s="3">
        <f t="shared" si="1"/>
        <v>40473550</v>
      </c>
      <c r="Y33" s="6" t="str">
        <f t="shared" si="3"/>
        <v>-</v>
      </c>
      <c r="AG33">
        <v>31</v>
      </c>
    </row>
    <row r="34" spans="4:33" x14ac:dyDescent="0.25">
      <c r="D34" s="7">
        <v>31</v>
      </c>
      <c r="H34" s="3"/>
      <c r="I34" s="2">
        <f ca="1">IF(COUNTA(Incoming4[[#This Row],[Date]])&gt;0,TODAY()-E34,0)</f>
        <v>0</v>
      </c>
      <c r="J34" s="9">
        <v>0</v>
      </c>
      <c r="K34" s="3">
        <f t="shared" si="5"/>
        <v>0</v>
      </c>
      <c r="L34" s="3">
        <f t="shared" si="1"/>
        <v>40473550</v>
      </c>
      <c r="Y34" s="6" t="str">
        <f t="shared" si="3"/>
        <v>-</v>
      </c>
      <c r="AG34">
        <v>32</v>
      </c>
    </row>
    <row r="35" spans="4:33" x14ac:dyDescent="0.25">
      <c r="Y35" s="6" t="str">
        <f t="shared" si="3"/>
        <v>-</v>
      </c>
      <c r="AG35">
        <v>33</v>
      </c>
    </row>
    <row r="36" spans="4:33" x14ac:dyDescent="0.25">
      <c r="Y36" s="6" t="str">
        <f t="shared" si="3"/>
        <v>-</v>
      </c>
      <c r="AG36">
        <v>34</v>
      </c>
    </row>
    <row r="37" spans="4:33" x14ac:dyDescent="0.25">
      <c r="Y37" s="6" t="str">
        <f t="shared" si="3"/>
        <v>-</v>
      </c>
      <c r="AG37">
        <v>35</v>
      </c>
    </row>
    <row r="38" spans="4:33" x14ac:dyDescent="0.25">
      <c r="Y38" s="6" t="str">
        <f t="shared" si="3"/>
        <v>-</v>
      </c>
      <c r="AG38">
        <v>36</v>
      </c>
    </row>
  </sheetData>
  <conditionalFormatting sqref="H4:H3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{DDD09F8F-25B2-42AB-95C8-BDCB0104F30E}</x14:id>
        </ext>
      </extLst>
    </cfRule>
  </conditionalFormatting>
  <conditionalFormatting sqref="V3:V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4">
    <cfRule type="colorScale" priority="17">
      <colorScale>
        <cfvo type="min"/>
        <cfvo type="max"/>
        <color rgb="FFFCFCFF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ellIs" dxfId="11" priority="1" operator="equal">
      <formula>12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09F8F-25B2-42AB-95C8-BDCB0104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Zokaei</dc:creator>
  <cp:lastModifiedBy>Zokaei</cp:lastModifiedBy>
  <dcterms:created xsi:type="dcterms:W3CDTF">2022-10-10T20:48:53Z</dcterms:created>
  <dcterms:modified xsi:type="dcterms:W3CDTF">2022-10-31T16:56:41Z</dcterms:modified>
</cp:coreProperties>
</file>