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'Выработка формокомплектов'!$A$3:$K$21</definedName>
    <definedName name="_xlnm.Print_Area" localSheetId="0">'Выработка формокомплектов'!$A$1:$J$41</definedName>
  </definedNames>
  <calcPr calcId="152511"/>
</workbook>
</file>

<file path=xl/calcChain.xml><?xml version="1.0" encoding="utf-8"?>
<calcChain xmlns="http://schemas.openxmlformats.org/spreadsheetml/2006/main">
  <c r="F15" i="1" l="1"/>
  <c r="H15" i="1" s="1"/>
  <c r="E15" i="1"/>
  <c r="I15" i="1" s="1"/>
  <c r="G15" i="1" l="1"/>
  <c r="F8" i="1" l="1"/>
  <c r="G8" i="1" s="1"/>
  <c r="E8" i="1"/>
  <c r="H8" i="1" l="1"/>
  <c r="A6" i="1"/>
  <c r="F9" i="1" l="1"/>
  <c r="H9" i="1" s="1"/>
  <c r="E9" i="1"/>
  <c r="F19" i="1"/>
  <c r="H19" i="1" s="1"/>
  <c r="E19" i="1"/>
  <c r="G9" i="1" l="1"/>
  <c r="G19" i="1"/>
  <c r="F3" i="2" l="1"/>
  <c r="G3" i="2" s="1"/>
  <c r="E3" i="2"/>
  <c r="I3" i="2" l="1"/>
  <c r="H3" i="2"/>
  <c r="A3" i="2"/>
  <c r="F14" i="1"/>
  <c r="G14" i="1" s="1"/>
  <c r="E14" i="1"/>
  <c r="F24" i="1"/>
  <c r="E24" i="1"/>
  <c r="H14" i="1" l="1"/>
  <c r="F22" i="1"/>
  <c r="H22" i="1" s="1"/>
  <c r="E22" i="1"/>
  <c r="I22" i="1" l="1"/>
  <c r="G22" i="1"/>
  <c r="F27" i="1"/>
  <c r="E27" i="1"/>
  <c r="I8" i="1" l="1"/>
  <c r="F20" i="1"/>
  <c r="G20" i="1" s="1"/>
  <c r="E20" i="1"/>
  <c r="I20" i="1" l="1"/>
  <c r="H20" i="1"/>
  <c r="F41" i="1"/>
  <c r="E41" i="1"/>
  <c r="F18" i="1" l="1"/>
  <c r="G18" i="1" s="1"/>
  <c r="E18" i="1"/>
  <c r="I18" i="1" l="1"/>
  <c r="H18" i="1"/>
  <c r="G27" i="1"/>
  <c r="I27" i="1"/>
  <c r="H27" i="1" l="1"/>
  <c r="G7" i="1"/>
  <c r="E38" i="1" l="1"/>
  <c r="F38" i="1"/>
  <c r="H38" i="1" s="1"/>
  <c r="F21" i="1" l="1"/>
  <c r="E21" i="1"/>
  <c r="F36" i="1" l="1"/>
  <c r="E36" i="1"/>
  <c r="F32" i="1" l="1"/>
  <c r="E32" i="1"/>
  <c r="F23" i="1" l="1"/>
  <c r="E23" i="1"/>
  <c r="F40" i="1" l="1"/>
  <c r="E40" i="1"/>
  <c r="F12" i="1" l="1"/>
  <c r="H12" i="1" s="1"/>
  <c r="F10" i="1"/>
  <c r="E10" i="1"/>
  <c r="G12" i="1" l="1"/>
  <c r="E12" i="1"/>
  <c r="I12" i="1" s="1"/>
  <c r="H10" i="1" l="1"/>
  <c r="I10" i="1"/>
  <c r="G10" i="1" l="1"/>
  <c r="H24" i="1" l="1"/>
  <c r="F17" i="1" l="1"/>
  <c r="H17" i="1" s="1"/>
  <c r="E17" i="1"/>
  <c r="G17" i="1" l="1"/>
  <c r="F37" i="1"/>
  <c r="E37" i="1"/>
  <c r="F34" i="1" l="1"/>
  <c r="E34" i="1"/>
  <c r="F33" i="1" l="1"/>
  <c r="H33" i="1" s="1"/>
  <c r="E33" i="1"/>
  <c r="I33" i="1" l="1"/>
  <c r="G33" i="1"/>
  <c r="F39" i="1" l="1"/>
  <c r="E39" i="1"/>
  <c r="F30" i="1" l="1"/>
  <c r="E30" i="1"/>
  <c r="F35" i="1" l="1"/>
  <c r="E35" i="1"/>
  <c r="H30" i="1" l="1"/>
  <c r="G30" i="1"/>
  <c r="G41" i="1"/>
  <c r="H41" i="1"/>
  <c r="I41" i="1"/>
  <c r="H39" i="1"/>
  <c r="G6" i="1"/>
  <c r="G13" i="1"/>
  <c r="G23" i="1"/>
  <c r="I6" i="1"/>
  <c r="H6" i="1"/>
  <c r="I13" i="1"/>
  <c r="H13" i="1"/>
  <c r="H23" i="1"/>
  <c r="I23" i="1"/>
  <c r="H35" i="1"/>
  <c r="H37" i="1"/>
  <c r="H5" i="1"/>
  <c r="G5" i="1"/>
  <c r="H40" i="1"/>
  <c r="H32" i="1"/>
  <c r="H21" i="1"/>
  <c r="H29" i="1"/>
  <c r="I17" i="1"/>
  <c r="G11" i="1"/>
  <c r="H11" i="1"/>
  <c r="I11" i="1"/>
  <c r="I30" i="1"/>
  <c r="G39" i="1"/>
  <c r="G35" i="1"/>
  <c r="G40" i="1"/>
  <c r="G37" i="1"/>
  <c r="G28" i="1"/>
  <c r="G32" i="1"/>
  <c r="G26" i="1"/>
  <c r="G38" i="1"/>
  <c r="G24" i="1"/>
  <c r="G29" i="1"/>
  <c r="I37" i="1"/>
  <c r="I40" i="1"/>
  <c r="I14" i="1"/>
  <c r="H28" i="1"/>
  <c r="I28" i="1"/>
  <c r="H34" i="1"/>
  <c r="G34" i="1"/>
  <c r="H25" i="1"/>
  <c r="G25" i="1"/>
  <c r="I34" i="1"/>
  <c r="I25" i="1"/>
  <c r="H16" i="1"/>
  <c r="G16" i="1"/>
  <c r="I16" i="1"/>
  <c r="I32" i="1"/>
  <c r="I29" i="1"/>
  <c r="I38" i="1"/>
  <c r="H26" i="1"/>
  <c r="I26" i="1"/>
  <c r="G21" i="1"/>
  <c r="I21" i="1"/>
  <c r="G36" i="1"/>
  <c r="H36" i="1"/>
  <c r="I36" i="1"/>
  <c r="I19" i="1"/>
  <c r="I24" i="1"/>
  <c r="I39" i="1"/>
  <c r="I35" i="1"/>
  <c r="E31" i="1" l="1"/>
  <c r="F31" i="1"/>
  <c r="G31" i="1" l="1"/>
  <c r="H31" i="1"/>
  <c r="I31" i="1"/>
  <c r="A7" i="1" l="1"/>
  <c r="A8" i="1" l="1"/>
  <c r="A9" i="1" s="1"/>
  <c r="A10" i="1" s="1"/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<sst xmlns="http://schemas.openxmlformats.org/spreadsheetml/2006/main" count="127" uniqueCount="57">
  <si>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</si>
  <si>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</si>
  <si>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</si>
  <si>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</si>
  <si>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</si>
  <si>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</si>
  <si>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</si>
  <si>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</si>
  <si>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</si>
  <si>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</si>
  <si>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</si>
  <si>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</si>
  <si>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</si>
  <si>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</si>
  <si>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</si>
  <si>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</si>
  <si>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</si>
  <si>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</si>
  <si>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</si>
  <si>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</si>
  <si>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</si>
  <si>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</si>
  <si>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</si>
  <si>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</si>
  <si>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</si>
  <si>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</si>
  <si>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</si>
  <si>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</si>
  <si>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</si>
  <si>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</si>
  <si>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</si>
  <si>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</si>
  <si>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</si>
  <si>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</si>
  <si>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</si>
  <si>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</si>
  <si>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</si>
  <si>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</si>
  <si>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</si>
  <si>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</si>
  <si>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</si>
  <si>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</si>
  <si>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</si>
  <si>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</si>
  <si>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</si>
  <si>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</si>
  <si>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</si>
  <si>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</si>
  <si>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</si>
  <si>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</si>
  <si>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</si>
  <si>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</si>
  <si>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</si>
  <si>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</si>
  <si>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</si>
  <si>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</si>
  <si>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Таблица выработки формокомплек2ов, находящихся на ООО "Стеклозавод Ведатранзит" по состоянию на 01.02.2020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</si>
</sst>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1071084</v>
          </cell>
          <cell r="F31">
            <v>1302257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2923314</v>
          </cell>
          <cell r="F32">
            <v>3073214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4103201</v>
          </cell>
          <cell r="F32">
            <v>4449033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9915346</v>
          </cell>
          <cell r="F31">
            <v>10369106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4767570</v>
          </cell>
          <cell r="F31">
            <v>8693057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11014310</v>
          </cell>
          <cell r="F31">
            <v>12128977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7344547</v>
          </cell>
          <cell r="F31">
            <v>12176093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4780944</v>
          </cell>
          <cell r="F31">
            <v>13180338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10173760</v>
          </cell>
          <cell r="F30">
            <v>18138751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15918082</v>
          </cell>
          <cell r="F30">
            <v>19503919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17697766</v>
          </cell>
          <cell r="F26">
            <v>18498950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895356</v>
          </cell>
          <cell r="F32">
            <v>942062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948096</v>
          </cell>
          <cell r="F32">
            <v>1031915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1048620</v>
          </cell>
          <cell r="F32">
            <v>1152478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view="pageBreakPreview" zoomScale="80" zoomScaleNormal="90" zoomScaleSheetLayoutView="80" workbookViewId="0">
      <pane xSplit="2" ySplit="4" topLeftCell="E29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3.2"/>
  <cols>
    <col min="1" max="1" width="7.109375" customWidth="1"/>
    <col min="2" max="2" width="59.6640625" style="8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0.109375" bestFit="1" customWidth="1"/>
  </cols>
  <sheetData>
    <row r="1" spans="1:11" ht="13.8" thickBot="1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3.8" thickBot="1">
      <c r="D2" s="47"/>
      <c r="E2" s="48"/>
      <c r="I2" s="1"/>
      <c r="J2" s="1"/>
      <c r="K2" s="1"/>
    </row>
    <row r="3" spans="1:11" ht="66">
      <c r="A3" s="52" t="s">
        <v>0</v>
      </c>
      <c r="B3" s="50" t="s">
        <v>5</v>
      </c>
      <c r="C3" s="60" t="s">
        <v>9</v>
      </c>
      <c r="D3" s="56" t="s">
        <v>10</v>
      </c>
      <c r="E3" s="6" t="s">
        <v>43</v>
      </c>
      <c r="F3" s="3" t="s">
        <v>6</v>
      </c>
      <c r="G3" s="54" t="s">
        <v>1</v>
      </c>
      <c r="H3" s="55"/>
      <c r="I3" s="58" t="s">
        <v>7</v>
      </c>
      <c r="J3" s="45" t="s">
        <v>4</v>
      </c>
      <c r="K3" s="2"/>
    </row>
    <row r="4" spans="1:11" ht="13.8" thickBot="1">
      <c r="A4" s="53"/>
      <c r="B4" s="51"/>
      <c r="C4" s="61"/>
      <c r="D4" s="57"/>
      <c r="E4" s="7" t="s">
        <v>2</v>
      </c>
      <c r="F4" s="4" t="s">
        <v>2</v>
      </c>
      <c r="G4" s="4" t="s">
        <v>3</v>
      </c>
      <c r="H4" s="5" t="s">
        <v>2</v>
      </c>
      <c r="I4" s="59"/>
      <c r="J4" s="46"/>
      <c r="K4" s="1"/>
    </row>
    <row r="5" spans="1:11" s="17" customFormat="1" ht="40.049999999999997" customHeight="1">
      <c r="A5" s="23">
        <v>1</v>
      </c>
      <c r="B5" s="15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049999999999997" customHeight="1">
      <c r="A6" s="23">
        <f t="shared" ref="A6:A11" si="0">A5+1</f>
        <v>2</v>
      </c>
      <c r="B6" s="15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049999999999997" customHeight="1">
      <c r="A7" s="23">
        <f t="shared" si="0"/>
        <v>3</v>
      </c>
      <c r="B7" s="15" t="s">
        <v>41</v>
      </c>
      <c r="C7" s="10"/>
      <c r="D7" s="15"/>
      <c r="E7" s="27"/>
      <c r="F7" s="27"/>
      <c r="G7" s="25">
        <f>100%-F7/16800000</f>
        <v>1</v>
      </c>
      <c r="H7" s="20"/>
      <c r="I7" s="26"/>
      <c r="J7" s="11"/>
      <c r="K7"/>
    </row>
    <row r="8" spans="1:11" s="17" customFormat="1" ht="40.049999999999997" customHeight="1">
      <c r="A8" s="23">
        <f t="shared" si="0"/>
        <v>4</v>
      </c>
      <c r="B8" s="15" t="s">
        <v>48</v>
      </c>
      <c r="C8" s="10"/>
      <c r="D8" s="15"/>
      <c r="E8" s="33">
        <f>[1]Паспорт!$E$32</f>
        <v>246960</v>
      </c>
      <c r="F8" s="24">
        <f>[1]Паспорт!$F$32</f>
        <v>275256</v>
      </c>
      <c r="G8" s="25">
        <f>100%-F8/[1]Паспорт!$A$21</f>
        <v>0.98033885714285718</v>
      </c>
      <c r="H8" s="24">
        <f>[1]Паспорт!$A$21-F8</f>
        <v>13724744</v>
      </c>
      <c r="I8" s="26">
        <f>E8/F8</f>
        <v>0.8972011509285901</v>
      </c>
      <c r="J8" s="11"/>
      <c r="K8" s="18"/>
    </row>
    <row r="9" spans="1:11" s="17" customFormat="1" ht="40.049999999999997" customHeight="1">
      <c r="A9" s="23">
        <f t="shared" si="0"/>
        <v>5</v>
      </c>
      <c r="B9" s="15" t="s">
        <v>54</v>
      </c>
      <c r="C9" s="36" t="s">
        <v>12</v>
      </c>
      <c r="D9" s="35" t="s">
        <v>13</v>
      </c>
      <c r="E9" s="33">
        <f>[2]Паспорт!$E$32</f>
        <v>468000</v>
      </c>
      <c r="F9" s="24">
        <f>[2]Паспорт!$F$32</f>
        <v>521755</v>
      </c>
      <c r="G9" s="25">
        <f>100%-F9/[2]Паспорт!$A$21</f>
        <v>0.96611980519480523</v>
      </c>
      <c r="H9" s="24">
        <f>[2]Паспорт!$A$21-F9</f>
        <v>14878245</v>
      </c>
      <c r="I9" s="26"/>
      <c r="J9" s="11"/>
      <c r="K9" s="18"/>
    </row>
    <row r="10" spans="1:11" s="17" customFormat="1" ht="40.049999999999997" customHeight="1">
      <c r="A10" s="23">
        <f t="shared" si="0"/>
        <v>6</v>
      </c>
      <c r="B10" s="15" t="s">
        <v>40</v>
      </c>
      <c r="C10" s="10"/>
      <c r="D10" s="15"/>
      <c r="E10" s="27">
        <f>[3]Лист1!$E$31</f>
        <v>449036</v>
      </c>
      <c r="F10" s="27">
        <f>[3]Лист1!$F$31</f>
        <v>524968</v>
      </c>
      <c r="G10" s="19">
        <f>100%-F10/15400000</f>
        <v>0.96591116883116879</v>
      </c>
      <c r="H10" s="20">
        <f>15400000-F10</f>
        <v>14875032</v>
      </c>
      <c r="I10" s="26">
        <f t="shared" ref="I10:I41" si="1">E10/F10</f>
        <v>0.85535880282226728</v>
      </c>
      <c r="J10" s="11"/>
      <c r="K10" s="14"/>
    </row>
    <row r="11" spans="1:11" s="17" customFormat="1" ht="40.049999999999997" customHeight="1">
      <c r="A11" s="23">
        <f t="shared" si="0"/>
        <v>7</v>
      </c>
      <c r="B11" s="15" t="s">
        <v>29</v>
      </c>
      <c r="C11" s="10" t="s">
        <v>12</v>
      </c>
      <c r="D11" s="15" t="s">
        <v>13</v>
      </c>
      <c r="E11" s="27">
        <v>557856</v>
      </c>
      <c r="F11" s="27">
        <v>668458</v>
      </c>
      <c r="G11" s="19">
        <f>100%-F11/18900000</f>
        <v>0.96463185185185185</v>
      </c>
      <c r="H11" s="20">
        <f>12600000-F11</f>
        <v>11931542</v>
      </c>
      <c r="I11" s="26">
        <f t="shared" si="1"/>
        <v>0.83454158675638557</v>
      </c>
      <c r="J11" s="11"/>
      <c r="K11" s="14"/>
    </row>
    <row r="12" spans="1:11" s="17" customFormat="1" ht="40.049999999999997" customHeight="1">
      <c r="A12" s="23">
        <f>A10+1</f>
        <v>7</v>
      </c>
      <c r="B12" s="15" t="s">
        <v>41</v>
      </c>
      <c r="C12" s="10"/>
      <c r="D12" s="15"/>
      <c r="E12" s="27">
        <f>[4]Лист1!$E$31</f>
        <v>613088</v>
      </c>
      <c r="F12" s="27">
        <f>[4]Лист1!$F$31</f>
        <v>721402</v>
      </c>
      <c r="G12" s="19">
        <f>100%-F12/19600000</f>
        <v>0.96319377551020413</v>
      </c>
      <c r="H12" s="20">
        <f>18900000-F12</f>
        <v>18178598</v>
      </c>
      <c r="I12" s="26">
        <f t="shared" si="1"/>
        <v>0.84985625213126659</v>
      </c>
      <c r="J12" s="11"/>
      <c r="K12"/>
    </row>
    <row r="13" spans="1:11" s="17" customFormat="1" ht="40.049999999999997" customHeight="1">
      <c r="A13" s="23">
        <f t="shared" ref="A13:A41" si="2">A12+1</f>
        <v>8</v>
      </c>
      <c r="B13" s="15" t="s">
        <v>35</v>
      </c>
      <c r="C13" s="10" t="s">
        <v>12</v>
      </c>
      <c r="D13" s="15" t="s">
        <v>13</v>
      </c>
      <c r="E13" s="27">
        <v>515328</v>
      </c>
      <c r="F13" s="27">
        <v>670208</v>
      </c>
      <c r="G13" s="19">
        <f>100%-F13/18200000</f>
        <v>0.96317538461538466</v>
      </c>
      <c r="H13" s="20">
        <f>12600000-F13</f>
        <v>11929792</v>
      </c>
      <c r="I13" s="26">
        <f t="shared" si="1"/>
        <v>0.76890756302521013</v>
      </c>
      <c r="J13" s="11"/>
      <c r="K13"/>
    </row>
    <row r="14" spans="1:11" s="14" customFormat="1" ht="40.049999999999997" customHeight="1">
      <c r="A14" s="23">
        <f t="shared" si="2"/>
        <v>9</v>
      </c>
      <c r="B14" s="35" t="s">
        <v>50</v>
      </c>
      <c r="C14" s="36" t="s">
        <v>12</v>
      </c>
      <c r="D14" s="35" t="s">
        <v>13</v>
      </c>
      <c r="E14" s="37">
        <f>[5]Паспорт!$E$37</f>
        <v>491400</v>
      </c>
      <c r="F14" s="37">
        <f>[5]Паспорт!$F$37</f>
        <v>577433</v>
      </c>
      <c r="G14" s="38">
        <f>100%-F14/[5]Паспорт!$A$21</f>
        <v>0.95658398496240604</v>
      </c>
      <c r="H14" s="43">
        <f>[5]Паспорт!$A$21-F14</f>
        <v>12722567</v>
      </c>
      <c r="I14" s="39">
        <f t="shared" si="1"/>
        <v>0.85100782255257323</v>
      </c>
      <c r="J14" s="40"/>
      <c r="K14" s="41"/>
    </row>
    <row r="15" spans="1:11" s="14" customFormat="1" ht="40.049999999999997" customHeight="1">
      <c r="A15" s="23">
        <f t="shared" si="2"/>
        <v>10</v>
      </c>
      <c r="B15" s="15" t="s">
        <v>55</v>
      </c>
      <c r="C15" s="10" t="s">
        <v>12</v>
      </c>
      <c r="D15" s="15" t="s">
        <v>13</v>
      </c>
      <c r="E15" s="27">
        <f>[6]Паспорт!$E$32</f>
        <v>895356</v>
      </c>
      <c r="F15" s="27">
        <f>[6]Паспорт!$F$32</f>
        <v>942062</v>
      </c>
      <c r="G15" s="19">
        <f>100%-F15/[6]Паспорт!$A$21</f>
        <v>0.94392488095238092</v>
      </c>
      <c r="H15" s="20">
        <f>[6]Паспорт!$A$21-F15</f>
        <v>15857938</v>
      </c>
      <c r="I15" s="26">
        <f t="shared" si="1"/>
        <v>0.95042152215034681</v>
      </c>
      <c r="J15" s="11"/>
    </row>
    <row r="16" spans="1:11" s="14" customFormat="1" ht="40.049999999999997" customHeight="1">
      <c r="A16" s="23">
        <f t="shared" si="2"/>
        <v>11</v>
      </c>
      <c r="B16" s="15" t="s">
        <v>25</v>
      </c>
      <c r="C16" s="10" t="s">
        <v>12</v>
      </c>
      <c r="D16" s="15" t="s">
        <v>13</v>
      </c>
      <c r="E16" s="27">
        <v>763476</v>
      </c>
      <c r="F16" s="27">
        <v>975569</v>
      </c>
      <c r="G16" s="19">
        <f>100%-F16/16800000</f>
        <v>0.94193041666666666</v>
      </c>
      <c r="H16" s="20">
        <f>16800000-F16</f>
        <v>15824431</v>
      </c>
      <c r="I16" s="26">
        <f t="shared" si="1"/>
        <v>0.78259559293089465</v>
      </c>
      <c r="J16" s="11"/>
    </row>
    <row r="17" spans="1:11" s="14" customFormat="1" ht="40.049999999999997" customHeight="1">
      <c r="A17" s="23">
        <f t="shared" si="2"/>
        <v>12</v>
      </c>
      <c r="B17" s="15" t="s">
        <v>30</v>
      </c>
      <c r="C17" s="10" t="s">
        <v>12</v>
      </c>
      <c r="D17" s="15" t="s">
        <v>13</v>
      </c>
      <c r="E17" s="27">
        <f>[7]Лист1!$E$32</f>
        <v>645420</v>
      </c>
      <c r="F17" s="27">
        <f>[7]Лист1!$F$32</f>
        <v>851238</v>
      </c>
      <c r="G17" s="12">
        <f>100%-F17/14000000</f>
        <v>0.93919728571428573</v>
      </c>
      <c r="H17" s="13">
        <f>14000000-F17</f>
        <v>13148762</v>
      </c>
      <c r="I17" s="26">
        <f t="shared" si="1"/>
        <v>0.75821333164167948</v>
      </c>
      <c r="J17" s="11"/>
    </row>
    <row r="18" spans="1:11" s="14" customFormat="1" ht="40.049999999999997" customHeight="1">
      <c r="A18" s="23">
        <f t="shared" si="2"/>
        <v>13</v>
      </c>
      <c r="B18" s="15" t="s">
        <v>44</v>
      </c>
      <c r="C18" s="10"/>
      <c r="D18" s="15"/>
      <c r="E18" s="33">
        <f>[8]Паспорт!$E$32</f>
        <v>948096</v>
      </c>
      <c r="F18" s="24">
        <f>[8]Паспорт!$F$32</f>
        <v>1031915</v>
      </c>
      <c r="G18" s="29">
        <f>100%-F18/15400000</f>
        <v>0.93299253246753244</v>
      </c>
      <c r="H18" s="30">
        <f>15400000-F18</f>
        <v>14368085</v>
      </c>
      <c r="I18" s="26">
        <f t="shared" si="1"/>
        <v>0.91877334858006721</v>
      </c>
      <c r="J18" s="11"/>
      <c r="K18" s="18"/>
    </row>
    <row r="19" spans="1:11" s="14" customFormat="1" ht="40.049999999999997" customHeight="1">
      <c r="A19" s="23">
        <f t="shared" si="2"/>
        <v>14</v>
      </c>
      <c r="B19" s="35" t="s">
        <v>51</v>
      </c>
      <c r="C19" s="36" t="s">
        <v>52</v>
      </c>
      <c r="D19" s="35" t="s">
        <v>53</v>
      </c>
      <c r="E19" s="34">
        <f>[9]Паспорт!$E$32</f>
        <v>1048620</v>
      </c>
      <c r="F19" s="34">
        <f>[9]Паспорт!$F$32</f>
        <v>1152478</v>
      </c>
      <c r="G19" s="44">
        <f>100%-F19/[9]Паспорт!$A$21</f>
        <v>0.92516376623376617</v>
      </c>
      <c r="H19" s="34">
        <f>[9]Паспорт!$A$21-F19</f>
        <v>14247522</v>
      </c>
      <c r="I19" s="39">
        <f t="shared" si="1"/>
        <v>0.90988287845841742</v>
      </c>
      <c r="J19" s="40"/>
      <c r="K19" s="42"/>
    </row>
    <row r="20" spans="1:11" s="14" customFormat="1" ht="40.049999999999997" customHeight="1">
      <c r="A20" s="23">
        <f t="shared" si="2"/>
        <v>15</v>
      </c>
      <c r="B20" s="15" t="s">
        <v>47</v>
      </c>
      <c r="C20" s="10"/>
      <c r="D20" s="15"/>
      <c r="E20" s="33">
        <f>[10]Паспорт!$E$31</f>
        <v>1071084</v>
      </c>
      <c r="F20" s="24">
        <f>[10]Паспорт!$F$31</f>
        <v>1302257</v>
      </c>
      <c r="G20" s="29">
        <f>100%-F20/15400000</f>
        <v>0.91543785714285719</v>
      </c>
      <c r="H20" s="30">
        <f>15400000-F20</f>
        <v>14097743</v>
      </c>
      <c r="I20" s="26">
        <f t="shared" si="1"/>
        <v>0.82248281253239564</v>
      </c>
      <c r="J20" s="11"/>
      <c r="K20" s="18"/>
    </row>
    <row r="21" spans="1:11" s="14" customFormat="1" ht="40.049999999999997" customHeight="1">
      <c r="A21" s="23">
        <f t="shared" si="2"/>
        <v>16</v>
      </c>
      <c r="B21" s="15" t="s">
        <v>22</v>
      </c>
      <c r="C21" s="10" t="s">
        <v>12</v>
      </c>
      <c r="D21" s="15" t="s">
        <v>13</v>
      </c>
      <c r="E21" s="28">
        <f>[11]Лист1!$E$31</f>
        <v>803358</v>
      </c>
      <c r="F21" s="24">
        <f>[11]Лист1!$F$31</f>
        <v>1444922</v>
      </c>
      <c r="G21" s="29">
        <f>100%-F21/16800000</f>
        <v>0.91399273809523807</v>
      </c>
      <c r="H21" s="30">
        <f>12600000-F21</f>
        <v>11155078</v>
      </c>
      <c r="I21" s="26">
        <f t="shared" si="1"/>
        <v>0.55598710518630068</v>
      </c>
      <c r="J21" s="11"/>
      <c r="K21" s="16"/>
    </row>
    <row r="22" spans="1:11" s="22" customFormat="1" ht="40.049999999999997" customHeight="1">
      <c r="A22" s="23">
        <f t="shared" si="2"/>
        <v>17</v>
      </c>
      <c r="B22" s="15" t="s">
        <v>49</v>
      </c>
      <c r="C22" s="10"/>
      <c r="D22" s="15"/>
      <c r="E22" s="33">
        <f>[12]Лист1!$E$33</f>
        <v>2880934</v>
      </c>
      <c r="F22" s="24">
        <f>[12]Лист1!$F$33</f>
        <v>3213050</v>
      </c>
      <c r="G22" s="29">
        <f>100%-F22/16800000</f>
        <v>0.80874702380952379</v>
      </c>
      <c r="H22" s="30">
        <f>16800000-F22</f>
        <v>13586950</v>
      </c>
      <c r="I22" s="26">
        <f t="shared" si="1"/>
        <v>0.89663528423149341</v>
      </c>
      <c r="J22" s="11"/>
      <c r="K22" s="18"/>
    </row>
    <row r="23" spans="1:11" s="14" customFormat="1" ht="40.049999999999997" customHeight="1">
      <c r="A23" s="23">
        <f t="shared" si="2"/>
        <v>18</v>
      </c>
      <c r="B23" s="15" t="s">
        <v>31</v>
      </c>
      <c r="C23" s="10" t="s">
        <v>14</v>
      </c>
      <c r="D23" s="15" t="s">
        <v>15</v>
      </c>
      <c r="E23" s="27">
        <f>[13]Лист1!$E$32</f>
        <v>2923314</v>
      </c>
      <c r="F23" s="27">
        <f>[13]Лист1!$F$32</f>
        <v>3073214</v>
      </c>
      <c r="G23" s="12">
        <f>100%-F23/15400000</f>
        <v>0.80044064935064929</v>
      </c>
      <c r="H23" s="13">
        <f>12600000-F23</f>
        <v>9526786</v>
      </c>
      <c r="I23" s="26">
        <f t="shared" si="1"/>
        <v>0.95122370261231404</v>
      </c>
      <c r="J23" s="11"/>
    </row>
    <row r="24" spans="1:11" s="14" customFormat="1" ht="40.049999999999997" customHeight="1">
      <c r="A24" s="23">
        <f t="shared" si="2"/>
        <v>19</v>
      </c>
      <c r="B24" s="15" t="s">
        <v>18</v>
      </c>
      <c r="C24" s="10" t="s">
        <v>12</v>
      </c>
      <c r="D24" s="15" t="s">
        <v>13</v>
      </c>
      <c r="E24" s="28">
        <f>[14]Лист1!$E$32</f>
        <v>1115136</v>
      </c>
      <c r="F24" s="24">
        <f>[14]Лист1!$F$32</f>
        <v>3369696</v>
      </c>
      <c r="G24" s="29">
        <f>100%-F24/16800000</f>
        <v>0.7994228571428571</v>
      </c>
      <c r="H24" s="30">
        <f>16800000-F24</f>
        <v>13430304</v>
      </c>
      <c r="I24" s="26">
        <f t="shared" si="1"/>
        <v>0.33093074271388279</v>
      </c>
      <c r="J24" s="11"/>
      <c r="K24" s="16"/>
    </row>
    <row r="25" spans="1:11" s="14" customFormat="1" ht="40.049999999999997" customHeight="1">
      <c r="A25" s="23">
        <f t="shared" si="2"/>
        <v>20</v>
      </c>
      <c r="B25" s="15" t="s">
        <v>26</v>
      </c>
      <c r="C25" s="10" t="s">
        <v>12</v>
      </c>
      <c r="D25" s="15" t="s">
        <v>13</v>
      </c>
      <c r="E25" s="27"/>
      <c r="F25" s="27">
        <v>3080000</v>
      </c>
      <c r="G25" s="12">
        <f>100%-F25/14000000</f>
        <v>0.78</v>
      </c>
      <c r="H25" s="13">
        <f>14000000-F25</f>
        <v>10920000</v>
      </c>
      <c r="I25" s="26">
        <f t="shared" si="1"/>
        <v>0</v>
      </c>
      <c r="J25" s="11"/>
    </row>
    <row r="26" spans="1:11" s="14" customFormat="1" ht="40.049999999999997" customHeight="1">
      <c r="A26" s="23">
        <f t="shared" si="2"/>
        <v>21</v>
      </c>
      <c r="B26" s="15" t="s">
        <v>23</v>
      </c>
      <c r="C26" s="10" t="s">
        <v>12</v>
      </c>
      <c r="D26" s="15" t="s">
        <v>13</v>
      </c>
      <c r="E26" s="24"/>
      <c r="F26" s="24">
        <v>4055359</v>
      </c>
      <c r="G26" s="29">
        <f>100%-F26/16800000</f>
        <v>0.75860958333333328</v>
      </c>
      <c r="H26" s="30">
        <f>18900000-F26</f>
        <v>14844641</v>
      </c>
      <c r="I26" s="26">
        <f t="shared" si="1"/>
        <v>0</v>
      </c>
      <c r="J26" s="11"/>
    </row>
    <row r="27" spans="1:11" s="14" customFormat="1" ht="40.049999999999997" customHeight="1">
      <c r="A27" s="23">
        <f t="shared" si="2"/>
        <v>22</v>
      </c>
      <c r="B27" s="15" t="s">
        <v>45</v>
      </c>
      <c r="C27" s="10"/>
      <c r="D27" s="15"/>
      <c r="E27" s="33">
        <f>[15]Паспорт!$E$32</f>
        <v>4103201</v>
      </c>
      <c r="F27" s="33">
        <f>[15]Паспорт!$F$32</f>
        <v>4449033</v>
      </c>
      <c r="G27" s="31">
        <f>100%-F27/16800000</f>
        <v>0.73517660714285715</v>
      </c>
      <c r="H27" s="30">
        <f>16800000-F27</f>
        <v>12350967</v>
      </c>
      <c r="I27" s="26">
        <f t="shared" si="1"/>
        <v>0.92226805240599474</v>
      </c>
      <c r="J27" s="11"/>
      <c r="K27" s="16"/>
    </row>
    <row r="28" spans="1:11" s="14" customFormat="1" ht="40.049999999999997" customHeight="1">
      <c r="A28" s="23">
        <f t="shared" si="2"/>
        <v>23</v>
      </c>
      <c r="B28" s="15" t="s">
        <v>27</v>
      </c>
      <c r="C28" s="10" t="s">
        <v>12</v>
      </c>
      <c r="D28" s="15" t="s">
        <v>13</v>
      </c>
      <c r="E28" s="27"/>
      <c r="F28" s="27">
        <v>5511547</v>
      </c>
      <c r="G28" s="12">
        <f>100%-F28/16800000</f>
        <v>0.67193172619047625</v>
      </c>
      <c r="H28" s="13">
        <f>12000000-F28</f>
        <v>6488453</v>
      </c>
      <c r="I28" s="26">
        <f t="shared" si="1"/>
        <v>0</v>
      </c>
      <c r="J28" s="11"/>
    </row>
    <row r="29" spans="1:11" s="14" customFormat="1" ht="40.049999999999997" customHeight="1">
      <c r="A29" s="23">
        <f t="shared" si="2"/>
        <v>24</v>
      </c>
      <c r="B29" s="15" t="s">
        <v>16</v>
      </c>
      <c r="C29" s="10" t="s">
        <v>12</v>
      </c>
      <c r="D29" s="15" t="s">
        <v>13</v>
      </c>
      <c r="E29" s="28">
        <v>2131080</v>
      </c>
      <c r="F29" s="24">
        <v>5638494</v>
      </c>
      <c r="G29" s="31">
        <f>100%-F29/16800000</f>
        <v>0.66437535714285723</v>
      </c>
      <c r="H29" s="30">
        <f>16800000-F29</f>
        <v>11161506</v>
      </c>
      <c r="I29" s="26">
        <f t="shared" si="1"/>
        <v>0.37795198505132754</v>
      </c>
      <c r="J29" s="11"/>
      <c r="K29" s="16"/>
    </row>
    <row r="30" spans="1:11" s="14" customFormat="1" ht="40.049999999999997" customHeight="1">
      <c r="A30" s="23">
        <f t="shared" si="2"/>
        <v>25</v>
      </c>
      <c r="B30" s="15" t="s">
        <v>32</v>
      </c>
      <c r="C30" s="10" t="s">
        <v>12</v>
      </c>
      <c r="D30" s="15" t="s">
        <v>13</v>
      </c>
      <c r="E30" s="27">
        <f>[16]Лист1!$E$30</f>
        <v>6255857</v>
      </c>
      <c r="F30" s="27">
        <f>[16]Лист1!$F$30</f>
        <v>6692357</v>
      </c>
      <c r="G30" s="12">
        <f>100%-F30/18900000</f>
        <v>0.645907037037037</v>
      </c>
      <c r="H30" s="13">
        <f>18900000-F30</f>
        <v>12207643</v>
      </c>
      <c r="I30" s="26">
        <f t="shared" si="1"/>
        <v>0.93477634262487785</v>
      </c>
      <c r="J30" s="11"/>
    </row>
    <row r="31" spans="1:11" s="14" customFormat="1" ht="40.049999999999997" customHeight="1">
      <c r="A31" s="23">
        <f t="shared" si="2"/>
        <v>26</v>
      </c>
      <c r="B31" s="15" t="s">
        <v>33</v>
      </c>
      <c r="C31" s="10" t="s">
        <v>12</v>
      </c>
      <c r="D31" s="15" t="s">
        <v>13</v>
      </c>
      <c r="E31" s="27">
        <f>[17]Лист1!$E$37</f>
        <v>8320286</v>
      </c>
      <c r="F31" s="27">
        <f>[17]Лист1!$F$37</f>
        <v>9174267</v>
      </c>
      <c r="G31" s="12">
        <f>100%-F31/18900000</f>
        <v>0.51458904761904756</v>
      </c>
      <c r="H31" s="13">
        <f>18900000-F31</f>
        <v>9725733</v>
      </c>
      <c r="I31" s="26">
        <f t="shared" si="1"/>
        <v>0.90691561516576746</v>
      </c>
      <c r="J31" s="11"/>
    </row>
    <row r="32" spans="1:11" s="14" customFormat="1" ht="40.049999999999997" customHeight="1">
      <c r="A32" s="23">
        <f t="shared" si="2"/>
        <v>27</v>
      </c>
      <c r="B32" s="15" t="s">
        <v>42</v>
      </c>
      <c r="C32" s="10" t="s">
        <v>12</v>
      </c>
      <c r="D32" s="15" t="s">
        <v>13</v>
      </c>
      <c r="E32" s="32">
        <f>[18]Лист1!$E$30</f>
        <v>6320916</v>
      </c>
      <c r="F32" s="27">
        <f>[18]Лист1!$F$30</f>
        <v>8887400</v>
      </c>
      <c r="G32" s="12">
        <f>100%-F32/16800000</f>
        <v>0.47098809523809526</v>
      </c>
      <c r="H32" s="13">
        <f>16800000-F32</f>
        <v>7912600</v>
      </c>
      <c r="I32" s="26">
        <f t="shared" si="1"/>
        <v>0.71122217971510227</v>
      </c>
      <c r="J32" s="11"/>
    </row>
    <row r="33" spans="1:11" s="14" customFormat="1" ht="40.049999999999997" customHeight="1">
      <c r="A33" s="23">
        <f t="shared" si="2"/>
        <v>28</v>
      </c>
      <c r="B33" s="15" t="s">
        <v>39</v>
      </c>
      <c r="C33" s="10" t="s">
        <v>12</v>
      </c>
      <c r="D33" s="15" t="s">
        <v>13</v>
      </c>
      <c r="E33" s="24">
        <f>[19]Лист1!$E$31</f>
        <v>9915346</v>
      </c>
      <c r="F33" s="24">
        <f>[19]Лист1!$F$31</f>
        <v>10369106</v>
      </c>
      <c r="G33" s="29">
        <f>100%-F33/16800000</f>
        <v>0.38279130952380958</v>
      </c>
      <c r="H33" s="30">
        <f>16800000-F33</f>
        <v>6430894</v>
      </c>
      <c r="I33" s="26">
        <f t="shared" si="1"/>
        <v>0.95623923605371575</v>
      </c>
      <c r="J33" s="11"/>
      <c r="K33" s="16"/>
    </row>
    <row r="34" spans="1:11" ht="40.049999999999997" customHeight="1">
      <c r="A34" s="23">
        <f t="shared" si="2"/>
        <v>29</v>
      </c>
      <c r="B34" s="15" t="s">
        <v>38</v>
      </c>
      <c r="C34" s="10" t="s">
        <v>12</v>
      </c>
      <c r="D34" s="15" t="s">
        <v>13</v>
      </c>
      <c r="E34" s="32">
        <f>[20]Лист1!$E$31</f>
        <v>4767570</v>
      </c>
      <c r="F34" s="27">
        <f>[20]Лист1!$F$31</f>
        <v>8693057</v>
      </c>
      <c r="G34" s="12">
        <f>100%-F34/14000000</f>
        <v>0.37906735714285711</v>
      </c>
      <c r="H34" s="13">
        <f>14000000-F34</f>
        <v>5306943</v>
      </c>
      <c r="I34" s="26">
        <f t="shared" si="1"/>
        <v>0.54843422745301218</v>
      </c>
      <c r="J34" s="11"/>
      <c r="K34" s="14"/>
    </row>
    <row r="35" spans="1:11" ht="40.049999999999997" customHeight="1">
      <c r="A35" s="23">
        <f t="shared" si="2"/>
        <v>30</v>
      </c>
      <c r="B35" s="15" t="s">
        <v>34</v>
      </c>
      <c r="C35" s="10" t="s">
        <v>12</v>
      </c>
      <c r="D35" s="15" t="s">
        <v>13</v>
      </c>
      <c r="E35" s="24">
        <f>[21]Лист1!$E$39</f>
        <v>11248736</v>
      </c>
      <c r="F35" s="24">
        <f>[21]Лист1!$F$39</f>
        <v>12230442</v>
      </c>
      <c r="G35" s="29">
        <f>100%-F35/18200000</f>
        <v>0.32799769230769227</v>
      </c>
      <c r="H35" s="30">
        <f>18200000-F35</f>
        <v>5969558</v>
      </c>
      <c r="I35" s="26">
        <f t="shared" si="1"/>
        <v>0.91973258202769781</v>
      </c>
      <c r="J35" s="11"/>
      <c r="K35" s="16"/>
    </row>
    <row r="36" spans="1:11" ht="40.049999999999997" customHeight="1">
      <c r="A36" s="23">
        <f t="shared" si="2"/>
        <v>31</v>
      </c>
      <c r="B36" s="15" t="s">
        <v>21</v>
      </c>
      <c r="C36" s="10" t="s">
        <v>12</v>
      </c>
      <c r="D36" s="15" t="s">
        <v>13</v>
      </c>
      <c r="E36" s="24">
        <f>[22]Лист1!$E$31</f>
        <v>11014310</v>
      </c>
      <c r="F36" s="24">
        <f>[22]Лист1!$F$31</f>
        <v>12128977</v>
      </c>
      <c r="G36" s="29">
        <f>100%-F36/16800000</f>
        <v>0.27803708333333332</v>
      </c>
      <c r="H36" s="30">
        <f>16800000-F36</f>
        <v>4671023</v>
      </c>
      <c r="I36" s="26">
        <f t="shared" si="1"/>
        <v>0.90809884460989576</v>
      </c>
      <c r="J36" s="11"/>
      <c r="K36" s="16"/>
    </row>
    <row r="37" spans="1:11" s="41" customFormat="1" ht="40.049999999999997" customHeight="1">
      <c r="A37" s="23">
        <f t="shared" si="2"/>
        <v>32</v>
      </c>
      <c r="B37" s="15" t="s">
        <v>28</v>
      </c>
      <c r="C37" s="10" t="s">
        <v>12</v>
      </c>
      <c r="D37" s="15" t="s">
        <v>13</v>
      </c>
      <c r="E37" s="32">
        <f>[23]Лист1!$E$31</f>
        <v>7344547</v>
      </c>
      <c r="F37" s="27">
        <f>[23]Лист1!$F$31</f>
        <v>12176093</v>
      </c>
      <c r="G37" s="12">
        <f>100%-F37/16800000</f>
        <v>0.27523255952380954</v>
      </c>
      <c r="H37" s="13">
        <f>16800000-F37</f>
        <v>4623907</v>
      </c>
      <c r="I37" s="26">
        <f t="shared" si="1"/>
        <v>0.60319406233181694</v>
      </c>
      <c r="J37" s="11"/>
      <c r="K37" s="14"/>
    </row>
    <row r="38" spans="1:11" ht="40.049999999999997" customHeight="1">
      <c r="A38" s="23">
        <f t="shared" si="2"/>
        <v>33</v>
      </c>
      <c r="B38" s="15" t="s">
        <v>24</v>
      </c>
      <c r="C38" s="10" t="s">
        <v>12</v>
      </c>
      <c r="D38" s="15" t="s">
        <v>13</v>
      </c>
      <c r="E38" s="32">
        <f>[24]Лист1!$E$31</f>
        <v>4780944</v>
      </c>
      <c r="F38" s="27">
        <f>[24]Лист1!$F$31</f>
        <v>13180338</v>
      </c>
      <c r="G38" s="12">
        <f>100%-F38/16800000</f>
        <v>0.21545607142857148</v>
      </c>
      <c r="H38" s="13">
        <f>16800000-F38</f>
        <v>3619662</v>
      </c>
      <c r="I38" s="26">
        <f t="shared" si="1"/>
        <v>0.36273303461565248</v>
      </c>
      <c r="J38" s="11"/>
      <c r="K38" s="14"/>
    </row>
    <row r="39" spans="1:11" ht="40.049999999999997" customHeight="1">
      <c r="A39" s="23">
        <f t="shared" si="2"/>
        <v>34</v>
      </c>
      <c r="B39" s="15" t="s">
        <v>17</v>
      </c>
      <c r="C39" s="10" t="s">
        <v>12</v>
      </c>
      <c r="D39" s="15" t="s">
        <v>13</v>
      </c>
      <c r="E39" s="28">
        <f>[25]Лист1!$E$30</f>
        <v>10173760</v>
      </c>
      <c r="F39" s="24">
        <f>[25]Лист1!$F$30</f>
        <v>18138751</v>
      </c>
      <c r="G39" s="29">
        <f>100%-F39/19600000</f>
        <v>7.4553520408163321E-2</v>
      </c>
      <c r="H39" s="30">
        <f>19600000-F39</f>
        <v>1461249</v>
      </c>
      <c r="I39" s="26">
        <f t="shared" si="1"/>
        <v>0.56088536636287689</v>
      </c>
      <c r="J39" s="11"/>
      <c r="K39" s="16"/>
    </row>
    <row r="40" spans="1:11" ht="40.049999999999997" customHeight="1">
      <c r="A40" s="23">
        <f t="shared" si="2"/>
        <v>35</v>
      </c>
      <c r="B40" s="15" t="s">
        <v>37</v>
      </c>
      <c r="C40" s="10" t="s">
        <v>12</v>
      </c>
      <c r="D40" s="15" t="s">
        <v>13</v>
      </c>
      <c r="E40" s="27">
        <f>[26]Лист1!$E$30</f>
        <v>15918082</v>
      </c>
      <c r="F40" s="27">
        <f>[26]Лист1!$F$30</f>
        <v>19503919</v>
      </c>
      <c r="G40" s="12">
        <f>100%-F40/21000000</f>
        <v>7.1241952380952434E-2</v>
      </c>
      <c r="H40" s="13">
        <f>21000000-F40</f>
        <v>1496081</v>
      </c>
      <c r="I40" s="26">
        <f t="shared" si="1"/>
        <v>0.81614787264036526</v>
      </c>
      <c r="J40" s="11"/>
      <c r="K40" s="14"/>
    </row>
    <row r="41" spans="1:11" s="41" customFormat="1" ht="40.049999999999997" customHeight="1">
      <c r="A41" s="23">
        <f t="shared" si="2"/>
        <v>36</v>
      </c>
      <c r="B41" s="15" t="s">
        <v>46</v>
      </c>
      <c r="C41" s="10" t="s">
        <v>12</v>
      </c>
      <c r="D41" s="15" t="s">
        <v>13</v>
      </c>
      <c r="E41" s="27">
        <f>[27]Лист1!$E$26</f>
        <v>17697766</v>
      </c>
      <c r="F41" s="27">
        <f>[27]Лист1!$F$26</f>
        <v>18498950</v>
      </c>
      <c r="G41" s="19">
        <f>100%-F41/16800000</f>
        <v>-0.1011279761904762</v>
      </c>
      <c r="H41" s="13">
        <f>16800000-F41</f>
        <v>-1698950</v>
      </c>
      <c r="I41" s="26">
        <f t="shared" si="1"/>
        <v>0.95669029863857136</v>
      </c>
      <c r="J41" s="11"/>
      <c r="K41" s="14"/>
    </row>
  </sheetData>
  <autoFilter ref="A3:K21">
    <filterColumn colId="6" showButton="0"/>
    <sortState ref="A6:K41">
      <sortCondition descending="1" ref="G3:G21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80" zoomScaleNormal="80" workbookViewId="0">
      <selection sqref="A1:XFD2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71.400000000000006" customHeight="1">
      <c r="A1" s="52" t="s">
        <v>0</v>
      </c>
      <c r="B1" s="50" t="s">
        <v>5</v>
      </c>
      <c r="C1" s="60" t="s">
        <v>9</v>
      </c>
      <c r="D1" s="56" t="s">
        <v>10</v>
      </c>
      <c r="E1" s="6" t="s">
        <v>43</v>
      </c>
      <c r="F1" s="3" t="s">
        <v>6</v>
      </c>
      <c r="G1" s="54" t="s">
        <v>1</v>
      </c>
      <c r="H1" s="55"/>
      <c r="I1" s="58" t="s">
        <v>7</v>
      </c>
      <c r="J1" s="45" t="s">
        <v>4</v>
      </c>
      <c r="K1" s="62" t="s">
        <v>8</v>
      </c>
      <c r="L1" s="2"/>
    </row>
    <row r="2" spans="1:12" ht="13.8" thickBot="1">
      <c r="A2" s="53"/>
      <c r="B2" s="51"/>
      <c r="C2" s="61"/>
      <c r="D2" s="57"/>
      <c r="E2" s="7" t="s">
        <v>2</v>
      </c>
      <c r="F2" s="4" t="s">
        <v>2</v>
      </c>
      <c r="G2" s="4" t="s">
        <v>3</v>
      </c>
      <c r="H2" s="5" t="s">
        <v>2</v>
      </c>
      <c r="I2" s="59"/>
      <c r="J2" s="46"/>
      <c r="K2" s="63"/>
      <c r="L2" s="1"/>
    </row>
    <row r="3" spans="1:12" ht="30.6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[28]Лист1!$E$32</f>
        <v>8848812</v>
      </c>
      <c r="F3" s="24">
        <f>[28]Лист1!$F$32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2020-02-03T07:42:11Z</cp:lastPrinted>
  <dcterms:created xsi:type="dcterms:W3CDTF">2005-06-28T07:56:17Z</dcterms:created>
  <dcterms:modified xsi:type="dcterms:W3CDTF">2020-02-10T11:59:36Z</dcterms:modified>
</cp:coreProperties>
</file>