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7C6CA417-DC93-4D0C-901D-56552EB9741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На списание" sheetId="3" r:id="rId2"/>
    <sheet name="Списанные формокомплекты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1" l="1"/>
  <c r="A7" i="2" l="1"/>
  <c r="A8" i="2" s="1"/>
  <c r="F8" i="2"/>
  <c r="H8" i="2" s="1"/>
  <c r="E8" i="2"/>
  <c r="I8" i="2" s="1"/>
  <c r="H7" i="2"/>
  <c r="G7" i="2"/>
  <c r="F7" i="2"/>
  <c r="E7" i="2"/>
  <c r="H13" i="1"/>
  <c r="G13" i="1"/>
  <c r="F13" i="1"/>
  <c r="E13" i="1"/>
  <c r="I13" i="1" s="1"/>
  <c r="I7" i="2" l="1"/>
  <c r="G8" i="2"/>
  <c r="H11" i="1" l="1"/>
  <c r="G11" i="1"/>
  <c r="F11" i="1"/>
  <c r="E11" i="1"/>
  <c r="I11" i="1" l="1"/>
  <c r="H54" i="1" l="1"/>
  <c r="G54" i="1"/>
  <c r="F54" i="1"/>
  <c r="E54" i="1"/>
  <c r="F48" i="1" l="1"/>
  <c r="E48" i="1"/>
  <c r="H48" i="1" l="1"/>
  <c r="G48" i="1" l="1"/>
  <c r="G7" i="1" l="1"/>
  <c r="H7" i="1"/>
  <c r="F7" i="1"/>
  <c r="E7" i="1"/>
  <c r="I7" i="1" s="1"/>
  <c r="H17" i="1" l="1"/>
  <c r="G17" i="1"/>
  <c r="F17" i="1"/>
  <c r="E17" i="1"/>
  <c r="I17" i="1" l="1"/>
  <c r="G38" i="1"/>
  <c r="H38" i="1"/>
  <c r="F38" i="1"/>
  <c r="E38" i="1"/>
  <c r="F51" i="1" l="1"/>
  <c r="E51" i="1"/>
  <c r="H8" i="1" l="1"/>
  <c r="G8" i="1"/>
  <c r="F8" i="1"/>
  <c r="E8" i="1"/>
  <c r="I8" i="1" l="1"/>
  <c r="G52" i="1"/>
  <c r="H52" i="1"/>
  <c r="F52" i="1"/>
  <c r="E52" i="1"/>
  <c r="F4" i="3" l="1"/>
  <c r="H4" i="3" s="1"/>
  <c r="E4" i="3"/>
  <c r="A6" i="2"/>
  <c r="H6" i="2"/>
  <c r="G6" i="2"/>
  <c r="F6" i="2"/>
  <c r="E6" i="2"/>
  <c r="F5" i="2"/>
  <c r="G5" i="2" s="1"/>
  <c r="E5" i="2"/>
  <c r="A5" i="2"/>
  <c r="H29" i="1"/>
  <c r="G29" i="1"/>
  <c r="F29" i="1"/>
  <c r="E29" i="1"/>
  <c r="I4" i="3" l="1"/>
  <c r="I6" i="2"/>
  <c r="I29" i="1"/>
  <c r="I5" i="2"/>
  <c r="G4" i="3"/>
  <c r="H5" i="2"/>
  <c r="H22" i="1"/>
  <c r="G22" i="1"/>
  <c r="F22" i="1"/>
  <c r="E22" i="1"/>
  <c r="I22" i="1" l="1"/>
  <c r="H14" i="1" l="1"/>
  <c r="G14" i="1"/>
  <c r="F14" i="1"/>
  <c r="E14" i="1"/>
  <c r="I14" i="1" l="1"/>
  <c r="G43" i="1"/>
  <c r="H43" i="1"/>
  <c r="F43" i="1"/>
  <c r="E43" i="1"/>
  <c r="I43" i="1" l="1"/>
  <c r="H49" i="1"/>
  <c r="G49" i="1"/>
  <c r="H3" i="3" l="1"/>
  <c r="G3" i="3"/>
  <c r="F3" i="3"/>
  <c r="E3" i="3"/>
  <c r="A4" i="3"/>
  <c r="I3" i="3" l="1"/>
  <c r="A4" i="2" l="1"/>
  <c r="F4" i="2"/>
  <c r="H4" i="2" s="1"/>
  <c r="E4" i="2"/>
  <c r="I6" i="1"/>
  <c r="H55" i="1"/>
  <c r="G55" i="1"/>
  <c r="F55" i="1"/>
  <c r="E55" i="1"/>
  <c r="I4" i="2" l="1"/>
  <c r="G4" i="2"/>
  <c r="H10" i="1" l="1"/>
  <c r="G10" i="1"/>
  <c r="F10" i="1"/>
  <c r="E10" i="1"/>
  <c r="I10" i="1" l="1"/>
  <c r="H21" i="1"/>
  <c r="G21" i="1"/>
  <c r="F21" i="1"/>
  <c r="E21" i="1"/>
  <c r="I21" i="1" l="1"/>
  <c r="H36" i="1"/>
  <c r="G36" i="1"/>
  <c r="F36" i="1"/>
  <c r="E36" i="1"/>
  <c r="I55" i="1" l="1"/>
  <c r="F53" i="1"/>
  <c r="E53" i="1"/>
  <c r="H23" i="1" l="1"/>
  <c r="G23" i="1"/>
  <c r="F23" i="1"/>
  <c r="E23" i="1"/>
  <c r="F44" i="1" l="1"/>
  <c r="E44" i="1"/>
  <c r="H44" i="1" l="1"/>
  <c r="G44" i="1" l="1"/>
  <c r="H12" i="1" l="1"/>
  <c r="G12" i="1"/>
  <c r="F12" i="1"/>
  <c r="E12" i="1"/>
  <c r="I12" i="1" l="1"/>
  <c r="F49" i="1" l="1"/>
  <c r="E49" i="1"/>
  <c r="I48" i="1" l="1"/>
  <c r="F50" i="1"/>
  <c r="H50" i="1" s="1"/>
  <c r="E50" i="1"/>
  <c r="I50" i="1" l="1"/>
  <c r="G50" i="1"/>
  <c r="F25" i="1" l="1"/>
  <c r="H25" i="1" s="1"/>
  <c r="E25" i="1"/>
  <c r="I25" i="1" l="1"/>
  <c r="G25" i="1"/>
  <c r="F15" i="1"/>
  <c r="G15" i="1" s="1"/>
  <c r="E15" i="1"/>
  <c r="I15" i="1" l="1"/>
  <c r="H15" i="1"/>
  <c r="F24" i="1" l="1"/>
  <c r="H24" i="1" s="1"/>
  <c r="E24" i="1"/>
  <c r="I24" i="1" l="1"/>
  <c r="G24" i="1"/>
  <c r="F46" i="1" l="1"/>
  <c r="G46" i="1" s="1"/>
  <c r="E46" i="1"/>
  <c r="H46" i="1" l="1"/>
  <c r="F34" i="1"/>
  <c r="G34" i="1" s="1"/>
  <c r="E34" i="1"/>
  <c r="H34" i="1" l="1"/>
  <c r="H51" i="1"/>
  <c r="G51" i="1" l="1"/>
  <c r="I51" i="1"/>
  <c r="F41" i="1" l="1"/>
  <c r="H41" i="1" s="1"/>
  <c r="E41" i="1"/>
  <c r="I41" i="1" l="1"/>
  <c r="G41" i="1"/>
  <c r="F26" i="1" l="1"/>
  <c r="H26" i="1" s="1"/>
  <c r="E26" i="1"/>
  <c r="I26" i="1" l="1"/>
  <c r="G26" i="1"/>
  <c r="F9" i="1" l="1"/>
  <c r="G9" i="1" s="1"/>
  <c r="E9" i="1"/>
  <c r="H9" i="1" l="1"/>
  <c r="F19" i="1" l="1"/>
  <c r="H19" i="1" s="1"/>
  <c r="E19" i="1"/>
  <c r="F31" i="1"/>
  <c r="H31" i="1" s="1"/>
  <c r="E31" i="1"/>
  <c r="I19" i="1" l="1"/>
  <c r="G19" i="1"/>
  <c r="G31" i="1"/>
  <c r="F3" i="2" l="1"/>
  <c r="G3" i="2" s="1"/>
  <c r="E3" i="2"/>
  <c r="I3" i="2" l="1"/>
  <c r="H3" i="2"/>
  <c r="F18" i="1"/>
  <c r="G18" i="1" s="1"/>
  <c r="E18" i="1"/>
  <c r="F33" i="1"/>
  <c r="E33" i="1"/>
  <c r="H33" i="1" l="1"/>
  <c r="G33" i="1"/>
  <c r="H18" i="1"/>
  <c r="F27" i="1"/>
  <c r="E27" i="1"/>
  <c r="H27" i="1" l="1"/>
  <c r="G27" i="1"/>
  <c r="I27" i="1"/>
  <c r="F40" i="1"/>
  <c r="E40" i="1"/>
  <c r="H40" i="1" l="1"/>
  <c r="G40" i="1"/>
  <c r="I9" i="1"/>
  <c r="F28" i="1"/>
  <c r="E28" i="1"/>
  <c r="H28" i="1" l="1"/>
  <c r="G28" i="1"/>
  <c r="I28" i="1"/>
  <c r="F32" i="1" l="1"/>
  <c r="E32" i="1"/>
  <c r="H32" i="1" l="1"/>
  <c r="G32" i="1"/>
  <c r="I32" i="1"/>
  <c r="I40" i="1"/>
  <c r="F35" i="1" l="1"/>
  <c r="E35" i="1"/>
  <c r="H35" i="1" l="1"/>
  <c r="G35" i="1"/>
  <c r="F42" i="1" l="1"/>
  <c r="E42" i="1"/>
  <c r="G42" i="1" l="1"/>
  <c r="H42" i="1"/>
  <c r="I38" i="1" l="1"/>
  <c r="F20" i="1" l="1"/>
  <c r="H20" i="1" s="1"/>
  <c r="E20" i="1"/>
  <c r="G20" i="1" l="1"/>
  <c r="F47" i="1" l="1"/>
  <c r="E47" i="1"/>
  <c r="H47" i="1" l="1"/>
  <c r="G47" i="1"/>
  <c r="I54" i="1" l="1"/>
  <c r="F39" i="1" l="1"/>
  <c r="E39" i="1"/>
  <c r="H39" i="1" l="1"/>
  <c r="G39" i="1"/>
  <c r="F45" i="1"/>
  <c r="E45" i="1"/>
  <c r="H45" i="1" l="1"/>
  <c r="G45" i="1"/>
  <c r="G5" i="1"/>
  <c r="I5" i="1"/>
  <c r="H5" i="1"/>
  <c r="I34" i="1"/>
  <c r="I42" i="1"/>
  <c r="H6" i="1"/>
  <c r="G6" i="1"/>
  <c r="I20" i="1"/>
  <c r="I23" i="1"/>
  <c r="I39" i="1"/>
  <c r="I49" i="1"/>
  <c r="I18" i="1"/>
  <c r="H30" i="1"/>
  <c r="G30" i="1"/>
  <c r="I47" i="1"/>
  <c r="I30" i="1"/>
  <c r="H16" i="1"/>
  <c r="G16" i="1"/>
  <c r="I16" i="1"/>
  <c r="I46" i="1"/>
  <c r="I52" i="1"/>
  <c r="I36" i="1"/>
  <c r="I35" i="1"/>
  <c r="I31" i="1"/>
  <c r="I33" i="1"/>
  <c r="I44" i="1"/>
  <c r="I45" i="1"/>
  <c r="H53" i="1" l="1"/>
  <c r="G53" i="1"/>
  <c r="I53" i="1"/>
  <c r="F37" i="1" l="1"/>
  <c r="E37" i="1"/>
  <c r="I37" i="1" l="1"/>
  <c r="H37" i="1"/>
  <c r="G37" i="1" l="1"/>
  <c r="A5" i="1" l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l="1"/>
  <c r="A51" i="1" s="1"/>
  <c r="A53" i="1" s="1"/>
  <c r="A54" i="1" s="1"/>
  <c r="A55" i="1" s="1"/>
  <c r="A49" i="1"/>
</calcChain>
</file>

<file path=xl/sharedStrings.xml><?xml version="1.0" encoding="utf-8"?>
<sst xmlns="http://schemas.openxmlformats.org/spreadsheetml/2006/main" count="195" uniqueCount="82">
  <si>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</si>
  <si>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</si>
  <si>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</si>
  <si>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</si>
  <si>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</si>
  <si>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</si>
  <si>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</si>
  <si>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</si>
  <si>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Владелец</t>
  </si>
  <si>
    <t>Номер и дата договора аренды, покупки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</si>
  <si>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</si>
  <si>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</si>
  <si>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</si>
  <si>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</si>
  <si>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</si>
  <si>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</si>
  <si>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</si>
  <si>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</si>
  <si>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</si>
  <si>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</si>
  <si>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</si>
  <si>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</si>
  <si>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</si>
  <si>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</si>
  <si>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</si>
  <si>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</si>
  <si>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</si>
  <si>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</si>
  <si>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</si>
  <si>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</si>
  <si>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</si>
  <si>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</si>
  <si>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</si>
  <si>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</si>
  <si>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</si>
  <si>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</si>
  <si>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</si>
  <si>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</si>
  <si>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</si>
  <si>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</si>
  <si>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</si>
  <si>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</si>
  <si>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</si>
  <si>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</si>
  <si>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</si>
  <si>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</si>
  <si>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</si>
  <si>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</si>
  <si>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</si>
  <si>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</si>
  <si>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</si>
  <si>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</si>
  <si>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</si>
  <si>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</si>
  <si>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</si>
  <si>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</si>
  <si>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</si>
  <si>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</si>
  <si>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</si>
  <si>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</si>
  <si>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</si>
  <si>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</si>
  <si>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 xml:space="preserve"> "Брест колоски" ХXI-В-28-2.1-500-14</t>
  </si>
  <si>
    <t>Забрали</t>
  </si>
  <si>
    <t xml:space="preserve"> </t>
  </si>
  <si>
    <t>XXI-КПМ-30-1-500-4 (Аква Мятая)</t>
  </si>
  <si>
    <t>Ice Cube</t>
  </si>
  <si>
    <t>«Фляга 0,2 л» тип XIII-В-28-2-200-3 (бронза)</t>
  </si>
  <si>
    <t>ХXI-КПМ-26-2-700-17 (Бульбаш 0,7 л. Экстра New)</t>
  </si>
  <si>
    <t>ХXI-КПМ-26-2-1000-18 (Бульбаш 1 л. Экстра New)</t>
  </si>
  <si>
    <t>«Калина 0,35» тип XХI-В-28-2-350-1 Часть 2</t>
  </si>
  <si>
    <t>XXI-КПМ-22В-500-20 Чистая формула</t>
  </si>
  <si>
    <t>«Фирменная 3» тип XXI-B-28-2.1а-700-21</t>
  </si>
  <si>
    <t>"Залихватская" КПМ-26-34-500</t>
  </si>
  <si>
    <t>Дог. безв. польз. имуществом №1911 от 19/11/2019</t>
  </si>
  <si>
    <t>"Овал" тип XXI-КПМ-25-500-11</t>
  </si>
  <si>
    <t>"Овал 0,7 л." тип XXI-КПМ-25-500-12</t>
  </si>
  <si>
    <t>Витебск</t>
  </si>
  <si>
    <t>Таблица выработки формокомплектов, находящихся на ООО "Стеклозавод Ведатранзит" по состоянию на 01.07.2021 г.</t>
  </si>
  <si>
    <t>XXI-В-30-4А-500-22 (Штоф Кристал)</t>
  </si>
  <si>
    <t>Кристалл</t>
  </si>
  <si>
    <t>ХXI-КПМ-27-500-22 (Белалко)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</si>
</sst>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6" fillId="6" borderId="1" xfId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6" borderId="1" xfId="0" applyNumberFormat="1" applyFont="1" applyFill="1" applyBorder="1" applyAlignment="1">
      <alignment horizontal="center" vertical="center" wrapText="1"/>
    </xf>
    <xf numFmtId="9" fontId="11" fillId="6" borderId="1" xfId="3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9" fontId="10" fillId="6" borderId="1" xfId="0" applyNumberFormat="1" applyFont="1" applyFill="1" applyBorder="1" applyAlignment="1">
      <alignment horizontal="center" vertical="center" wrapText="1"/>
    </xf>
    <xf numFmtId="9" fontId="10" fillId="0" borderId="7" xfId="0" applyNumberFormat="1" applyFont="1" applyFill="1" applyBorder="1" applyAlignment="1">
      <alignment horizontal="center" vertical="center" wrapText="1"/>
    </xf>
    <xf numFmtId="3" fontId="10" fillId="0" borderId="7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9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9" fontId="11" fillId="3" borderId="23" xfId="3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4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54;&#1074;&#1072;&#1083;%200,7%20&#1083;.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11%20(&#1054;&#1074;&#1072;&#1083;)/XXI-&#1050;&#1055;&#1052;-30-1-500-11%20(&#1054;&#1074;&#1072;&#1083;)%20&#1086;&#1090;%2001.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2-700-17%20(&#1069;&#1082;&#1089;&#1090;&#1088;&#1072;%20New)/XXI-&#1050;&#1055;&#1052;-26-2-700-17%20(&#1069;&#1082;&#1089;&#1090;&#1088;&#1072;%20New)%20&#1086;&#1090;%2002.07.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45;&#1074;&#1088;&#1086;&#1090;&#1086;&#1088;&#1075;%20&#1086;&#1090;%2007.12.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50;&#1055;&#1052;-26-34-500%20&#1047;&#1072;&#1083;&#1080;&#1093;&#1074;&#1072;&#1090;&#1089;&#1082;&#1072;&#1103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&#1072;-700-21%20(&#1060;&#1080;&#1088;&#1084;&#1077;&#1085;&#1085;&#1072;&#1103;-3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2;&#1083;&#1072;&#1089;&#1099;%20%200,5%20&#1083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4-500-10%20(&#1040;&#1081;&#1089;%20&#1050;&#1091;&#1073;)%20&#1086;&#1090;%2009.06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500-4%20(&#1060;&#1083;&#1103;&#1075;&#1072;%200,5%20&#1083;.)/XIII-&#1042;-28-2-500-4%20(&#1060;&#1083;&#1103;&#1075;&#1072;%200,5%20&#1083;.)%20&#1086;&#1090;%2026.06.202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16%20&#1083;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2-1000-18%20(&#1069;&#1082;&#1089;&#1090;&#1088;&#1072;%20New)/XXI-&#1050;&#1055;&#1052;-26-2-1000-18%20(&#1069;&#1082;&#1089;&#1090;&#1088;&#1072;%20New)%20&#1086;&#1090;%2002.07.2020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14%20(&#1041;&#1088;&#1077;&#1089;&#1090;%20&#1082;&#1086;&#1083;&#1086;&#1089;&#1082;&#1080;)/&#1041;&#1088;&#1077;&#1089;&#1090;%20&#1082;&#1086;&#1083;&#1086;&#1089;&#1082;&#1080;%20&#1086;&#1090;%2013.11.2019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45%20&#1083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73;&#1088;&#1086;&#1085;&#1079;&#1072;%20&#1086;&#1090;%2006.08.20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86;&#1090;%2010.04.2020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4;&#1090;&#1086;&#1092;&#1092;%20&#1050;&#1088;&#1080;&#1089;&#1090;&#1072;&#1083;&#1083;%200,5%20&#1083;/&#1064;&#1090;&#1086;&#1092;&#1092;%20&#1050;&#1088;&#1080;&#1089;&#1090;&#1072;&#1083;&#1083;%20&#1089;&#1077;&#1088;&#1080;&#1103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%20&#1085;&#1086;&#1074;&#1099;&#1081;%20&#1092;-&#1090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4%20&#1040;&#1050;&#1042;&#1040;%20&#1052;&#1071;&#1058;&#1040;&#1071;/XXI-&#1050;&#1055;&#1052;-30-1-500-4%20&#1040;&#1050;&#1042;&#1040;%20&#1052;&#1071;&#1058;&#1040;&#1071;%20&#1086;&#1090;%2028.05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41;&#1077;&#1083;&#1072;&#1083;&#1082;&#1086;/&#1041;&#1077;&#1083;&#1072;&#1083;&#1082;&#1086;%20&#1086;&#1090;%2024.05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2&#1042;-500-20%20&#1063;&#1080;&#1089;&#1090;&#1072;&#1103;%20&#1092;&#1086;&#1088;&#1084;&#1091;&#1083;&#107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173712</v>
          </cell>
          <cell r="F32">
            <v>204423</v>
          </cell>
          <cell r="H32">
            <v>16595577</v>
          </cell>
          <cell r="I32">
            <v>0.98783196428571429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899340</v>
          </cell>
          <cell r="F32">
            <v>991358</v>
          </cell>
          <cell r="H32">
            <v>15808642</v>
          </cell>
          <cell r="I32">
            <v>0.94099059523809525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7">
          <cell r="E37">
            <v>761670</v>
          </cell>
          <cell r="F37">
            <v>873407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1222650</v>
          </cell>
          <cell r="F32">
            <v>1344169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1615056</v>
          </cell>
          <cell r="F31">
            <v>1753120</v>
          </cell>
          <cell r="H31">
            <v>15046880</v>
          </cell>
          <cell r="I31">
            <v>0.89564761904761903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1772226</v>
          </cell>
          <cell r="F32">
            <v>1862007</v>
          </cell>
          <cell r="H32">
            <v>14937993</v>
          </cell>
          <cell r="I32">
            <v>0.88916625000000005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1423626</v>
          </cell>
          <cell r="F32">
            <v>1582238</v>
          </cell>
          <cell r="H32">
            <v>11017762</v>
          </cell>
          <cell r="I32">
            <v>0.87442555555555557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18200000</v>
          </cell>
        </row>
        <row r="32">
          <cell r="E32">
            <v>2251092</v>
          </cell>
          <cell r="F32">
            <v>2430801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0">
          <cell r="A20">
            <v>16800000</v>
          </cell>
        </row>
        <row r="31">
          <cell r="E31">
            <v>2379828</v>
          </cell>
          <cell r="F31">
            <v>2473246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2853648</v>
          </cell>
          <cell r="F32">
            <v>3021559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209064</v>
          </cell>
          <cell r="F32">
            <v>274167</v>
          </cell>
          <cell r="H32">
            <v>15125833</v>
          </cell>
          <cell r="I32">
            <v>0.98219694805194802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2673204</v>
          </cell>
          <cell r="F31">
            <v>3078104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3360960</v>
          </cell>
          <cell r="F32">
            <v>3487599</v>
          </cell>
          <cell r="H32">
            <v>13312401</v>
          </cell>
          <cell r="I32">
            <v>0.79240482142857149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3401284</v>
          </cell>
          <cell r="F32">
            <v>3627561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3508836</v>
          </cell>
          <cell r="F32">
            <v>3815129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1841664</v>
          </cell>
          <cell r="F32">
            <v>4196198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4109952</v>
          </cell>
          <cell r="F30">
            <v>4708790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2529144</v>
          </cell>
          <cell r="F31">
            <v>3332388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1361360</v>
          </cell>
          <cell r="F31">
            <v>4846035</v>
          </cell>
          <cell r="H31">
            <v>11953965</v>
          </cell>
          <cell r="I31">
            <v>0.71154553571428569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7">
          <cell r="E37">
            <v>5327904</v>
          </cell>
          <cell r="F37">
            <v>5557379</v>
          </cell>
          <cell r="H37">
            <v>11242621</v>
          </cell>
          <cell r="I37">
            <v>0.669203630952381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6044050</v>
          </cell>
          <cell r="F33">
            <v>6475979</v>
          </cell>
          <cell r="H33">
            <v>11724021</v>
          </cell>
          <cell r="I33">
            <v>0.64417697802197804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7698145</v>
          </cell>
          <cell r="F30">
            <v>8363755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7189065</v>
          </cell>
          <cell r="F32">
            <v>7718319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7801200</v>
          </cell>
          <cell r="F32">
            <v>8210574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5">
          <cell r="E35">
            <v>7145088</v>
          </cell>
          <cell r="F35">
            <v>7528758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8431920</v>
          </cell>
          <cell r="F31">
            <v>8763155</v>
          </cell>
          <cell r="H31">
            <v>8036845</v>
          </cell>
          <cell r="I31">
            <v>0.4783836309523809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2">
          <cell r="E32">
            <v>9890430</v>
          </cell>
          <cell r="F32">
            <v>10532265</v>
          </cell>
          <cell r="H32">
            <v>6267735</v>
          </cell>
          <cell r="I32">
            <v>0.37307946428571426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5961565</v>
          </cell>
          <cell r="F35">
            <v>9807693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6585300</v>
          </cell>
          <cell r="F31">
            <v>10601261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232900</v>
          </cell>
          <cell r="F31">
            <v>359654</v>
          </cell>
          <cell r="H31">
            <v>16440346</v>
          </cell>
          <cell r="I31">
            <v>0.97859202380952381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8">
          <cell r="E38">
            <v>14343336</v>
          </cell>
          <cell r="F38">
            <v>14834520</v>
          </cell>
          <cell r="H38">
            <v>1965480</v>
          </cell>
          <cell r="I38">
            <v>0.11699285714285712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5">
          <cell r="E35">
            <v>14750608</v>
          </cell>
          <cell r="F35">
            <v>15391166</v>
          </cell>
          <cell r="H35">
            <v>1408834</v>
          </cell>
          <cell r="I35">
            <v>8.3859166666666596E-2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15138400</v>
          </cell>
          <cell r="F31">
            <v>15759091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5">
          <cell r="E35">
            <v>12037830</v>
          </cell>
          <cell r="F35">
            <v>16823645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9121896</v>
          </cell>
          <cell r="F33">
            <v>17665467</v>
          </cell>
          <cell r="H33">
            <v>-865467</v>
          </cell>
          <cell r="I33">
            <v>-5.1515892857142864E-2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18900000</v>
          </cell>
        </row>
        <row r="54">
          <cell r="E54">
            <v>18561530</v>
          </cell>
          <cell r="F54">
            <v>19984201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5">
          <cell r="E35">
            <v>17619903</v>
          </cell>
          <cell r="F35">
            <v>18109510</v>
          </cell>
          <cell r="H35">
            <v>-1309510</v>
          </cell>
          <cell r="I35">
            <v>-7.7947023809523897E-2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5">
          <cell r="E35">
            <v>53674243</v>
          </cell>
          <cell r="F35">
            <v>55464953</v>
          </cell>
          <cell r="H35">
            <v>-17064953</v>
          </cell>
          <cell r="I35">
            <v>-0.44439981770833348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16584750</v>
          </cell>
          <cell r="F31">
            <v>17141946</v>
          </cell>
          <cell r="H31">
            <v>-341946</v>
          </cell>
          <cell r="I31">
            <v>-2.0353928571428481E-2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6">
          <cell r="E36">
            <v>14320272</v>
          </cell>
          <cell r="F36">
            <v>17268245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395136</v>
          </cell>
          <cell r="F32">
            <v>424152</v>
          </cell>
          <cell r="H32">
            <v>16375848</v>
          </cell>
          <cell r="I32">
            <v>0.9747528571428572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20298152</v>
          </cell>
          <cell r="F36">
            <v>21209022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9">
          <cell r="E39">
            <v>13948077</v>
          </cell>
          <cell r="F39">
            <v>19061212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14802518</v>
          </cell>
          <cell r="F37">
            <v>16166846</v>
          </cell>
          <cell r="H37">
            <v>633154</v>
          </cell>
          <cell r="I37">
            <v>3.7687738095237955E-2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436272</v>
          </cell>
          <cell r="F32">
            <v>462924</v>
          </cell>
          <cell r="H32">
            <v>16337076</v>
          </cell>
          <cell r="I32">
            <v>0.972445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450576</v>
          </cell>
          <cell r="F32">
            <v>489940</v>
          </cell>
          <cell r="H32">
            <v>16310060</v>
          </cell>
          <cell r="I32">
            <v>0.97083690476190476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713912</v>
          </cell>
          <cell r="F31">
            <v>796205</v>
          </cell>
          <cell r="H31">
            <v>14603795</v>
          </cell>
          <cell r="I31">
            <v>0.94829837662337657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833490</v>
          </cell>
          <cell r="F32">
            <v>911671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7"/>
  <sheetViews>
    <sheetView tabSelected="1" view="pageBreakPreview" zoomScale="110" zoomScaleNormal="90" zoomScaleSheetLayoutView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1" sqref="A51:A52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4.71093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1"/>
    </row>
    <row r="2" spans="1:11" ht="13.5" thickBot="1" x14ac:dyDescent="0.25">
      <c r="D2" s="80"/>
      <c r="E2" s="81"/>
      <c r="I2" s="1"/>
      <c r="J2" s="1"/>
      <c r="K2" s="1"/>
    </row>
    <row r="3" spans="1:11" ht="63.75" x14ac:dyDescent="0.2">
      <c r="A3" s="85" t="s">
        <v>0</v>
      </c>
      <c r="B3" s="83" t="s">
        <v>5</v>
      </c>
      <c r="C3" s="93" t="s">
        <v>8</v>
      </c>
      <c r="D3" s="89" t="s">
        <v>9</v>
      </c>
      <c r="E3" s="6" t="s">
        <v>40</v>
      </c>
      <c r="F3" s="3" t="s">
        <v>6</v>
      </c>
      <c r="G3" s="87" t="s">
        <v>1</v>
      </c>
      <c r="H3" s="88"/>
      <c r="I3" s="91" t="s">
        <v>7</v>
      </c>
      <c r="J3" s="78" t="s">
        <v>4</v>
      </c>
      <c r="K3" s="2"/>
    </row>
    <row r="4" spans="1:11" ht="13.5" thickBot="1" x14ac:dyDescent="0.25">
      <c r="A4" s="86"/>
      <c r="B4" s="84"/>
      <c r="C4" s="94"/>
      <c r="D4" s="90"/>
      <c r="E4" s="7" t="s">
        <v>2</v>
      </c>
      <c r="F4" s="4" t="s">
        <v>2</v>
      </c>
      <c r="G4" s="4" t="s">
        <v>3</v>
      </c>
      <c r="H4" s="5" t="s">
        <v>2</v>
      </c>
      <c r="I4" s="92"/>
      <c r="J4" s="79"/>
      <c r="K4" s="1"/>
    </row>
    <row r="5" spans="1:11" s="17" customFormat="1" ht="40.15" customHeight="1" x14ac:dyDescent="0.2">
      <c r="A5" s="23">
        <f t="shared" ref="A5:A12" si="0">A4+1</f>
        <v>1</v>
      </c>
      <c r="B5" s="46" t="s">
        <v>34</v>
      </c>
      <c r="C5" s="10" t="s">
        <v>10</v>
      </c>
      <c r="D5" s="15" t="s">
        <v>11</v>
      </c>
      <c r="E5" s="27"/>
      <c r="F5" s="27" t="s">
        <v>64</v>
      </c>
      <c r="G5" s="19" t="e">
        <f>100%-F5/19600000</f>
        <v>#VALUE!</v>
      </c>
      <c r="H5" s="20" t="e">
        <f>18900000-F5</f>
        <v>#VALUE!</v>
      </c>
      <c r="I5" s="26" t="e">
        <f t="shared" ref="I5:I36" si="1">E5/F5</f>
        <v>#VALUE!</v>
      </c>
      <c r="J5" s="11"/>
      <c r="K5"/>
    </row>
    <row r="6" spans="1:11" s="17" customFormat="1" ht="40.15" customHeight="1" x14ac:dyDescent="0.2">
      <c r="A6" s="23">
        <f t="shared" si="0"/>
        <v>2</v>
      </c>
      <c r="B6" s="46" t="s">
        <v>18</v>
      </c>
      <c r="C6" s="10" t="s">
        <v>10</v>
      </c>
      <c r="D6" s="15" t="s">
        <v>11</v>
      </c>
      <c r="E6" s="24"/>
      <c r="F6" s="24"/>
      <c r="G6" s="25">
        <f>100%-F6/16800000</f>
        <v>1</v>
      </c>
      <c r="H6" s="24">
        <f>18200000-F6</f>
        <v>18200000</v>
      </c>
      <c r="I6" s="26" t="e">
        <f t="shared" si="1"/>
        <v>#DIV/0!</v>
      </c>
      <c r="J6" s="11"/>
      <c r="K6" s="18"/>
    </row>
    <row r="7" spans="1:11" s="17" customFormat="1" ht="40.15" customHeight="1" x14ac:dyDescent="0.2">
      <c r="A7" s="23">
        <f t="shared" si="0"/>
        <v>3</v>
      </c>
      <c r="B7" s="46" t="s">
        <v>76</v>
      </c>
      <c r="C7" s="10" t="s">
        <v>77</v>
      </c>
      <c r="D7" s="15"/>
      <c r="E7" s="27">
        <f>[1]Паспорт!$E$32</f>
        <v>173712</v>
      </c>
      <c r="F7" s="27">
        <f>[1]Паспорт!$F$32</f>
        <v>204423</v>
      </c>
      <c r="G7" s="19">
        <f>[1]Паспорт!$I$32</f>
        <v>0.98783196428571429</v>
      </c>
      <c r="H7" s="20">
        <f>[1]Паспорт!$H$32</f>
        <v>16595577</v>
      </c>
      <c r="I7" s="26">
        <f t="shared" si="1"/>
        <v>0.84976739407992252</v>
      </c>
      <c r="J7" s="11"/>
      <c r="K7" s="14"/>
    </row>
    <row r="8" spans="1:11" s="17" customFormat="1" ht="40.15" customHeight="1" x14ac:dyDescent="0.2">
      <c r="A8" s="23">
        <f t="shared" si="0"/>
        <v>4</v>
      </c>
      <c r="B8" s="46" t="s">
        <v>73</v>
      </c>
      <c r="C8" s="10" t="s">
        <v>12</v>
      </c>
      <c r="D8" s="15" t="s">
        <v>74</v>
      </c>
      <c r="E8" s="24">
        <f>[2]Паспорт!$E$32</f>
        <v>209064</v>
      </c>
      <c r="F8" s="24">
        <f>[2]Паспорт!$F$32</f>
        <v>274167</v>
      </c>
      <c r="G8" s="25">
        <f>[2]Паспорт!$I$32</f>
        <v>0.98219694805194802</v>
      </c>
      <c r="H8" s="24">
        <f>[2]Паспорт!$H$32</f>
        <v>15125833</v>
      </c>
      <c r="I8" s="26">
        <f t="shared" si="1"/>
        <v>0.76254253794220306</v>
      </c>
      <c r="J8" s="11"/>
      <c r="K8" s="16"/>
    </row>
    <row r="9" spans="1:11" s="17" customFormat="1" ht="40.15" customHeight="1" x14ac:dyDescent="0.2">
      <c r="A9" s="23">
        <f t="shared" si="0"/>
        <v>5</v>
      </c>
      <c r="B9" s="49" t="s">
        <v>45</v>
      </c>
      <c r="C9" s="50"/>
      <c r="D9" s="21"/>
      <c r="E9" s="51">
        <f>[3]Паспорт!$E$32</f>
        <v>246960</v>
      </c>
      <c r="F9" s="51">
        <f>[3]Паспорт!$F$32</f>
        <v>275256</v>
      </c>
      <c r="G9" s="52">
        <f>100%-F9/[3]Паспорт!$A$21</f>
        <v>0.98033885714285718</v>
      </c>
      <c r="H9" s="51">
        <f>[3]Паспорт!$A$21-F9</f>
        <v>13724744</v>
      </c>
      <c r="I9" s="53">
        <f t="shared" si="1"/>
        <v>0.8972011509285901</v>
      </c>
      <c r="J9" s="54"/>
      <c r="K9" s="18"/>
    </row>
    <row r="10" spans="1:11" s="17" customFormat="1" ht="40.15" customHeight="1" x14ac:dyDescent="0.2">
      <c r="A10" s="23">
        <f t="shared" si="0"/>
        <v>6</v>
      </c>
      <c r="B10" s="47" t="s">
        <v>69</v>
      </c>
      <c r="C10" s="36" t="s">
        <v>56</v>
      </c>
      <c r="D10" s="35"/>
      <c r="E10" s="37">
        <f>[4]Паспорт!$E$31</f>
        <v>232900</v>
      </c>
      <c r="F10" s="37">
        <f>[4]Паспорт!$F$31</f>
        <v>359654</v>
      </c>
      <c r="G10" s="38">
        <f>[4]Паспорт!$I$31</f>
        <v>0.97859202380952381</v>
      </c>
      <c r="H10" s="43">
        <f>[4]Паспорт!$H$31</f>
        <v>16440346</v>
      </c>
      <c r="I10" s="39">
        <f t="shared" si="1"/>
        <v>0.64756682811813582</v>
      </c>
      <c r="J10" s="40"/>
      <c r="K10" s="14"/>
    </row>
    <row r="11" spans="1:11" s="17" customFormat="1" ht="40.15" customHeight="1" x14ac:dyDescent="0.2">
      <c r="A11" s="23">
        <f t="shared" si="0"/>
        <v>7</v>
      </c>
      <c r="B11" s="46" t="s">
        <v>79</v>
      </c>
      <c r="C11" s="10" t="s">
        <v>80</v>
      </c>
      <c r="D11" s="15"/>
      <c r="E11" s="27">
        <f>[5]Паспорт!$E$32</f>
        <v>395136</v>
      </c>
      <c r="F11" s="27">
        <f>[5]Паспорт!$F$32</f>
        <v>424152</v>
      </c>
      <c r="G11" s="19">
        <f>[5]Паспорт!$I$32</f>
        <v>0.9747528571428572</v>
      </c>
      <c r="H11" s="20">
        <f>[5]Паспорт!$H$32</f>
        <v>16375848</v>
      </c>
      <c r="I11" s="26">
        <f t="shared" si="1"/>
        <v>0.93159056187404521</v>
      </c>
      <c r="J11" s="11"/>
      <c r="K11" s="14"/>
    </row>
    <row r="12" spans="1:11" s="17" customFormat="1" ht="40.15" customHeight="1" x14ac:dyDescent="0.2">
      <c r="A12" s="23">
        <f t="shared" si="0"/>
        <v>8</v>
      </c>
      <c r="B12" s="46" t="s">
        <v>65</v>
      </c>
      <c r="C12" s="10"/>
      <c r="D12" s="15"/>
      <c r="E12" s="24">
        <f>[6]Паспорт!$E$32</f>
        <v>436272</v>
      </c>
      <c r="F12" s="24">
        <f>[6]Паспорт!$F$32</f>
        <v>462924</v>
      </c>
      <c r="G12" s="25">
        <f>[6]Паспорт!$I$32</f>
        <v>0.972445</v>
      </c>
      <c r="H12" s="24">
        <f>[6]Паспорт!$H$32</f>
        <v>16337076</v>
      </c>
      <c r="I12" s="26">
        <f t="shared" si="1"/>
        <v>0.94242683464240351</v>
      </c>
      <c r="J12" s="11"/>
      <c r="K12" s="16"/>
    </row>
    <row r="13" spans="1:11" s="17" customFormat="1" ht="40.15" customHeight="1" x14ac:dyDescent="0.2">
      <c r="A13" s="23">
        <f t="shared" ref="A13:A14" si="2">A12+1</f>
        <v>9</v>
      </c>
      <c r="B13" s="46" t="s">
        <v>81</v>
      </c>
      <c r="C13" s="10" t="s">
        <v>10</v>
      </c>
      <c r="D13" s="15" t="s">
        <v>11</v>
      </c>
      <c r="E13" s="37">
        <f>[7]Паспорт!$E$32</f>
        <v>450576</v>
      </c>
      <c r="F13" s="27">
        <f>[7]Паспорт!$F$32</f>
        <v>489940</v>
      </c>
      <c r="G13" s="19">
        <f>[7]Паспорт!$I$32</f>
        <v>0.97083690476190476</v>
      </c>
      <c r="H13" s="20">
        <f>[7]Паспорт!$H$32</f>
        <v>16310060</v>
      </c>
      <c r="I13" s="26">
        <f t="shared" si="1"/>
        <v>0.91965546801649178</v>
      </c>
      <c r="J13" s="11"/>
      <c r="K13" s="14"/>
    </row>
    <row r="14" spans="1:11" s="17" customFormat="1" ht="40.15" customHeight="1" x14ac:dyDescent="0.2">
      <c r="A14" s="23">
        <f t="shared" si="2"/>
        <v>10</v>
      </c>
      <c r="B14" s="46" t="s">
        <v>71</v>
      </c>
      <c r="C14" s="10" t="s">
        <v>12</v>
      </c>
      <c r="D14" s="15"/>
      <c r="E14" s="37">
        <f>[8]Паспорт!$E$31</f>
        <v>713912</v>
      </c>
      <c r="F14" s="27">
        <f>[8]Паспорт!$F$31</f>
        <v>796205</v>
      </c>
      <c r="G14" s="19">
        <f>[8]Паспорт!$I$31</f>
        <v>0.94829837662337657</v>
      </c>
      <c r="H14" s="20">
        <f>[8]Паспорт!$H$31</f>
        <v>14603795</v>
      </c>
      <c r="I14" s="26">
        <f t="shared" si="1"/>
        <v>0.89664345237721443</v>
      </c>
      <c r="J14" s="11"/>
      <c r="K14" s="14"/>
    </row>
    <row r="15" spans="1:11" s="14" customFormat="1" ht="40.15" customHeight="1" x14ac:dyDescent="0.2">
      <c r="A15" s="23">
        <f t="shared" ref="A15:A49" si="3">A14+1</f>
        <v>11</v>
      </c>
      <c r="B15" s="46" t="s">
        <v>59</v>
      </c>
      <c r="C15" s="10" t="s">
        <v>57</v>
      </c>
      <c r="D15" s="15" t="s">
        <v>58</v>
      </c>
      <c r="E15" s="27">
        <f>[9]Паспорт!$E$32</f>
        <v>833490</v>
      </c>
      <c r="F15" s="27">
        <f>[9]Паспорт!$F$32</f>
        <v>911671</v>
      </c>
      <c r="G15" s="19">
        <f>100%-F15/[9]Паспорт!$A$21</f>
        <v>0.94573386904761902</v>
      </c>
      <c r="H15" s="20">
        <f>[9]Паспорт!$A$21-F15</f>
        <v>15888329</v>
      </c>
      <c r="I15" s="26">
        <f t="shared" si="1"/>
        <v>0.91424428329956753</v>
      </c>
      <c r="J15" s="11"/>
    </row>
    <row r="16" spans="1:11" s="14" customFormat="1" ht="40.15" customHeight="1" x14ac:dyDescent="0.2">
      <c r="A16" s="23">
        <f t="shared" si="3"/>
        <v>12</v>
      </c>
      <c r="B16" s="46" t="s">
        <v>23</v>
      </c>
      <c r="C16" s="10" t="s">
        <v>10</v>
      </c>
      <c r="D16" s="15" t="s">
        <v>11</v>
      </c>
      <c r="E16" s="27">
        <v>763476</v>
      </c>
      <c r="F16" s="27">
        <v>975569</v>
      </c>
      <c r="G16" s="19">
        <f>100%-F16/16800000</f>
        <v>0.94193041666666666</v>
      </c>
      <c r="H16" s="20">
        <f>16800000-F16</f>
        <v>15824431</v>
      </c>
      <c r="I16" s="26">
        <f t="shared" si="1"/>
        <v>0.78259559293089465</v>
      </c>
      <c r="J16" s="11"/>
    </row>
    <row r="17" spans="1:11" s="14" customFormat="1" ht="40.15" customHeight="1" x14ac:dyDescent="0.2">
      <c r="A17" s="23">
        <f t="shared" si="3"/>
        <v>13</v>
      </c>
      <c r="B17" s="46" t="s">
        <v>75</v>
      </c>
      <c r="C17" s="10"/>
      <c r="D17" s="15"/>
      <c r="E17" s="37">
        <f>[10]Паспорт!$E$32</f>
        <v>899340</v>
      </c>
      <c r="F17" s="27">
        <f>[10]Паспорт!$F$32</f>
        <v>991358</v>
      </c>
      <c r="G17" s="19">
        <f>[10]Паспорт!$I$32</f>
        <v>0.94099059523809525</v>
      </c>
      <c r="H17" s="20">
        <f>[10]Паспорт!$H$32</f>
        <v>15808642</v>
      </c>
      <c r="I17" s="26">
        <f t="shared" si="1"/>
        <v>0.90717984824856412</v>
      </c>
      <c r="J17" s="11"/>
    </row>
    <row r="18" spans="1:11" s="14" customFormat="1" ht="40.15" customHeight="1" x14ac:dyDescent="0.2">
      <c r="A18" s="23">
        <f t="shared" si="3"/>
        <v>14</v>
      </c>
      <c r="B18" s="47" t="s">
        <v>47</v>
      </c>
      <c r="C18" s="36" t="s">
        <v>10</v>
      </c>
      <c r="D18" s="35" t="s">
        <v>11</v>
      </c>
      <c r="E18" s="37">
        <f>[11]Паспорт!$E$37</f>
        <v>761670</v>
      </c>
      <c r="F18" s="37">
        <f>[11]Паспорт!$F$37</f>
        <v>873407</v>
      </c>
      <c r="G18" s="69">
        <f>100%-F18/[11]Паспорт!$A$21</f>
        <v>0.93761378571428566</v>
      </c>
      <c r="H18" s="70">
        <f>[11]Паспорт!$A$21-F18</f>
        <v>13126593</v>
      </c>
      <c r="I18" s="39">
        <f t="shared" si="1"/>
        <v>0.87206766146825021</v>
      </c>
      <c r="J18" s="40"/>
      <c r="K18" s="41"/>
    </row>
    <row r="19" spans="1:11" s="14" customFormat="1" ht="40.15" customHeight="1" x14ac:dyDescent="0.2">
      <c r="A19" s="23">
        <f t="shared" si="3"/>
        <v>15</v>
      </c>
      <c r="B19" s="46" t="s">
        <v>51</v>
      </c>
      <c r="C19" s="36" t="s">
        <v>10</v>
      </c>
      <c r="D19" s="35" t="s">
        <v>11</v>
      </c>
      <c r="E19" s="33">
        <f>[12]Паспорт!$E$32</f>
        <v>1222650</v>
      </c>
      <c r="F19" s="24">
        <f>[12]Паспорт!$F$32</f>
        <v>1344169</v>
      </c>
      <c r="G19" s="29">
        <f>100%-F19/[12]Паспорт!$A$21</f>
        <v>0.91271629870129867</v>
      </c>
      <c r="H19" s="30">
        <f>[12]Паспорт!$A$21-F19</f>
        <v>14055831</v>
      </c>
      <c r="I19" s="26">
        <f t="shared" si="1"/>
        <v>0.90959544521559421</v>
      </c>
      <c r="J19" s="11"/>
      <c r="K19" s="18"/>
    </row>
    <row r="20" spans="1:11" s="14" customFormat="1" ht="40.15" customHeight="1" x14ac:dyDescent="0.2">
      <c r="A20" s="23">
        <f t="shared" si="3"/>
        <v>16</v>
      </c>
      <c r="B20" s="46" t="s">
        <v>28</v>
      </c>
      <c r="C20" s="10" t="s">
        <v>10</v>
      </c>
      <c r="D20" s="15" t="s">
        <v>11</v>
      </c>
      <c r="E20" s="48">
        <f>[13]Лист1!$E$32</f>
        <v>1036020</v>
      </c>
      <c r="F20" s="48">
        <f>[13]Лист1!$F$32</f>
        <v>1292677</v>
      </c>
      <c r="G20" s="12">
        <f>100%-F20/[13]Лист1!$A$21</f>
        <v>0.90766592857142858</v>
      </c>
      <c r="H20" s="13">
        <f>[13]Лист1!$A$21-F20</f>
        <v>12707323</v>
      </c>
      <c r="I20" s="26">
        <f t="shared" si="1"/>
        <v>0.80145310854915808</v>
      </c>
      <c r="J20" s="11"/>
    </row>
    <row r="21" spans="1:11" s="14" customFormat="1" ht="40.15" customHeight="1" x14ac:dyDescent="0.2">
      <c r="A21" s="23">
        <f t="shared" si="3"/>
        <v>17</v>
      </c>
      <c r="B21" s="47" t="s">
        <v>68</v>
      </c>
      <c r="C21" s="36" t="s">
        <v>56</v>
      </c>
      <c r="D21" s="35"/>
      <c r="E21" s="37">
        <f>[14]Паспорт!$E$31</f>
        <v>1615056</v>
      </c>
      <c r="F21" s="37">
        <f>[14]Паспорт!$F$31</f>
        <v>1753120</v>
      </c>
      <c r="G21" s="69">
        <f>[14]Паспорт!$I$31</f>
        <v>0.89564761904761903</v>
      </c>
      <c r="H21" s="70">
        <f>[14]Паспорт!$H$31</f>
        <v>15046880</v>
      </c>
      <c r="I21" s="39">
        <f t="shared" si="1"/>
        <v>0.9212466916126677</v>
      </c>
      <c r="J21" s="40"/>
    </row>
    <row r="22" spans="1:11" s="22" customFormat="1" ht="45.6" customHeight="1" x14ac:dyDescent="0.2">
      <c r="A22" s="23">
        <f t="shared" si="3"/>
        <v>18</v>
      </c>
      <c r="B22" s="46" t="s">
        <v>19</v>
      </c>
      <c r="C22" s="10" t="s">
        <v>10</v>
      </c>
      <c r="D22" s="15" t="s">
        <v>11</v>
      </c>
      <c r="E22" s="37">
        <f>[15]Паспорт!$E$32</f>
        <v>1772226</v>
      </c>
      <c r="F22" s="27">
        <f>[15]Паспорт!$F$32</f>
        <v>1862007</v>
      </c>
      <c r="G22" s="12">
        <f>[15]Паспорт!$I$32</f>
        <v>0.88916625000000005</v>
      </c>
      <c r="H22" s="13">
        <f>[15]Паспорт!$H$32</f>
        <v>14937993</v>
      </c>
      <c r="I22" s="26">
        <f t="shared" si="1"/>
        <v>0.95178267321229193</v>
      </c>
      <c r="J22" s="11"/>
      <c r="K22" s="14"/>
    </row>
    <row r="23" spans="1:11" s="14" customFormat="1" ht="40.15" customHeight="1" x14ac:dyDescent="0.2">
      <c r="A23" s="23">
        <f t="shared" si="3"/>
        <v>19</v>
      </c>
      <c r="B23" s="46" t="s">
        <v>27</v>
      </c>
      <c r="C23" s="10" t="s">
        <v>10</v>
      </c>
      <c r="D23" s="15" t="s">
        <v>11</v>
      </c>
      <c r="E23" s="27">
        <f>[16]Лист1!$E$32</f>
        <v>1423626</v>
      </c>
      <c r="F23" s="27">
        <f>[16]Лист1!$F$32</f>
        <v>1582238</v>
      </c>
      <c r="G23" s="12">
        <f>[16]Лист1!$I$32</f>
        <v>0.87442555555555557</v>
      </c>
      <c r="H23" s="13">
        <f>[16]Лист1!$H$32</f>
        <v>11017762</v>
      </c>
      <c r="I23" s="26">
        <f t="shared" si="1"/>
        <v>0.89975465132299948</v>
      </c>
      <c r="J23" s="11"/>
    </row>
    <row r="24" spans="1:11" s="14" customFormat="1" ht="40.15" customHeight="1" x14ac:dyDescent="0.2">
      <c r="A24" s="23">
        <f t="shared" si="3"/>
        <v>20</v>
      </c>
      <c r="B24" s="46" t="s">
        <v>55</v>
      </c>
      <c r="C24" s="10"/>
      <c r="D24" s="15"/>
      <c r="E24" s="27">
        <f>[17]Паспорт!$E$32</f>
        <v>2251092</v>
      </c>
      <c r="F24" s="27">
        <f>[17]Паспорт!$F$32</f>
        <v>2430801</v>
      </c>
      <c r="G24" s="12">
        <f>100%-F24/[17]Паспорт!$A$21</f>
        <v>0.86643950549450555</v>
      </c>
      <c r="H24" s="13">
        <f>[17]Паспорт!$A$21-F24</f>
        <v>15769199</v>
      </c>
      <c r="I24" s="26">
        <f t="shared" si="1"/>
        <v>0.92607004851487229</v>
      </c>
      <c r="J24" s="11"/>
    </row>
    <row r="25" spans="1:11" s="14" customFormat="1" ht="40.15" customHeight="1" x14ac:dyDescent="0.2">
      <c r="A25" s="23">
        <f t="shared" si="3"/>
        <v>21</v>
      </c>
      <c r="B25" s="46" t="s">
        <v>60</v>
      </c>
      <c r="C25" s="10" t="s">
        <v>10</v>
      </c>
      <c r="D25" s="15" t="s">
        <v>64</v>
      </c>
      <c r="E25" s="27">
        <f>[18]Паспорт!$E$31</f>
        <v>2379828</v>
      </c>
      <c r="F25" s="27">
        <f>[18]Паспорт!$F$31</f>
        <v>2473246</v>
      </c>
      <c r="G25" s="12">
        <f>100%-F25/[18]Паспорт!$A$20</f>
        <v>0.85278297619047616</v>
      </c>
      <c r="H25" s="13">
        <f>[18]Паспорт!$A$20-F25</f>
        <v>14326754</v>
      </c>
      <c r="I25" s="26">
        <f t="shared" si="1"/>
        <v>0.96222858542983591</v>
      </c>
      <c r="J25" s="11"/>
    </row>
    <row r="26" spans="1:11" s="14" customFormat="1" ht="40.15" customHeight="1" x14ac:dyDescent="0.2">
      <c r="A26" s="23">
        <f t="shared" si="3"/>
        <v>22</v>
      </c>
      <c r="B26" s="46" t="s">
        <v>52</v>
      </c>
      <c r="C26" s="10" t="s">
        <v>10</v>
      </c>
      <c r="D26" s="15" t="s">
        <v>11</v>
      </c>
      <c r="E26" s="27">
        <f>[19]Паспорт!$E$32</f>
        <v>2853648</v>
      </c>
      <c r="F26" s="27">
        <f>[19]Паспорт!$F$32</f>
        <v>3021559</v>
      </c>
      <c r="G26" s="12">
        <f>100%-F26/[19]Паспорт!$A$21</f>
        <v>0.82014529761904764</v>
      </c>
      <c r="H26" s="13">
        <f>[19]Паспорт!$A$21-F26</f>
        <v>13778441</v>
      </c>
      <c r="I26" s="26">
        <f t="shared" si="1"/>
        <v>0.94442901826507442</v>
      </c>
      <c r="J26" s="11"/>
    </row>
    <row r="27" spans="1:11" s="14" customFormat="1" ht="40.15" customHeight="1" x14ac:dyDescent="0.2">
      <c r="A27" s="23">
        <f t="shared" si="3"/>
        <v>23</v>
      </c>
      <c r="B27" s="49" t="s">
        <v>46</v>
      </c>
      <c r="C27" s="50"/>
      <c r="D27" s="21"/>
      <c r="E27" s="51">
        <f>[20]Лист1!$E$33</f>
        <v>2880934</v>
      </c>
      <c r="F27" s="51">
        <f>[20]Лист1!$F$33</f>
        <v>3213050</v>
      </c>
      <c r="G27" s="72">
        <f>100%-F27/[20]Лист1!$A$22</f>
        <v>0.80874702380952379</v>
      </c>
      <c r="H27" s="73">
        <f>[20]Лист1!$A$22-F27</f>
        <v>13586950</v>
      </c>
      <c r="I27" s="53">
        <f t="shared" si="1"/>
        <v>0.89663528423149341</v>
      </c>
      <c r="J27" s="54"/>
      <c r="K27" s="18"/>
    </row>
    <row r="28" spans="1:11" s="14" customFormat="1" ht="40.15" customHeight="1" x14ac:dyDescent="0.2">
      <c r="A28" s="23">
        <f t="shared" si="3"/>
        <v>24</v>
      </c>
      <c r="B28" s="46" t="s">
        <v>44</v>
      </c>
      <c r="C28" s="10"/>
      <c r="D28" s="15"/>
      <c r="E28" s="33">
        <f>[21]Паспорт!$E$31</f>
        <v>2673204</v>
      </c>
      <c r="F28" s="24">
        <f>[21]Паспорт!$F$31</f>
        <v>3078104</v>
      </c>
      <c r="G28" s="29">
        <f>100%-F28/[21]Паспорт!$A$20</f>
        <v>0.80012311688311688</v>
      </c>
      <c r="H28" s="30">
        <f>[21]Паспорт!$A$20-F28</f>
        <v>12321896</v>
      </c>
      <c r="I28" s="26">
        <f t="shared" si="1"/>
        <v>0.8684579858250403</v>
      </c>
      <c r="J28" s="11"/>
      <c r="K28" s="18"/>
    </row>
    <row r="29" spans="1:11" s="14" customFormat="1" ht="40.15" customHeight="1" x14ac:dyDescent="0.2">
      <c r="A29" s="23">
        <f t="shared" si="3"/>
        <v>25</v>
      </c>
      <c r="B29" s="46" t="s">
        <v>72</v>
      </c>
      <c r="C29" s="10" t="s">
        <v>10</v>
      </c>
      <c r="D29" s="15" t="s">
        <v>11</v>
      </c>
      <c r="E29" s="37">
        <f>[22]Паспорт!$E$32</f>
        <v>3360960</v>
      </c>
      <c r="F29" s="27">
        <f>[22]Паспорт!$F$32</f>
        <v>3487599</v>
      </c>
      <c r="G29" s="12">
        <f>[22]Паспорт!$I$32</f>
        <v>0.79240482142857149</v>
      </c>
      <c r="H29" s="13">
        <f>[22]Паспорт!$H$32</f>
        <v>13312401</v>
      </c>
      <c r="I29" s="26">
        <f t="shared" si="1"/>
        <v>0.96368877270580711</v>
      </c>
      <c r="J29" s="11"/>
    </row>
    <row r="30" spans="1:11" s="14" customFormat="1" ht="40.15" customHeight="1" x14ac:dyDescent="0.2">
      <c r="A30" s="23">
        <f t="shared" si="3"/>
        <v>26</v>
      </c>
      <c r="B30" s="46" t="s">
        <v>24</v>
      </c>
      <c r="C30" s="10" t="s">
        <v>10</v>
      </c>
      <c r="D30" s="15" t="s">
        <v>11</v>
      </c>
      <c r="E30" s="27"/>
      <c r="F30" s="27">
        <v>3080000</v>
      </c>
      <c r="G30" s="12">
        <f>100%-F30/14000000</f>
        <v>0.78</v>
      </c>
      <c r="H30" s="13">
        <f>14000000-F30</f>
        <v>10920000</v>
      </c>
      <c r="I30" s="26">
        <f t="shared" si="1"/>
        <v>0</v>
      </c>
      <c r="J30" s="11"/>
    </row>
    <row r="31" spans="1:11" s="14" customFormat="1" ht="40.15" customHeight="1" x14ac:dyDescent="0.2">
      <c r="A31" s="23">
        <f t="shared" si="3"/>
        <v>27</v>
      </c>
      <c r="B31" s="47" t="s">
        <v>48</v>
      </c>
      <c r="C31" s="36" t="s">
        <v>49</v>
      </c>
      <c r="D31" s="35" t="s">
        <v>50</v>
      </c>
      <c r="E31" s="33">
        <f>[23]Паспорт!$E$32</f>
        <v>3401284</v>
      </c>
      <c r="F31" s="33">
        <f>[23]Паспорт!$F$32</f>
        <v>3627561</v>
      </c>
      <c r="G31" s="44">
        <f>100%-F31/[23]Паспорт!$A$21</f>
        <v>0.76444409090909093</v>
      </c>
      <c r="H31" s="34">
        <f>[23]Паспорт!$A$21-F31</f>
        <v>11772439</v>
      </c>
      <c r="I31" s="39">
        <f t="shared" si="1"/>
        <v>0.93762282701793298</v>
      </c>
      <c r="J31" s="40"/>
      <c r="K31" s="42"/>
    </row>
    <row r="32" spans="1:11" s="14" customFormat="1" ht="40.15" customHeight="1" x14ac:dyDescent="0.2">
      <c r="A32" s="23">
        <f t="shared" si="3"/>
        <v>28</v>
      </c>
      <c r="B32" s="46" t="s">
        <v>41</v>
      </c>
      <c r="C32" s="10"/>
      <c r="D32" s="15"/>
      <c r="E32" s="33">
        <f>[24]Паспорт!$E$32</f>
        <v>3508836</v>
      </c>
      <c r="F32" s="24">
        <f>[24]Паспорт!$F$32</f>
        <v>3815129</v>
      </c>
      <c r="G32" s="29">
        <f>100%-F32/[24]Паспорт!$A$21</f>
        <v>0.75226435064935071</v>
      </c>
      <c r="H32" s="30">
        <f>[24]Паспорт!$A$21-F32</f>
        <v>11584871</v>
      </c>
      <c r="I32" s="26">
        <f t="shared" si="1"/>
        <v>0.91971621405200188</v>
      </c>
      <c r="J32" s="11"/>
      <c r="K32" s="18"/>
    </row>
    <row r="33" spans="1:11" s="14" customFormat="1" ht="40.15" customHeight="1" x14ac:dyDescent="0.2">
      <c r="A33" s="23">
        <f t="shared" si="3"/>
        <v>29</v>
      </c>
      <c r="B33" s="46" t="s">
        <v>16</v>
      </c>
      <c r="C33" s="10" t="s">
        <v>10</v>
      </c>
      <c r="D33" s="15" t="s">
        <v>11</v>
      </c>
      <c r="E33" s="28">
        <f>[25]Лист1!$E$32</f>
        <v>1841664</v>
      </c>
      <c r="F33" s="24">
        <f>[25]Лист1!$F$32</f>
        <v>4196198</v>
      </c>
      <c r="G33" s="29">
        <f>100%-F33/[25]Лист1!$A$21</f>
        <v>0.75022630952380953</v>
      </c>
      <c r="H33" s="30">
        <f>[25]Лист1!$A$21-F33</f>
        <v>12603802</v>
      </c>
      <c r="I33" s="26">
        <f t="shared" si="1"/>
        <v>0.43888872736701173</v>
      </c>
      <c r="J33" s="11"/>
      <c r="K33" s="16"/>
    </row>
    <row r="34" spans="1:11" s="14" customFormat="1" ht="40.15" customHeight="1" x14ac:dyDescent="0.2">
      <c r="A34" s="23">
        <f t="shared" si="3"/>
        <v>30</v>
      </c>
      <c r="B34" s="46" t="s">
        <v>33</v>
      </c>
      <c r="C34" s="10" t="s">
        <v>10</v>
      </c>
      <c r="D34" s="15" t="s">
        <v>11</v>
      </c>
      <c r="E34" s="27">
        <f>[26]Лист1!$E$30</f>
        <v>4109952</v>
      </c>
      <c r="F34" s="27">
        <f>[26]Лист1!$F$30</f>
        <v>4708790</v>
      </c>
      <c r="G34" s="12">
        <f>100%-F34/[26]Лист1!$A$19</f>
        <v>0.74127527472527466</v>
      </c>
      <c r="H34" s="13">
        <f>[26]Лист1!$A$19-F34</f>
        <v>13491210</v>
      </c>
      <c r="I34" s="26">
        <f t="shared" si="1"/>
        <v>0.87282550294236949</v>
      </c>
      <c r="J34" s="11"/>
      <c r="K34"/>
    </row>
    <row r="35" spans="1:11" ht="40.15" customHeight="1" x14ac:dyDescent="0.2">
      <c r="A35" s="23">
        <f t="shared" si="3"/>
        <v>31</v>
      </c>
      <c r="B35" s="46" t="s">
        <v>20</v>
      </c>
      <c r="C35" s="10" t="s">
        <v>10</v>
      </c>
      <c r="D35" s="15" t="s">
        <v>11</v>
      </c>
      <c r="E35" s="28">
        <f>[27]Лист1!$E$31</f>
        <v>2529144</v>
      </c>
      <c r="F35" s="24">
        <f>[27]Лист1!$F$31</f>
        <v>3332388</v>
      </c>
      <c r="G35" s="29">
        <f>100%-F35/[27]Лист1!$A$20</f>
        <v>0.7355247619047619</v>
      </c>
      <c r="H35" s="30">
        <f>[27]Лист1!$A$20-F35</f>
        <v>9267612</v>
      </c>
      <c r="I35" s="26">
        <f t="shared" si="1"/>
        <v>0.75895844061375806</v>
      </c>
      <c r="J35" s="11"/>
      <c r="K35" s="16"/>
    </row>
    <row r="36" spans="1:11" ht="40.15" customHeight="1" x14ac:dyDescent="0.2">
      <c r="A36" s="23">
        <f t="shared" si="3"/>
        <v>32</v>
      </c>
      <c r="B36" s="46" t="s">
        <v>21</v>
      </c>
      <c r="C36" s="10" t="s">
        <v>10</v>
      </c>
      <c r="D36" s="15" t="s">
        <v>11</v>
      </c>
      <c r="E36" s="28">
        <f>[28]Лист1!$E$31</f>
        <v>1361360</v>
      </c>
      <c r="F36" s="24">
        <f>[28]Лист1!$F$31</f>
        <v>4846035</v>
      </c>
      <c r="G36" s="29">
        <f>[28]Лист1!$I$31</f>
        <v>0.71154553571428569</v>
      </c>
      <c r="H36" s="30">
        <f>[28]Лист1!$H$31</f>
        <v>11953965</v>
      </c>
      <c r="I36" s="26">
        <f t="shared" si="1"/>
        <v>0.28092244484408385</v>
      </c>
      <c r="J36" s="11"/>
      <c r="K36" s="14"/>
    </row>
    <row r="37" spans="1:11" ht="40.15" customHeight="1" x14ac:dyDescent="0.2">
      <c r="A37" s="23">
        <f t="shared" si="3"/>
        <v>33</v>
      </c>
      <c r="B37" s="46" t="s">
        <v>66</v>
      </c>
      <c r="C37" s="10" t="s">
        <v>10</v>
      </c>
      <c r="D37" s="15" t="s">
        <v>11</v>
      </c>
      <c r="E37" s="37">
        <f>[29]Паспорт!$E$37</f>
        <v>5327904</v>
      </c>
      <c r="F37" s="27">
        <f>[29]Паспорт!$F$37</f>
        <v>5557379</v>
      </c>
      <c r="G37" s="12">
        <f>[29]Паспорт!$I$37</f>
        <v>0.669203630952381</v>
      </c>
      <c r="H37" s="13">
        <f>[29]Паспорт!$H$37</f>
        <v>11242621</v>
      </c>
      <c r="I37" s="26">
        <f t="shared" ref="I37:I55" si="4">E37/F37</f>
        <v>0.95870805284289595</v>
      </c>
      <c r="J37" s="11"/>
      <c r="K37" s="14"/>
    </row>
    <row r="38" spans="1:11" s="41" customFormat="1" ht="40.15" customHeight="1" x14ac:dyDescent="0.2">
      <c r="A38" s="23">
        <f t="shared" si="3"/>
        <v>34</v>
      </c>
      <c r="B38" s="47" t="s">
        <v>38</v>
      </c>
      <c r="C38" s="36"/>
      <c r="D38" s="35"/>
      <c r="E38" s="37">
        <f>[30]Лист1!$E$33</f>
        <v>6044050</v>
      </c>
      <c r="F38" s="32">
        <f>[30]Лист1!$F$33</f>
        <v>6475979</v>
      </c>
      <c r="G38" s="69">
        <f>[30]Лист1!$I$33</f>
        <v>0.64417697802197804</v>
      </c>
      <c r="H38" s="70">
        <f>[30]Лист1!$H$33</f>
        <v>11724021</v>
      </c>
      <c r="I38" s="39">
        <f t="shared" si="4"/>
        <v>0.93330290292788165</v>
      </c>
      <c r="J38" s="40"/>
      <c r="K38" s="14"/>
    </row>
    <row r="39" spans="1:11" ht="40.15" customHeight="1" x14ac:dyDescent="0.2">
      <c r="A39" s="23">
        <f t="shared" si="3"/>
        <v>35</v>
      </c>
      <c r="B39" s="46" t="s">
        <v>30</v>
      </c>
      <c r="C39" s="10" t="s">
        <v>10</v>
      </c>
      <c r="D39" s="15" t="s">
        <v>11</v>
      </c>
      <c r="E39" s="27">
        <f>[31]Лист1!$E$30</f>
        <v>7698145</v>
      </c>
      <c r="F39" s="27">
        <f>[31]Лист1!$F$30</f>
        <v>8363755</v>
      </c>
      <c r="G39" s="12">
        <f>100%-F39/[31]Лист1!$A$19</f>
        <v>0.55747328042328048</v>
      </c>
      <c r="H39" s="13">
        <f>[31]Лист1!$A$19-F39</f>
        <v>10536245</v>
      </c>
      <c r="I39" s="26">
        <f t="shared" si="4"/>
        <v>0.92041732451512503</v>
      </c>
      <c r="J39" s="11"/>
      <c r="K39" s="14"/>
    </row>
    <row r="40" spans="1:11" ht="40.15" customHeight="1" x14ac:dyDescent="0.2">
      <c r="A40" s="23">
        <f t="shared" si="3"/>
        <v>36</v>
      </c>
      <c r="B40" s="46" t="s">
        <v>42</v>
      </c>
      <c r="C40" s="36" t="s">
        <v>10</v>
      </c>
      <c r="D40" s="35" t="s">
        <v>11</v>
      </c>
      <c r="E40" s="33">
        <f>[32]Паспорт!$E$32</f>
        <v>7189065</v>
      </c>
      <c r="F40" s="33">
        <f>[32]Паспорт!$F$32</f>
        <v>7718319</v>
      </c>
      <c r="G40" s="31">
        <f>100%-F40/[32]Паспорт!$A$21</f>
        <v>0.54057624999999998</v>
      </c>
      <c r="H40" s="30">
        <f>[32]Паспорт!$A$21-F40</f>
        <v>9081681</v>
      </c>
      <c r="I40" s="26">
        <f t="shared" si="4"/>
        <v>0.93142885128225461</v>
      </c>
      <c r="J40" s="11"/>
      <c r="K40" s="16"/>
    </row>
    <row r="41" spans="1:11" ht="40.15" customHeight="1" x14ac:dyDescent="0.2">
      <c r="A41" s="23">
        <f t="shared" si="3"/>
        <v>37</v>
      </c>
      <c r="B41" s="46" t="s">
        <v>53</v>
      </c>
      <c r="C41" s="10" t="s">
        <v>56</v>
      </c>
      <c r="D41" s="15"/>
      <c r="E41" s="27">
        <f>[33]Паспорт!$E$32</f>
        <v>7801200</v>
      </c>
      <c r="F41" s="27">
        <f>[33]Паспорт!$F$32</f>
        <v>8210574</v>
      </c>
      <c r="G41" s="12">
        <f>100%-F41/[33]Паспорт!$A$21</f>
        <v>0.51127535714285721</v>
      </c>
      <c r="H41" s="13">
        <f>[33]Паспорт!$A$21-F41</f>
        <v>8589426</v>
      </c>
      <c r="I41" s="26">
        <f t="shared" si="4"/>
        <v>0.95014063572169249</v>
      </c>
      <c r="J41" s="11"/>
      <c r="K41" s="14"/>
    </row>
    <row r="42" spans="1:11" ht="40.15" customHeight="1" x14ac:dyDescent="0.2">
      <c r="A42" s="23">
        <f t="shared" si="3"/>
        <v>38</v>
      </c>
      <c r="B42" s="46" t="s">
        <v>29</v>
      </c>
      <c r="C42" s="10" t="s">
        <v>12</v>
      </c>
      <c r="D42" s="15" t="s">
        <v>13</v>
      </c>
      <c r="E42" s="27">
        <f>[34]Лист1!$E$35</f>
        <v>7145088</v>
      </c>
      <c r="F42" s="27">
        <f>[34]Лист1!$F$35</f>
        <v>7528758</v>
      </c>
      <c r="G42" s="12">
        <f>100%-F42/[34]Лист1!$A$21</f>
        <v>0.5111196103896104</v>
      </c>
      <c r="H42" s="13">
        <f>[34]Лист1!$A$21-F42</f>
        <v>7871242</v>
      </c>
      <c r="I42" s="26">
        <f t="shared" si="4"/>
        <v>0.9490394033119407</v>
      </c>
      <c r="J42" s="11"/>
      <c r="K42" s="14"/>
    </row>
    <row r="43" spans="1:11" ht="40.15" customHeight="1" x14ac:dyDescent="0.2">
      <c r="A43" s="23">
        <f t="shared" si="3"/>
        <v>39</v>
      </c>
      <c r="B43" s="47" t="s">
        <v>26</v>
      </c>
      <c r="C43" s="36" t="s">
        <v>10</v>
      </c>
      <c r="D43" s="35" t="s">
        <v>11</v>
      </c>
      <c r="E43" s="37">
        <f>[35]Паспорт!$E$31</f>
        <v>8431920</v>
      </c>
      <c r="F43" s="37">
        <f>[35]Паспорт!$F$31</f>
        <v>8763155</v>
      </c>
      <c r="G43" s="38">
        <f>[35]Паспорт!$I$31</f>
        <v>0.4783836309523809</v>
      </c>
      <c r="H43" s="43">
        <f>[35]Паспорт!$H$31</f>
        <v>8036845</v>
      </c>
      <c r="I43" s="26">
        <f t="shared" si="4"/>
        <v>0.96220139892538703</v>
      </c>
      <c r="J43" s="40"/>
      <c r="K43" s="14"/>
    </row>
    <row r="44" spans="1:11" ht="40.15" customHeight="1" x14ac:dyDescent="0.2">
      <c r="A44" s="23">
        <f t="shared" si="3"/>
        <v>40</v>
      </c>
      <c r="B44" s="46" t="s">
        <v>15</v>
      </c>
      <c r="C44" s="10" t="s">
        <v>10</v>
      </c>
      <c r="D44" s="15" t="s">
        <v>11</v>
      </c>
      <c r="E44" s="33">
        <f>[36]Паспорт!$E$32</f>
        <v>9890430</v>
      </c>
      <c r="F44" s="24">
        <f>[36]Паспорт!$F$32</f>
        <v>10532265</v>
      </c>
      <c r="G44" s="25">
        <f>[36]Паспорт!$I$32</f>
        <v>0.37307946428571426</v>
      </c>
      <c r="H44" s="24">
        <f>[36]Паспорт!$H$32</f>
        <v>6267735</v>
      </c>
      <c r="I44" s="26">
        <f t="shared" si="4"/>
        <v>0.93906011669854494</v>
      </c>
      <c r="J44" s="11"/>
      <c r="K44" s="16"/>
    </row>
    <row r="45" spans="1:11" ht="40.15" customHeight="1" x14ac:dyDescent="0.2">
      <c r="A45" s="23">
        <f t="shared" si="3"/>
        <v>41</v>
      </c>
      <c r="B45" s="46" t="s">
        <v>32</v>
      </c>
      <c r="C45" s="10" t="s">
        <v>10</v>
      </c>
      <c r="D45" s="15" t="s">
        <v>11</v>
      </c>
      <c r="E45" s="24">
        <f>[37]Лист1!$E$39</f>
        <v>11248736</v>
      </c>
      <c r="F45" s="24">
        <f>[37]Лист1!$F$39</f>
        <v>12230442</v>
      </c>
      <c r="G45" s="25">
        <f>100%-F45/[37]Лист1!$A$25</f>
        <v>0.32799769230769227</v>
      </c>
      <c r="H45" s="24">
        <f>[37]Лист1!$A$25-F45</f>
        <v>5969558</v>
      </c>
      <c r="I45" s="26">
        <f t="shared" si="4"/>
        <v>0.91973258202769781</v>
      </c>
      <c r="J45" s="11"/>
      <c r="K45" s="16"/>
    </row>
    <row r="46" spans="1:11" ht="40.15" customHeight="1" x14ac:dyDescent="0.2">
      <c r="A46" s="23">
        <f t="shared" si="3"/>
        <v>42</v>
      </c>
      <c r="B46" s="46" t="s">
        <v>14</v>
      </c>
      <c r="C46" s="10" t="s">
        <v>10</v>
      </c>
      <c r="D46" s="15" t="s">
        <v>11</v>
      </c>
      <c r="E46" s="28">
        <f>[38]Лист1!$E$35</f>
        <v>5961565</v>
      </c>
      <c r="F46" s="24">
        <f>[38]Лист1!$F$35</f>
        <v>9807693</v>
      </c>
      <c r="G46" s="26">
        <f>100%-F46/[38]Лист1!$A$24</f>
        <v>0.29945049999999995</v>
      </c>
      <c r="H46" s="24">
        <f>[38]Лист1!$A$24-F46</f>
        <v>4192307</v>
      </c>
      <c r="I46" s="26">
        <f t="shared" si="4"/>
        <v>0.60784580023049251</v>
      </c>
      <c r="J46" s="11"/>
      <c r="K46" s="16"/>
    </row>
    <row r="47" spans="1:11" ht="40.15" customHeight="1" x14ac:dyDescent="0.2">
      <c r="A47" s="23">
        <f t="shared" si="3"/>
        <v>43</v>
      </c>
      <c r="B47" s="46" t="s">
        <v>36</v>
      </c>
      <c r="C47" s="10" t="s">
        <v>10</v>
      </c>
      <c r="D47" s="15" t="s">
        <v>11</v>
      </c>
      <c r="E47" s="32">
        <f>[39]Лист1!$E$31</f>
        <v>6585300</v>
      </c>
      <c r="F47" s="27">
        <f>[39]Лист1!$F$31</f>
        <v>10601261</v>
      </c>
      <c r="G47" s="19">
        <f>100%-F47/[39]Лист1!$A$20</f>
        <v>0.24276707142857146</v>
      </c>
      <c r="H47" s="20">
        <f>[39]Лист1!$A$20-F47</f>
        <v>3398739</v>
      </c>
      <c r="I47" s="26">
        <f t="shared" si="4"/>
        <v>0.62118081990434915</v>
      </c>
      <c r="J47" s="11"/>
      <c r="K47" s="14"/>
    </row>
    <row r="48" spans="1:11" ht="40.15" customHeight="1" x14ac:dyDescent="0.2">
      <c r="A48" s="23">
        <f t="shared" si="3"/>
        <v>44</v>
      </c>
      <c r="B48" s="46" t="s">
        <v>62</v>
      </c>
      <c r="C48" s="10" t="s">
        <v>10</v>
      </c>
      <c r="D48" s="15" t="s">
        <v>11</v>
      </c>
      <c r="E48" s="37">
        <f>[40]Паспорт!$E$38</f>
        <v>14343336</v>
      </c>
      <c r="F48" s="27">
        <f>[40]Паспорт!$F$38</f>
        <v>14834520</v>
      </c>
      <c r="G48" s="19">
        <f>[40]Паспорт!$I$38</f>
        <v>0.11699285714285712</v>
      </c>
      <c r="H48" s="20">
        <f>[40]Паспорт!$H$38</f>
        <v>1965480</v>
      </c>
      <c r="I48" s="26">
        <f t="shared" si="4"/>
        <v>0.96688912078044997</v>
      </c>
      <c r="J48" s="11"/>
      <c r="K48" s="14"/>
    </row>
    <row r="49" spans="1:11" ht="40.15" customHeight="1" x14ac:dyDescent="0.2">
      <c r="A49" s="23">
        <f t="shared" si="3"/>
        <v>45</v>
      </c>
      <c r="B49" s="46" t="s">
        <v>35</v>
      </c>
      <c r="C49" s="10" t="s">
        <v>10</v>
      </c>
      <c r="D49" s="15" t="s">
        <v>11</v>
      </c>
      <c r="E49" s="37">
        <f>[41]Паспорт!$E$35</f>
        <v>14750608</v>
      </c>
      <c r="F49" s="27">
        <f>[41]Паспорт!$F$35</f>
        <v>15391166</v>
      </c>
      <c r="G49" s="19">
        <f>[41]Паспорт!$I$35</f>
        <v>8.3859166666666596E-2</v>
      </c>
      <c r="H49" s="20">
        <f>[41]Паспорт!$H$35</f>
        <v>1408834</v>
      </c>
      <c r="I49" s="26">
        <f t="shared" si="4"/>
        <v>0.95838145076208003</v>
      </c>
      <c r="J49" s="11"/>
      <c r="K49" s="14"/>
    </row>
    <row r="50" spans="1:11" ht="40.15" customHeight="1" x14ac:dyDescent="0.2">
      <c r="A50" s="23">
        <f>A48+1</f>
        <v>45</v>
      </c>
      <c r="B50" s="46" t="s">
        <v>61</v>
      </c>
      <c r="C50" s="10" t="s">
        <v>57</v>
      </c>
      <c r="D50" s="15"/>
      <c r="E50" s="27">
        <f>[42]Лист1!$E$31</f>
        <v>15138400</v>
      </c>
      <c r="F50" s="27">
        <f>[42]Лист1!$F$31</f>
        <v>15759091</v>
      </c>
      <c r="G50" s="19">
        <f>100%-F50/[42]Лист1!$A$20</f>
        <v>6.1958869047619047E-2</v>
      </c>
      <c r="H50" s="20">
        <f>[42]Лист1!$A$20-F50</f>
        <v>1040909</v>
      </c>
      <c r="I50" s="26">
        <f t="shared" si="4"/>
        <v>0.9606137815943826</v>
      </c>
      <c r="J50" s="11"/>
      <c r="K50" s="14"/>
    </row>
    <row r="51" spans="1:11" ht="40.15" customHeight="1" x14ac:dyDescent="0.2">
      <c r="A51" s="23">
        <f>A50+1</f>
        <v>46</v>
      </c>
      <c r="B51" s="59" t="s">
        <v>25</v>
      </c>
      <c r="C51" s="60" t="s">
        <v>10</v>
      </c>
      <c r="D51" s="61" t="s">
        <v>11</v>
      </c>
      <c r="E51" s="67">
        <f>[43]Лист1!$E$35</f>
        <v>12037830</v>
      </c>
      <c r="F51" s="67">
        <f>[43]Лист1!$F$35</f>
        <v>16823645</v>
      </c>
      <c r="G51" s="68">
        <f>100%-F51/[43]Лист1!$A$21</f>
        <v>-1.407440476190569E-3</v>
      </c>
      <c r="H51" s="66">
        <f>[43]Лист1!$A$21-F51</f>
        <v>-23645</v>
      </c>
      <c r="I51" s="64">
        <f t="shared" si="4"/>
        <v>0.71553043350593759</v>
      </c>
      <c r="J51" s="65"/>
      <c r="K51" s="14"/>
    </row>
    <row r="52" spans="1:11" ht="40.15" customHeight="1" x14ac:dyDescent="0.2">
      <c r="A52" s="23">
        <f>A51+1</f>
        <v>47</v>
      </c>
      <c r="B52" s="59" t="s">
        <v>22</v>
      </c>
      <c r="C52" s="60" t="s">
        <v>10</v>
      </c>
      <c r="D52" s="61" t="s">
        <v>11</v>
      </c>
      <c r="E52" s="67">
        <f>[44]Лист1!$E$33</f>
        <v>9121896</v>
      </c>
      <c r="F52" s="67">
        <f>[44]Лист1!$F$33</f>
        <v>17665467</v>
      </c>
      <c r="G52" s="68">
        <f>[44]Лист1!$I$33</f>
        <v>-5.1515892857142864E-2</v>
      </c>
      <c r="H52" s="66">
        <f>[44]Лист1!$H$33</f>
        <v>-865467</v>
      </c>
      <c r="I52" s="64">
        <f t="shared" si="4"/>
        <v>0.51636880021343334</v>
      </c>
      <c r="J52" s="65"/>
      <c r="K52" s="14"/>
    </row>
    <row r="53" spans="1:11" ht="40.15" customHeight="1" x14ac:dyDescent="0.2">
      <c r="A53" s="23">
        <f>A52+1</f>
        <v>48</v>
      </c>
      <c r="B53" s="59" t="s">
        <v>31</v>
      </c>
      <c r="C53" s="60" t="s">
        <v>10</v>
      </c>
      <c r="D53" s="61" t="s">
        <v>11</v>
      </c>
      <c r="E53" s="67">
        <f>[45]Лист1!$E$54</f>
        <v>18561530</v>
      </c>
      <c r="F53" s="67">
        <f>[45]Лист1!$F$54</f>
        <v>19984201</v>
      </c>
      <c r="G53" s="68">
        <f>100%-F53/[45]Лист1!$A$25</f>
        <v>-5.7365132275132291E-2</v>
      </c>
      <c r="H53" s="66">
        <f>[45]Лист1!$A$25-F53</f>
        <v>-1084201</v>
      </c>
      <c r="I53" s="64">
        <f t="shared" si="4"/>
        <v>0.92881021362825567</v>
      </c>
      <c r="J53" s="65"/>
      <c r="K53" s="14"/>
    </row>
    <row r="54" spans="1:11" ht="40.15" customHeight="1" x14ac:dyDescent="0.2">
      <c r="A54" s="23">
        <f>A53+1</f>
        <v>49</v>
      </c>
      <c r="B54" s="59" t="s">
        <v>70</v>
      </c>
      <c r="C54" s="60" t="s">
        <v>10</v>
      </c>
      <c r="D54" s="61" t="s">
        <v>11</v>
      </c>
      <c r="E54" s="62">
        <f>[46]Лист1!$E$35</f>
        <v>17619903</v>
      </c>
      <c r="F54" s="62">
        <f>[46]Лист1!$F$35</f>
        <v>18109510</v>
      </c>
      <c r="G54" s="63">
        <f>[46]Лист1!$I$35</f>
        <v>-7.7947023809523897E-2</v>
      </c>
      <c r="H54" s="62">
        <f>[46]Лист1!$H$35</f>
        <v>-1309510</v>
      </c>
      <c r="I54" s="64">
        <f t="shared" si="4"/>
        <v>0.97296409455584387</v>
      </c>
      <c r="J54" s="65"/>
      <c r="K54" s="16"/>
    </row>
    <row r="55" spans="1:11" ht="40.15" customHeight="1" x14ac:dyDescent="0.2">
      <c r="A55" s="23">
        <f>A54+1</f>
        <v>50</v>
      </c>
      <c r="B55" s="59" t="s">
        <v>67</v>
      </c>
      <c r="C55" s="60" t="s">
        <v>10</v>
      </c>
      <c r="D55" s="61" t="s">
        <v>11</v>
      </c>
      <c r="E55" s="67">
        <f>[47]Паспорт!$E$35</f>
        <v>53674243</v>
      </c>
      <c r="F55" s="67">
        <f>[47]Паспорт!$F$35</f>
        <v>55464953</v>
      </c>
      <c r="G55" s="68">
        <f>[47]Паспорт!$I$35</f>
        <v>-0.44439981770833348</v>
      </c>
      <c r="H55" s="66">
        <f>[47]Паспорт!$H$35</f>
        <v>-17064953</v>
      </c>
      <c r="I55" s="64">
        <f t="shared" si="4"/>
        <v>0.96771456743143724</v>
      </c>
      <c r="J55" s="65"/>
      <c r="K55" s="14"/>
    </row>
    <row r="57" spans="1:11" x14ac:dyDescent="0.2">
      <c r="B57" s="58" t="s">
        <v>63</v>
      </c>
      <c r="E57" s="45" t="s">
        <v>54</v>
      </c>
      <c r="F57" s="45"/>
      <c r="G57" s="45"/>
      <c r="H57" s="45"/>
    </row>
  </sheetData>
  <autoFilter ref="A3:K21" xr:uid="{00000000-0009-0000-0000-000000000000}">
    <filterColumn colId="6" showButton="0"/>
    <sortState ref="A6:K55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3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CD56-DDE6-46AA-88B6-268DE5663730}">
  <dimension ref="A1:I4"/>
  <sheetViews>
    <sheetView workbookViewId="0">
      <selection activeCell="B3" sqref="B3:I4"/>
    </sheetView>
  </sheetViews>
  <sheetFormatPr defaultRowHeight="12.75" x14ac:dyDescent="0.2"/>
  <cols>
    <col min="1" max="1" width="5.85546875" bestFit="1" customWidth="1"/>
    <col min="2" max="2" width="25.5703125" customWidth="1"/>
    <col min="3" max="3" width="20.85546875" customWidth="1"/>
    <col min="4" max="4" width="21.5703125" customWidth="1"/>
    <col min="5" max="5" width="15.7109375" customWidth="1"/>
    <col min="6" max="6" width="17.7109375" customWidth="1"/>
    <col min="7" max="7" width="13" customWidth="1"/>
    <col min="8" max="8" width="21.140625" customWidth="1"/>
    <col min="9" max="9" width="25.5703125" customWidth="1"/>
  </cols>
  <sheetData>
    <row r="1" spans="1:9" ht="51" x14ac:dyDescent="0.2">
      <c r="A1" s="85" t="s">
        <v>0</v>
      </c>
      <c r="B1" s="83" t="s">
        <v>5</v>
      </c>
      <c r="C1" s="93" t="s">
        <v>8</v>
      </c>
      <c r="D1" s="89" t="s">
        <v>9</v>
      </c>
      <c r="E1" s="6" t="s">
        <v>40</v>
      </c>
      <c r="F1" s="3" t="s">
        <v>6</v>
      </c>
      <c r="G1" s="87" t="s">
        <v>1</v>
      </c>
      <c r="H1" s="88"/>
      <c r="I1" s="91" t="s">
        <v>7</v>
      </c>
    </row>
    <row r="2" spans="1:9" ht="13.5" thickBot="1" x14ac:dyDescent="0.25">
      <c r="A2" s="86"/>
      <c r="B2" s="84"/>
      <c r="C2" s="94"/>
      <c r="D2" s="90"/>
      <c r="E2" s="7" t="s">
        <v>2</v>
      </c>
      <c r="F2" s="4" t="s">
        <v>2</v>
      </c>
      <c r="G2" s="4" t="s">
        <v>3</v>
      </c>
      <c r="H2" s="5" t="s">
        <v>2</v>
      </c>
      <c r="I2" s="92"/>
    </row>
    <row r="3" spans="1:9" ht="42.75" x14ac:dyDescent="0.2">
      <c r="A3" s="71">
        <v>1</v>
      </c>
      <c r="B3" s="59" t="s">
        <v>43</v>
      </c>
      <c r="C3" s="60" t="s">
        <v>10</v>
      </c>
      <c r="D3" s="61" t="s">
        <v>11</v>
      </c>
      <c r="E3" s="62">
        <f>[48]Паспорт!$E$31</f>
        <v>16584750</v>
      </c>
      <c r="F3" s="62">
        <f>[48]Паспорт!$F$31</f>
        <v>17141946</v>
      </c>
      <c r="G3" s="63">
        <f>[48]Паспорт!$I$31</f>
        <v>-2.0353928571428481E-2</v>
      </c>
      <c r="H3" s="66">
        <f>[48]Паспорт!$H$31</f>
        <v>-341946</v>
      </c>
      <c r="I3" s="64">
        <f>E3/F3</f>
        <v>0.96749517236841143</v>
      </c>
    </row>
    <row r="4" spans="1:9" ht="42.75" x14ac:dyDescent="0.2">
      <c r="A4" s="71">
        <f>A3+1</f>
        <v>2</v>
      </c>
      <c r="B4" s="59" t="s">
        <v>39</v>
      </c>
      <c r="C4" s="60" t="s">
        <v>10</v>
      </c>
      <c r="D4" s="61" t="s">
        <v>11</v>
      </c>
      <c r="E4" s="67">
        <f>[49]Лист1!$E$36</f>
        <v>14320272</v>
      </c>
      <c r="F4" s="67">
        <f>[49]Лист1!$F$36</f>
        <v>17268245</v>
      </c>
      <c r="G4" s="68">
        <f>100%-F4/[49]Лист1!$A$19</f>
        <v>-2.7871726190476176E-2</v>
      </c>
      <c r="H4" s="66">
        <f>[49]Лист1!$A$19-F4</f>
        <v>-468245</v>
      </c>
      <c r="I4" s="64">
        <f t="shared" ref="I4" si="0">E4/F4</f>
        <v>0.82928357803586872</v>
      </c>
    </row>
  </sheetData>
  <mergeCells count="6">
    <mergeCell ref="I1:I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zoomScale="80" zoomScaleNormal="80" workbookViewId="0">
      <selection activeCell="D6" sqref="D6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85" t="s">
        <v>0</v>
      </c>
      <c r="B1" s="83" t="s">
        <v>5</v>
      </c>
      <c r="C1" s="93" t="s">
        <v>8</v>
      </c>
      <c r="D1" s="89" t="s">
        <v>9</v>
      </c>
      <c r="E1" s="6" t="s">
        <v>40</v>
      </c>
      <c r="F1" s="3" t="s">
        <v>6</v>
      </c>
      <c r="G1" s="87" t="s">
        <v>1</v>
      </c>
      <c r="H1" s="88"/>
      <c r="I1" s="95" t="s">
        <v>7</v>
      </c>
      <c r="J1" s="97"/>
      <c r="K1" s="98"/>
      <c r="L1" s="2"/>
    </row>
    <row r="2" spans="1:12" ht="13.5" thickBot="1" x14ac:dyDescent="0.25">
      <c r="A2" s="86"/>
      <c r="B2" s="84"/>
      <c r="C2" s="94"/>
      <c r="D2" s="90"/>
      <c r="E2" s="7" t="s">
        <v>2</v>
      </c>
      <c r="F2" s="4" t="s">
        <v>2</v>
      </c>
      <c r="G2" s="4" t="s">
        <v>3</v>
      </c>
      <c r="H2" s="5" t="s">
        <v>2</v>
      </c>
      <c r="I2" s="96"/>
      <c r="J2" s="97"/>
      <c r="K2" s="98"/>
      <c r="L2" s="1"/>
    </row>
    <row r="3" spans="1:12" ht="42.75" x14ac:dyDescent="0.2">
      <c r="A3" s="71">
        <v>1</v>
      </c>
      <c r="B3" s="21" t="s">
        <v>17</v>
      </c>
      <c r="C3" s="50" t="s">
        <v>10</v>
      </c>
      <c r="D3" s="21" t="s">
        <v>11</v>
      </c>
      <c r="E3" s="51">
        <f>[50]Лист1!$E$32</f>
        <v>8848812</v>
      </c>
      <c r="F3" s="51">
        <f>[50]Лист1!$F$32</f>
        <v>18119313</v>
      </c>
      <c r="G3" s="72">
        <f>100%-F3/18200000</f>
        <v>4.4333516483516799E-3</v>
      </c>
      <c r="H3" s="73">
        <f>18200000-F3</f>
        <v>80687</v>
      </c>
      <c r="I3" s="74">
        <f t="shared" ref="I3" si="0">E3/F3</f>
        <v>0.4883635488828964</v>
      </c>
      <c r="J3" s="77"/>
      <c r="K3" s="75"/>
      <c r="L3" s="18"/>
    </row>
    <row r="4" spans="1:12" ht="42.75" x14ac:dyDescent="0.2">
      <c r="A4" s="71">
        <f>A3+1</f>
        <v>2</v>
      </c>
      <c r="B4" s="49" t="s">
        <v>37</v>
      </c>
      <c r="C4" s="50" t="s">
        <v>10</v>
      </c>
      <c r="D4" s="21" t="s">
        <v>11</v>
      </c>
      <c r="E4" s="51">
        <f>[51]Лист1!$E$36</f>
        <v>20298152</v>
      </c>
      <c r="F4" s="51">
        <f>[51]Лист1!$F$36</f>
        <v>21209022</v>
      </c>
      <c r="G4" s="52">
        <f>100%-F4/[51]Лист1!$A$20</f>
        <v>-0.26244178571428578</v>
      </c>
      <c r="H4" s="51">
        <f>[51]Лист1!$A$20-F4</f>
        <v>-4409022</v>
      </c>
      <c r="I4" s="74">
        <f>E4/F4</f>
        <v>0.95705271086993071</v>
      </c>
      <c r="J4" s="77"/>
      <c r="K4" s="76"/>
    </row>
    <row r="5" spans="1:12" ht="42.75" x14ac:dyDescent="0.2">
      <c r="A5" s="71">
        <f>A4+1</f>
        <v>3</v>
      </c>
      <c r="B5" s="49" t="s">
        <v>26</v>
      </c>
      <c r="C5" s="50" t="s">
        <v>10</v>
      </c>
      <c r="D5" s="21" t="s">
        <v>11</v>
      </c>
      <c r="E5" s="55">
        <f>[52]Лист1!$E$39</f>
        <v>13948077</v>
      </c>
      <c r="F5" s="55">
        <f>[52]Лист1!$F$39</f>
        <v>19061212</v>
      </c>
      <c r="G5" s="56">
        <f>100%-F5/[52]Лист1!$A$20</f>
        <v>-0.13459595238095234</v>
      </c>
      <c r="H5" s="57">
        <f>[52]Лист1!$A$20-F5</f>
        <v>-2261212</v>
      </c>
      <c r="I5" s="53">
        <f>E5/F5</f>
        <v>0.73175184243268476</v>
      </c>
    </row>
    <row r="6" spans="1:12" ht="42.75" x14ac:dyDescent="0.2">
      <c r="A6" s="71">
        <f>A5+1</f>
        <v>4</v>
      </c>
      <c r="B6" s="49" t="s">
        <v>19</v>
      </c>
      <c r="C6" s="50" t="s">
        <v>10</v>
      </c>
      <c r="D6" s="21" t="s">
        <v>11</v>
      </c>
      <c r="E6" s="51">
        <f>[53]Лист1!$E$37</f>
        <v>14802518</v>
      </c>
      <c r="F6" s="51">
        <f>[53]Лист1!$F$37</f>
        <v>16166846</v>
      </c>
      <c r="G6" s="52">
        <f>[53]Лист1!$I$37</f>
        <v>3.7687738095237955E-2</v>
      </c>
      <c r="H6" s="51">
        <f>[53]Лист1!$H$37</f>
        <v>633154</v>
      </c>
      <c r="I6" s="53">
        <f t="shared" ref="I6" si="1">E6/F6</f>
        <v>0.91560951344498487</v>
      </c>
    </row>
    <row r="7" spans="1:12" ht="42.75" x14ac:dyDescent="0.2">
      <c r="A7" s="71">
        <f t="shared" ref="A7:A8" si="2">A6+1</f>
        <v>5</v>
      </c>
      <c r="B7" s="49" t="s">
        <v>43</v>
      </c>
      <c r="C7" s="50" t="s">
        <v>10</v>
      </c>
      <c r="D7" s="21" t="s">
        <v>11</v>
      </c>
      <c r="E7" s="51">
        <f>[48]Паспорт!$E$31</f>
        <v>16584750</v>
      </c>
      <c r="F7" s="51">
        <f>[48]Паспорт!$F$31</f>
        <v>17141946</v>
      </c>
      <c r="G7" s="52">
        <f>[48]Паспорт!$I$31</f>
        <v>-2.0353928571428481E-2</v>
      </c>
      <c r="H7" s="57">
        <f>[48]Паспорт!$H$31</f>
        <v>-341946</v>
      </c>
      <c r="I7" s="53">
        <f>E7/F7</f>
        <v>0.96749517236841143</v>
      </c>
    </row>
    <row r="8" spans="1:12" ht="42.75" x14ac:dyDescent="0.2">
      <c r="A8" s="71">
        <f t="shared" si="2"/>
        <v>6</v>
      </c>
      <c r="B8" s="49" t="s">
        <v>39</v>
      </c>
      <c r="C8" s="50" t="s">
        <v>10</v>
      </c>
      <c r="D8" s="21" t="s">
        <v>11</v>
      </c>
      <c r="E8" s="55">
        <f>[49]Лист1!$E$36</f>
        <v>14320272</v>
      </c>
      <c r="F8" s="55">
        <f>[49]Лист1!$F$36</f>
        <v>17268245</v>
      </c>
      <c r="G8" s="56">
        <f>100%-F8/[49]Лист1!$A$19</f>
        <v>-2.7871726190476176E-2</v>
      </c>
      <c r="H8" s="57">
        <f>[49]Лист1!$A$19-F8</f>
        <v>-468245</v>
      </c>
      <c r="I8" s="53">
        <f t="shared" ref="I8" si="3">E8/F8</f>
        <v>0.82928357803586872</v>
      </c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Выработка формокомплектов</vt:lpstr>
      <vt:lpstr>На списание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2021-07-01T11:16:20Z</cp:lastPrinted>
  <dcterms:created xsi:type="dcterms:W3CDTF">2005-06-28T07:56:17Z</dcterms:created>
  <dcterms:modified xsi:type="dcterms:W3CDTF">2021-07-01T12:04:38Z</dcterms:modified>
</cp:coreProperties>
</file>