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Таблица выработки  ф-тов\"/>
    </mc:Choice>
  </mc:AlternateContent>
  <bookViews>
    <workbookView xWindow="240" yWindow="288" windowWidth="14952" windowHeight="8700"/>
  </bookViews>
  <sheets>
    <sheet name="Выработка формокомплектов" sheetId="1" r:id="rId1"/>
    <sheet name="Списанные формокомплекты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xlnm._FilterDatabase" localSheetId="0" hidden="1">'Выработка формокомплектов'!$A$3:$K$21</definedName>
    <definedName name="_xlnm.Print_Area" localSheetId="0">'Выработка формокомплектов'!$A$1:$J$40</definedName>
  </definedNames>
  <calcPr calcId="152511"/>
</workbook>
</file>

<file path=xl/calcChain.xml><?xml version="1.0" encoding="utf-8"?>
<calcChain xmlns="http://schemas.openxmlformats.org/spreadsheetml/2006/main">
  <c r="F8" i="1" l="1"/>
  <c r="G8" i="1" s="1"/>
  <c r="E8" i="1"/>
  <c r="H8" i="1" l="1"/>
  <c r="A6" i="1"/>
  <c r="F9" i="1" l="1"/>
  <c r="H9" i="1" s="1"/>
  <c r="E9" i="1"/>
  <c r="F19" i="1"/>
  <c r="H19" i="1" s="1"/>
  <c r="E19" i="1"/>
  <c r="G9" i="1" l="1"/>
  <c r="G19" i="1"/>
  <c r="F3" i="2" l="1"/>
  <c r="G3" i="2" s="1"/>
  <c r="E3" i="2"/>
  <c r="I3" i="2" l="1"/>
  <c r="H3" i="2"/>
  <c r="A3" i="2"/>
  <c r="F15" i="1"/>
  <c r="G15" i="1" s="1"/>
  <c r="E15" i="1"/>
  <c r="F23" i="1"/>
  <c r="E23" i="1"/>
  <c r="H15" i="1" l="1"/>
  <c r="F21" i="1"/>
  <c r="H21" i="1" s="1"/>
  <c r="E21" i="1"/>
  <c r="I21" i="1" l="1"/>
  <c r="G21" i="1"/>
  <c r="F26" i="1"/>
  <c r="E26" i="1"/>
  <c r="I8" i="1" l="1"/>
  <c r="F14" i="1"/>
  <c r="G14" i="1" s="1"/>
  <c r="E14" i="1"/>
  <c r="I14" i="1" l="1"/>
  <c r="H14" i="1"/>
  <c r="F39" i="1"/>
  <c r="E39" i="1"/>
  <c r="F18" i="1" l="1"/>
  <c r="G18" i="1" s="1"/>
  <c r="E18" i="1"/>
  <c r="I18" i="1" l="1"/>
  <c r="H18" i="1"/>
  <c r="G26" i="1"/>
  <c r="I26" i="1"/>
  <c r="H26" i="1" l="1"/>
  <c r="G7" i="1"/>
  <c r="E37" i="1" l="1"/>
  <c r="F37" i="1"/>
  <c r="H37" i="1" s="1"/>
  <c r="F20" i="1" l="1"/>
  <c r="E20" i="1"/>
  <c r="F36" i="1" l="1"/>
  <c r="E36" i="1"/>
  <c r="F32" i="1" l="1"/>
  <c r="E32" i="1"/>
  <c r="F22" i="1" l="1"/>
  <c r="E22" i="1"/>
  <c r="F40" i="1" l="1"/>
  <c r="E40" i="1"/>
  <c r="F12" i="1" l="1"/>
  <c r="H12" i="1" s="1"/>
  <c r="F10" i="1"/>
  <c r="E10" i="1"/>
  <c r="G12" i="1" l="1"/>
  <c r="E12" i="1"/>
  <c r="I12" i="1" s="1"/>
  <c r="H10" i="1" l="1"/>
  <c r="I10" i="1"/>
  <c r="G10" i="1" l="1"/>
  <c r="H23" i="1" l="1"/>
  <c r="F17" i="1" l="1"/>
  <c r="H17" i="1" s="1"/>
  <c r="E17" i="1"/>
  <c r="G17" i="1" l="1"/>
  <c r="F35" i="1"/>
  <c r="E35" i="1"/>
  <c r="F33" i="1" l="1"/>
  <c r="E33" i="1"/>
  <c r="F31" i="1" l="1"/>
  <c r="H31" i="1" s="1"/>
  <c r="E31" i="1"/>
  <c r="I31" i="1" l="1"/>
  <c r="G31" i="1"/>
  <c r="F38" i="1" l="1"/>
  <c r="E38" i="1"/>
  <c r="F29" i="1" l="1"/>
  <c r="E29" i="1"/>
  <c r="F34" i="1" l="1"/>
  <c r="E34" i="1"/>
  <c r="H29" i="1" l="1"/>
  <c r="G29" i="1"/>
  <c r="G39" i="1"/>
  <c r="H39" i="1"/>
  <c r="I39" i="1"/>
  <c r="H38" i="1"/>
  <c r="G6" i="1"/>
  <c r="G13" i="1"/>
  <c r="G22" i="1"/>
  <c r="I6" i="1"/>
  <c r="H6" i="1"/>
  <c r="I13" i="1"/>
  <c r="H13" i="1"/>
  <c r="H22" i="1"/>
  <c r="I22" i="1"/>
  <c r="H34" i="1"/>
  <c r="H35" i="1"/>
  <c r="H5" i="1"/>
  <c r="G5" i="1"/>
  <c r="H40" i="1"/>
  <c r="H32" i="1"/>
  <c r="H20" i="1"/>
  <c r="H28" i="1"/>
  <c r="I17" i="1"/>
  <c r="G11" i="1"/>
  <c r="H11" i="1"/>
  <c r="I11" i="1"/>
  <c r="I29" i="1"/>
  <c r="G38" i="1"/>
  <c r="G34" i="1"/>
  <c r="G40" i="1"/>
  <c r="G35" i="1"/>
  <c r="G27" i="1"/>
  <c r="G32" i="1"/>
  <c r="G25" i="1"/>
  <c r="G37" i="1"/>
  <c r="G23" i="1"/>
  <c r="G28" i="1"/>
  <c r="I35" i="1"/>
  <c r="I40" i="1"/>
  <c r="I15" i="1"/>
  <c r="H27" i="1"/>
  <c r="I27" i="1"/>
  <c r="H33" i="1"/>
  <c r="G33" i="1"/>
  <c r="H24" i="1"/>
  <c r="G24" i="1"/>
  <c r="I33" i="1"/>
  <c r="I24" i="1"/>
  <c r="H16" i="1"/>
  <c r="G16" i="1"/>
  <c r="I16" i="1"/>
  <c r="I32" i="1"/>
  <c r="I28" i="1"/>
  <c r="I37" i="1"/>
  <c r="H25" i="1"/>
  <c r="I25" i="1"/>
  <c r="G20" i="1"/>
  <c r="I20" i="1"/>
  <c r="G36" i="1"/>
  <c r="H36" i="1"/>
  <c r="I36" i="1"/>
  <c r="I19" i="1"/>
  <c r="I23" i="1"/>
  <c r="I38" i="1"/>
  <c r="I34" i="1"/>
  <c r="E30" i="1" l="1"/>
  <c r="F30" i="1"/>
  <c r="G30" i="1" l="1"/>
  <c r="H30" i="1"/>
  <c r="I30" i="1"/>
  <c r="A7" i="1" l="1"/>
  <c r="A8" i="1" l="1"/>
  <c r="A9" i="1"/>
  <c r="A10" i="1" s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11" i="1"/>
</calcChain>
</file>

<file path=xl/sharedStrings.xml><?xml version="1.0" encoding="utf-8"?>
<sst xmlns="http://schemas.openxmlformats.org/spreadsheetml/2006/main" count="124" uniqueCount="56">
  <si>
    <t>№п/п</t>
  </si>
  <si>
    <t>Остаточный ресурс относительно поставленной задачи</t>
  </si>
  <si>
    <t>шт</t>
  </si>
  <si>
    <t>%</t>
  </si>
  <si>
    <t>Проблемные позиции на данный момент</t>
  </si>
  <si>
    <t>Наименование формокомплекта</t>
  </si>
  <si>
    <t>Количество капель прошедших через формы</t>
  </si>
  <si>
    <t>Коэф. полезного использования</t>
  </si>
  <si>
    <t>Место нахождения</t>
  </si>
  <si>
    <t>Владелец</t>
  </si>
  <si>
    <t>Номер и дата договора аренды, покупки</t>
  </si>
  <si>
    <t>ООО "Стеклозавод Ведатранзит"</t>
  </si>
  <si>
    <t>ООО "ВЕДАТРАНЗИТ"</t>
  </si>
  <si>
    <t>Договор аренды имущества №3 от 23.01.2019 г.</t>
  </si>
  <si>
    <t>Радомир</t>
  </si>
  <si>
    <t>Договор БПИ №396 от 04.06.2019 г.</t>
  </si>
  <si>
    <t>«KEPIL 0,5» тип XХI-B-28-2-500-29</t>
  </si>
  <si>
    <t>«АВС»  тип III-3-53-160-2</t>
  </si>
  <si>
    <t>«Беларуская калекцыя» тип XXI-П-25-500-1</t>
  </si>
  <si>
    <t>«Брест Колоски 0,5» тип XХ-B-28-2.1-500-14</t>
  </si>
  <si>
    <t>«ГОСТ»  НОВЫЙ ФОРМОКОМПЛЕКТ тип ХХI-В-28-1-500-13</t>
  </si>
  <si>
    <t>«Евроторг 0,5» тип XXI-В-28-2-500-27</t>
  </si>
  <si>
    <t>«Иван Купала» тип XXI-B-30-4-500-3</t>
  </si>
  <si>
    <t>«Каласы» тип XXI-КПМ-26-3-500</t>
  </si>
  <si>
    <t>«Калина 0,5» тип XХI-В-28-2-500-28</t>
  </si>
  <si>
    <t>«Кристалл Фирменная 2» тип XXI-B-28-2.1в-500-1</t>
  </si>
  <si>
    <t>«Раковщик 0,2» тип XХI-B-28-1.1-200</t>
  </si>
  <si>
    <t>«Сябры» тип XXI-В-28-2,1-500-16</t>
  </si>
  <si>
    <t>«Фляга 0,5» тип XIII-B-28-2-500-4</t>
  </si>
  <si>
    <t>"Медофф 0,5 л" тип ХХI-КПМ-30-1-500-2</t>
  </si>
  <si>
    <t>"Мерная 0,5 л" тип ХХI-КПА-30-500-6</t>
  </si>
  <si>
    <t>"Дрозды 0,5 л" тип ХХI-В-28-2.1в-500-3</t>
  </si>
  <si>
    <t>I-82-500</t>
  </si>
  <si>
    <t>I-82-1500-1, III-2-82-1500-1</t>
  </si>
  <si>
    <t>I-82-1000-3, III-2-82-1000-3</t>
  </si>
  <si>
    <t>III-4-66-1-300-1</t>
  </si>
  <si>
    <t>III-2-82-900-1</t>
  </si>
  <si>
    <t>III-2-82-450-1</t>
  </si>
  <si>
    <t>«Сваяк 0,7» тип XXI-КПМ-30-1-700</t>
  </si>
  <si>
    <t>«Калина 0,35» тип XХI-В-28-2-350-1 Часть 1</t>
  </si>
  <si>
    <t>"Франкония 0,75 л." X-28MCA-750</t>
  </si>
  <si>
    <t>"Франкония 0,5 л." X-A-26-1-500 (Чистовые формы)</t>
  </si>
  <si>
    <t>«Кристалл 0,7» тип XXI-B-28-2.1б-700</t>
  </si>
  <si>
    <t>Приблизительное количество выпущеной продукции</t>
  </si>
  <si>
    <t>"Байрон 0.5 л." XXI-В-30-4А-500</t>
  </si>
  <si>
    <t>"Круглая 0,2 л." XXI-В-28-1-200-5</t>
  </si>
  <si>
    <t>«Фляга 0,2 л» тип XIII-В-28-2-200-3</t>
  </si>
  <si>
    <t>"Ведьма 0.5" тип XXI-В-28-2.1-500-4</t>
  </si>
  <si>
    <t>"Баден 0.7 л." XI-28МСА-700</t>
  </si>
  <si>
    <t>"Тоник 0.2" тип V-GPI-630-200</t>
  </si>
  <si>
    <t>«Штофф Колоски 0,5 л» тип XXI-В-28-2б-500-1</t>
  </si>
  <si>
    <t>«Штофф Земляк 0,5» тип ХХI-КПМ-30-1-500-9</t>
  </si>
  <si>
    <t>ОАО "Гомельский ликеро-водочный задод "Радамир"</t>
  </si>
  <si>
    <t>дог. №38 от 14.06.2019</t>
  </si>
  <si>
    <t>"Байрон 0.7 л." XXI-В-30-4А-700</t>
  </si>
  <si>
    <t>Таблица выработки формокомплектов, находящихся на ООО "Стеклозавод Ведатранзит" по состоянию на 01.01.2020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</si>
</sst>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11"/>
      <name val="Arial"/>
      <family val="2"/>
      <charset val="204"/>
    </font>
    <font>
      <b/>
      <sz val="9"/>
      <name val="Arial"/>
      <family val="2"/>
      <charset val="204"/>
    </font>
    <font>
      <b/>
      <i/>
      <sz val="10"/>
      <name val="Arial Cyr"/>
      <charset val="204"/>
    </font>
    <font>
      <b/>
      <sz val="8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 Cyr"/>
      <charset val="204"/>
    </font>
    <font>
      <b/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2" borderId="1">
      <alignment horizontal="center" vertical="center" wrapText="1"/>
    </xf>
    <xf numFmtId="0" fontId="5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Border="1"/>
    <xf numFmtId="0" fontId="2" fillId="0" borderId="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9" fontId="10" fillId="2" borderId="7" xfId="0" applyNumberFormat="1" applyFont="1" applyFill="1" applyBorder="1" applyAlignment="1">
      <alignment horizontal="center" vertical="center" wrapText="1"/>
    </xf>
    <xf numFmtId="3" fontId="10" fillId="2" borderId="7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6" fillId="2" borderId="1" xfId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wrapText="1"/>
    </xf>
    <xf numFmtId="0" fontId="0" fillId="2" borderId="0" xfId="0" applyFill="1" applyAlignment="1">
      <alignment wrapText="1"/>
    </xf>
    <xf numFmtId="14" fontId="0" fillId="2" borderId="0" xfId="0" applyNumberFormat="1" applyFill="1" applyBorder="1" applyAlignment="1">
      <alignment wrapText="1"/>
    </xf>
    <xf numFmtId="9" fontId="10" fillId="2" borderId="1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0" fillId="3" borderId="0" xfId="0" applyFill="1"/>
    <xf numFmtId="0" fontId="3" fillId="0" borderId="1" xfId="0" applyFont="1" applyFill="1" applyBorder="1" applyAlignment="1">
      <alignment vertical="center" wrapText="1"/>
    </xf>
    <xf numFmtId="3" fontId="11" fillId="2" borderId="1" xfId="0" applyNumberFormat="1" applyFont="1" applyFill="1" applyBorder="1" applyAlignment="1">
      <alignment horizontal="center" vertical="center" wrapText="1"/>
    </xf>
    <xf numFmtId="9" fontId="11" fillId="2" borderId="1" xfId="0" applyNumberFormat="1" applyFont="1" applyFill="1" applyBorder="1" applyAlignment="1">
      <alignment horizontal="center" vertical="center" wrapText="1"/>
    </xf>
    <xf numFmtId="9" fontId="11" fillId="2" borderId="1" xfId="3" applyFont="1" applyFill="1" applyBorder="1" applyAlignment="1">
      <alignment horizontal="center" vertical="center" wrapText="1"/>
    </xf>
    <xf numFmtId="3" fontId="6" fillId="2" borderId="1" xfId="2" applyNumberFormat="1" applyFont="1" applyFill="1" applyBorder="1" applyAlignment="1">
      <alignment horizontal="center" vertical="center" wrapText="1"/>
    </xf>
    <xf numFmtId="3" fontId="11" fillId="5" borderId="1" xfId="0" applyNumberFormat="1" applyFont="1" applyFill="1" applyBorder="1" applyAlignment="1">
      <alignment horizontal="center" vertical="center" wrapText="1"/>
    </xf>
    <xf numFmtId="9" fontId="11" fillId="2" borderId="7" xfId="0" applyNumberFormat="1" applyFont="1" applyFill="1" applyBorder="1" applyAlignment="1">
      <alignment horizontal="center" vertical="center" wrapText="1"/>
    </xf>
    <xf numFmtId="3" fontId="11" fillId="2" borderId="7" xfId="0" applyNumberFormat="1" applyFont="1" applyFill="1" applyBorder="1" applyAlignment="1">
      <alignment horizontal="center" vertical="center" wrapText="1"/>
    </xf>
    <xf numFmtId="9" fontId="11" fillId="2" borderId="7" xfId="3" applyFont="1" applyFill="1" applyBorder="1" applyAlignment="1">
      <alignment horizontal="center" vertical="center" wrapText="1"/>
    </xf>
    <xf numFmtId="3" fontId="6" fillId="5" borderId="1" xfId="2" applyNumberFormat="1" applyFont="1" applyFill="1" applyBorder="1" applyAlignment="1">
      <alignment horizontal="center" vertical="center" wrapText="1"/>
    </xf>
    <xf numFmtId="3" fontId="11" fillId="0" borderId="1" xfId="0" applyNumberFormat="1" applyFont="1" applyFill="1" applyBorder="1" applyAlignment="1">
      <alignment horizontal="center" vertical="center" wrapText="1"/>
    </xf>
    <xf numFmtId="3" fontId="11" fillId="0" borderId="7" xfId="0" applyNumberFormat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3" fontId="6" fillId="0" borderId="1" xfId="2" applyNumberFormat="1" applyFont="1" applyFill="1" applyBorder="1" applyAlignment="1">
      <alignment horizontal="center" vertical="center" wrapText="1"/>
    </xf>
    <xf numFmtId="9" fontId="10" fillId="0" borderId="1" xfId="0" applyNumberFormat="1" applyFont="1" applyFill="1" applyBorder="1" applyAlignment="1">
      <alignment horizontal="center" vertical="center" wrapText="1"/>
    </xf>
    <xf numFmtId="9" fontId="11" fillId="0" borderId="1" xfId="3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/>
    <xf numFmtId="14" fontId="0" fillId="0" borderId="0" xfId="0" applyNumberFormat="1" applyFill="1" applyBorder="1" applyAlignment="1">
      <alignment wrapText="1"/>
    </xf>
    <xf numFmtId="3" fontId="10" fillId="0" borderId="1" xfId="0" applyNumberFormat="1" applyFont="1" applyFill="1" applyBorder="1" applyAlignment="1">
      <alignment horizontal="center" vertical="center" wrapText="1"/>
    </xf>
    <xf numFmtId="9" fontId="11" fillId="0" borderId="7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</cellXfs>
  <cellStyles count="4">
    <cellStyle name="Мой стиль" xfId="1"/>
    <cellStyle name="Обычный" xfId="0" builtinId="0"/>
    <cellStyle name="Обычный 7" xfId="2"/>
    <cellStyle name="Процентный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30-4&#1040;-700%20(&#1041;&#1072;&#1081;&#1088;&#1086;&#1085;%200.7%20&#1083;.)/&#1041;&#1072;&#1081;&#1088;&#1086;&#1085;%200.7%20&#1083;.%20&#1086;&#1090;%2006.11.2019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V-GPI-630-200%20(&#1058;&#1086;&#1085;&#1080;&#1082;%200,2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3.%20XXI-&#1042;-28-2.1&#1073;-500-3%20(&#1044;&#1088;&#1086;&#1079;&#1076;&#1099;%200,5%20&#1083;.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55;-25-500-1%20(&#1041;&#1077;&#1083;.%20&#1082;&#1072;&#1083;&#1077;&#1082;&#1094;&#1099;&#1103;%200,5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28-1-200-5%20(&#1050;&#1088;&#1091;&#1075;&#1083;&#1072;&#1103;%200,2%20&#1083;.)/&#1086;&#1090;%2003.10.2019%20&#1050;&#1088;&#1091;&#1075;&#1083;&#1072;&#1103;%200.2%20&#1083;.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0,5%20&#1083;.%20&#1057;&#1050;&#1054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1,5%20&#1083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1.%20XXI-&#1042;-28-2-350-1%20(&#1050;&#1072;&#1083;&#1080;&#1085;&#1072;%200,35%20&#1083;.)%20&#1063;&#1072;&#1089;&#1090;&#1100;%201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B-28-2.1&#1073;-700%20(&#1050;&#1088;&#1080;&#1089;&#1090;&#1072;&#1083;&#1083;%20&#1092;&#1080;&#1088;&#1084;.2%20%200,7%20&#1083;.)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50;&#1055;&#1052;-30-1-700%20(&#1057;&#1074;&#1072;&#1103;&#1082;%20%200,7%20&#1083;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1%20&#108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-28MCA-750%20(&#1060;&#1088;&#1072;&#1085;&#1082;&#1086;&#1085;&#1080;&#1103;%200,75%20&#1083;.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4.%20XIII-&#1042;-28-2-500-4%20(&#1060;&#1083;&#1103;&#1075;&#1072;%20%200,5%20&#1083;.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B-28-2-500-27%20(&#1045;&#1074;&#1088;&#1086;&#1090;&#1086;&#1088;&#1075;%200.5%20&#1083;.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42;-28-2-500-28%20&#1050;&#1072;&#1083;&#1080;&#1085;&#1072;%200,5%20&#1083;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III-3-53-160-2%20ABC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III-&#1042;-28-2-200-3%20(&#1060;&#1083;&#1103;&#1075;&#1072;%20%200,2%20&#1083;.)/&#8470;2%20XIII-&#1042;-28-2-200-3%20(&#1060;&#1083;&#1103;&#1075;&#1072;%20%200,2%20&#1083;.)%20&#1086;&#1090;%2016.09.2019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III-2-82-450-1%20(&#1073;&#1072;&#1085;&#1082;&#1072;%200,45%20twist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14.%20XXI-&#1042;-28-2.1-500-14%20(&#1041;&#1088;&#1077;&#1089;&#1090;%20&#1082;&#1086;&#1083;&#1086;&#1089;&#1082;&#1080;)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I-28MCA-700%20(&#1041;&#1072;&#1076;&#1077;&#1085;%200.7)/&#1086;&#1090;%2025.10.2019%20&#1041;&#1072;&#1076;&#1077;&#1085;%200.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-A-26-1-500%20(&#1060;&#1088;&#1072;&#1085;&#1082;&#1086;&#1085;&#1080;&#1103;%200,5%20&#1083;.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28-2.1-500-4%20(&#1042;&#1077;&#1076;&#1100;&#1084;&#1072;)/&#1042;&#1077;&#1076;&#1100;&#1084;&#1072;%200.5%20&#1083;.%20&#1086;&#1090;%2003.10.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28-2&#1073;-500-1%20(&#1064;&#1090;&#1086;&#1092;&#1092;%20&#1050;&#1086;&#1083;&#1086;&#1089;&#1082;&#1080;)/XXI-&#1042;-28-2&#1073;-500-1%20(&#1064;&#1090;&#1086;&#1092;&#1092;%20&#1050;&#1086;&#1083;&#1086;&#1089;&#1082;&#1080;)%20&#1086;&#1090;%2006.11.20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5.%20XXI-&#1050;&#1055;&#1040;-30-500-5%20(&#1052;&#1077;&#1088;&#1085;&#1072;&#1103;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B-30-4A-500%20(&#1041;&#1072;&#1081;&#1088;&#1086;&#1085;)/&#1086;&#1090;%2015.10.2019%20&#1041;&#1072;&#1081;&#1088;&#1086;&#1085;%200.5%20&#1083;.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9.%20XXI-&#1050;&#1055;&#1052;-30-1-500-9%20(&#1064;&#1090;&#1086;&#1092;)/&#1064;&#1090;&#1086;&#1092;&#1092;%20&#1086;&#1090;%2018.11.2019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42;-30-4-500-3%20(&#1048;&#1074;&#1072;&#1085;%20&#1050;&#1091;&#1087;&#1072;&#1083;&#1072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етали ф-тов"/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15400000</v>
          </cell>
        </row>
        <row r="32">
          <cell r="E32">
            <v>468000</v>
          </cell>
          <cell r="F32">
            <v>521755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3">
          <cell r="E33">
            <v>1766331</v>
          </cell>
          <cell r="F33">
            <v>1993309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2923314</v>
          </cell>
          <cell r="F32">
            <v>3073214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1115136</v>
          </cell>
          <cell r="F32">
            <v>3369696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32">
          <cell r="E32">
            <v>4103201</v>
          </cell>
          <cell r="F32">
            <v>4449033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6255857</v>
          </cell>
          <cell r="F30">
            <v>6692357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7">
          <cell r="E37">
            <v>8320286</v>
          </cell>
          <cell r="F37">
            <v>9174267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8281833</v>
          </cell>
          <cell r="F31">
            <v>8683737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6320916</v>
          </cell>
          <cell r="F30">
            <v>8887400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4049370</v>
          </cell>
          <cell r="F31">
            <v>7933811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9">
          <cell r="E39">
            <v>11248736</v>
          </cell>
          <cell r="F39">
            <v>12230442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449036</v>
          </cell>
          <cell r="F31">
            <v>524968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6662284</v>
          </cell>
          <cell r="F31">
            <v>11429652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11014310</v>
          </cell>
          <cell r="F31">
            <v>12128977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4259304</v>
          </cell>
          <cell r="F31">
            <v>12624642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8640360</v>
          </cell>
          <cell r="F30">
            <v>16453303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6">
          <cell r="E26">
            <v>13706491</v>
          </cell>
          <cell r="F26">
            <v>14354659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15701250</v>
          </cell>
          <cell r="F30">
            <v>19280552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8848812</v>
          </cell>
          <cell r="F32">
            <v>18119313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21">
          <cell r="A21">
            <v>14000000</v>
          </cell>
        </row>
        <row r="32">
          <cell r="E32">
            <v>246960</v>
          </cell>
          <cell r="F32">
            <v>275256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613088</v>
          </cell>
          <cell r="F31">
            <v>721402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31">
          <cell r="E31">
            <v>497004</v>
          </cell>
          <cell r="F31">
            <v>650324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21">
          <cell r="A21">
            <v>13300000</v>
          </cell>
        </row>
        <row r="37">
          <cell r="E37">
            <v>491400</v>
          </cell>
          <cell r="F37">
            <v>577433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645420</v>
          </cell>
          <cell r="F32">
            <v>851238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етали ф-тов"/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32">
          <cell r="E32">
            <v>948096</v>
          </cell>
          <cell r="F32">
            <v>1031915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15400000</v>
          </cell>
        </row>
        <row r="32">
          <cell r="E32">
            <v>1048620</v>
          </cell>
          <cell r="F32">
            <v>1152478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803358</v>
          </cell>
          <cell r="F31">
            <v>1444922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0"/>
  <sheetViews>
    <sheetView tabSelected="1" view="pageBreakPreview" zoomScale="80" zoomScaleNormal="90" zoomScaleSheetLayoutView="80" workbookViewId="0">
      <pane xSplit="2" ySplit="4" topLeftCell="E5" activePane="bottomRight" state="frozen"/>
      <selection pane="topRight" activeCell="C1" sqref="C1"/>
      <selection pane="bottomLeft" activeCell="A5" sqref="A5"/>
      <selection pane="bottomRight" activeCell="G5" sqref="G5"/>
    </sheetView>
  </sheetViews>
  <sheetFormatPr defaultRowHeight="13.2"/>
  <cols>
    <col min="1" max="1" width="7.109375" customWidth="1"/>
    <col min="2" max="2" width="59.6640625" style="8" customWidth="1"/>
    <col min="3" max="3" width="15.109375" style="9" customWidth="1"/>
    <col min="4" max="4" width="28.109375" style="8" customWidth="1"/>
    <col min="5" max="5" width="13.88671875" customWidth="1"/>
    <col min="6" max="6" width="13.33203125" customWidth="1"/>
    <col min="7" max="7" width="11.88671875" customWidth="1"/>
    <col min="8" max="8" width="16.33203125" customWidth="1"/>
    <col min="9" max="9" width="15.5546875" customWidth="1"/>
    <col min="10" max="10" width="26.6640625" customWidth="1"/>
    <col min="11" max="11" width="10.109375" bestFit="1" customWidth="1"/>
  </cols>
  <sheetData>
    <row r="1" spans="1:11" ht="13.8" thickBot="1">
      <c r="A1" s="49" t="s">
        <v>55</v>
      </c>
      <c r="B1" s="49"/>
      <c r="C1" s="49"/>
      <c r="D1" s="49"/>
      <c r="E1" s="49"/>
      <c r="F1" s="49"/>
      <c r="G1" s="49"/>
      <c r="H1" s="49"/>
      <c r="I1" s="49"/>
      <c r="J1" s="49"/>
      <c r="K1" s="1"/>
    </row>
    <row r="2" spans="1:11" ht="13.8" thickBot="1">
      <c r="D2" s="47"/>
      <c r="E2" s="48"/>
      <c r="I2" s="1"/>
      <c r="J2" s="1"/>
      <c r="K2" s="1"/>
    </row>
    <row r="3" spans="1:11" ht="66">
      <c r="A3" s="52" t="s">
        <v>0</v>
      </c>
      <c r="B3" s="50" t="s">
        <v>5</v>
      </c>
      <c r="C3" s="60" t="s">
        <v>9</v>
      </c>
      <c r="D3" s="56" t="s">
        <v>10</v>
      </c>
      <c r="E3" s="6" t="s">
        <v>43</v>
      </c>
      <c r="F3" s="3" t="s">
        <v>6</v>
      </c>
      <c r="G3" s="54" t="s">
        <v>1</v>
      </c>
      <c r="H3" s="55"/>
      <c r="I3" s="58" t="s">
        <v>7</v>
      </c>
      <c r="J3" s="45" t="s">
        <v>4</v>
      </c>
      <c r="K3" s="2"/>
    </row>
    <row r="4" spans="1:11" ht="13.8" thickBot="1">
      <c r="A4" s="53"/>
      <c r="B4" s="51"/>
      <c r="C4" s="61"/>
      <c r="D4" s="57"/>
      <c r="E4" s="7" t="s">
        <v>2</v>
      </c>
      <c r="F4" s="4" t="s">
        <v>2</v>
      </c>
      <c r="G4" s="4" t="s">
        <v>3</v>
      </c>
      <c r="H4" s="5" t="s">
        <v>2</v>
      </c>
      <c r="I4" s="59"/>
      <c r="J4" s="46"/>
      <c r="K4" s="1"/>
    </row>
    <row r="5" spans="1:11" s="17" customFormat="1" ht="40.049999999999997" customHeight="1">
      <c r="A5" s="23">
        <v>1</v>
      </c>
      <c r="B5" s="15" t="s">
        <v>20</v>
      </c>
      <c r="C5" s="10" t="s">
        <v>12</v>
      </c>
      <c r="D5" s="15" t="s">
        <v>13</v>
      </c>
      <c r="E5" s="24"/>
      <c r="F5" s="24"/>
      <c r="G5" s="25">
        <f>100%-F5/16800000</f>
        <v>1</v>
      </c>
      <c r="H5" s="24">
        <f>18200000-F5</f>
        <v>18200000</v>
      </c>
      <c r="I5" s="26"/>
      <c r="J5" s="11"/>
      <c r="K5" s="18"/>
    </row>
    <row r="6" spans="1:11" s="17" customFormat="1" ht="40.049999999999997" customHeight="1">
      <c r="A6" s="23">
        <f>A5+1</f>
        <v>2</v>
      </c>
      <c r="B6" s="15" t="s">
        <v>36</v>
      </c>
      <c r="C6" s="10" t="s">
        <v>12</v>
      </c>
      <c r="D6" s="15" t="s">
        <v>13</v>
      </c>
      <c r="E6" s="27"/>
      <c r="F6" s="27"/>
      <c r="G6" s="19">
        <f>100%-F6/19600000</f>
        <v>1</v>
      </c>
      <c r="H6" s="20">
        <f>18900000-F6</f>
        <v>18900000</v>
      </c>
      <c r="I6" s="26" t="e">
        <f>E6/F6</f>
        <v>#DIV/0!</v>
      </c>
      <c r="J6" s="11"/>
      <c r="K6"/>
    </row>
    <row r="7" spans="1:11" s="17" customFormat="1" ht="40.049999999999997" customHeight="1">
      <c r="A7" s="23">
        <f>A6+1</f>
        <v>3</v>
      </c>
      <c r="B7" s="15" t="s">
        <v>41</v>
      </c>
      <c r="C7" s="10"/>
      <c r="D7" s="15"/>
      <c r="E7" s="27"/>
      <c r="F7" s="27"/>
      <c r="G7" s="25">
        <f>100%-F7/16800000</f>
        <v>1</v>
      </c>
      <c r="H7" s="20"/>
      <c r="I7" s="26"/>
      <c r="J7" s="11"/>
      <c r="K7"/>
    </row>
    <row r="8" spans="1:11" s="17" customFormat="1" ht="40.049999999999997" customHeight="1">
      <c r="A8" s="23">
        <f>A7+1</f>
        <v>4</v>
      </c>
      <c r="B8" s="15" t="s">
        <v>48</v>
      </c>
      <c r="C8" s="10"/>
      <c r="D8" s="15"/>
      <c r="E8" s="33">
        <f>[27]Паспорт!$E$32</f>
        <v>246960</v>
      </c>
      <c r="F8" s="24">
        <f>[27]Паспорт!$F$32</f>
        <v>275256</v>
      </c>
      <c r="G8" s="25">
        <f>100%-F8/[27]Паспорт!$A$21</f>
        <v>0.98033885714285718</v>
      </c>
      <c r="H8" s="24">
        <f>[27]Паспорт!$A$21-F8</f>
        <v>13724744</v>
      </c>
      <c r="I8" s="26">
        <f>E8/F8</f>
        <v>0.8972011509285901</v>
      </c>
      <c r="J8" s="11"/>
      <c r="K8" s="18"/>
    </row>
    <row r="9" spans="1:11" s="17" customFormat="1" ht="40.049999999999997" customHeight="1">
      <c r="A9" s="23">
        <f>A8+1</f>
        <v>5</v>
      </c>
      <c r="B9" s="15" t="s">
        <v>54</v>
      </c>
      <c r="C9" s="36" t="s">
        <v>12</v>
      </c>
      <c r="D9" s="35" t="s">
        <v>13</v>
      </c>
      <c r="E9" s="33">
        <f>[1]Паспорт!$E$32</f>
        <v>468000</v>
      </c>
      <c r="F9" s="24">
        <f>[1]Паспорт!$F$32</f>
        <v>521755</v>
      </c>
      <c r="G9" s="25">
        <f>100%-F9/[1]Паспорт!$A$21</f>
        <v>0.96611980519480523</v>
      </c>
      <c r="H9" s="24">
        <f>[1]Паспорт!$A$21-F9</f>
        <v>14878245</v>
      </c>
      <c r="I9" s="26"/>
      <c r="J9" s="11"/>
      <c r="K9" s="18"/>
    </row>
    <row r="10" spans="1:11" s="17" customFormat="1" ht="40.049999999999997" customHeight="1">
      <c r="A10" s="23">
        <f>A9+1</f>
        <v>6</v>
      </c>
      <c r="B10" s="15" t="s">
        <v>40</v>
      </c>
      <c r="C10" s="10"/>
      <c r="D10" s="15"/>
      <c r="E10" s="27">
        <f>[2]Лист1!$E$31</f>
        <v>449036</v>
      </c>
      <c r="F10" s="27">
        <f>[2]Лист1!$F$31</f>
        <v>524968</v>
      </c>
      <c r="G10" s="19">
        <f>100%-F10/15400000</f>
        <v>0.96591116883116879</v>
      </c>
      <c r="H10" s="20">
        <f>15400000-F10</f>
        <v>14875032</v>
      </c>
      <c r="I10" s="26">
        <f>E10/F10</f>
        <v>0.85535880282226728</v>
      </c>
      <c r="J10" s="11"/>
      <c r="K10" s="14"/>
    </row>
    <row r="11" spans="1:11" s="17" customFormat="1" ht="40.049999999999997" customHeight="1">
      <c r="A11" s="23">
        <f>A10+1</f>
        <v>7</v>
      </c>
      <c r="B11" s="15" t="s">
        <v>29</v>
      </c>
      <c r="C11" s="10" t="s">
        <v>12</v>
      </c>
      <c r="D11" s="15" t="s">
        <v>13</v>
      </c>
      <c r="E11" s="27">
        <v>557856</v>
      </c>
      <c r="F11" s="27">
        <v>668458</v>
      </c>
      <c r="G11" s="19">
        <f>100%-F11/18900000</f>
        <v>0.96463185185185185</v>
      </c>
      <c r="H11" s="20">
        <f>12600000-F11</f>
        <v>11931542</v>
      </c>
      <c r="I11" s="26">
        <f>E11/F11</f>
        <v>0.83454158675638557</v>
      </c>
      <c r="J11" s="11"/>
      <c r="K11" s="14"/>
    </row>
    <row r="12" spans="1:11" s="17" customFormat="1" ht="40.049999999999997" customHeight="1">
      <c r="A12" s="23">
        <f>A10+1</f>
        <v>7</v>
      </c>
      <c r="B12" s="15" t="s">
        <v>41</v>
      </c>
      <c r="C12" s="10"/>
      <c r="D12" s="15"/>
      <c r="E12" s="27">
        <f>[3]Лист1!$E$31</f>
        <v>613088</v>
      </c>
      <c r="F12" s="27">
        <f>[3]Лист1!$F$31</f>
        <v>721402</v>
      </c>
      <c r="G12" s="19">
        <f>100%-F12/19600000</f>
        <v>0.96319377551020413</v>
      </c>
      <c r="H12" s="20">
        <f>18900000-F12</f>
        <v>18178598</v>
      </c>
      <c r="I12" s="26">
        <f>E12/F12</f>
        <v>0.84985625213126659</v>
      </c>
      <c r="J12" s="11"/>
      <c r="K12"/>
    </row>
    <row r="13" spans="1:11" s="17" customFormat="1" ht="40.049999999999997" customHeight="1">
      <c r="A13" s="23">
        <f>A12+1</f>
        <v>8</v>
      </c>
      <c r="B13" s="15" t="s">
        <v>35</v>
      </c>
      <c r="C13" s="10" t="s">
        <v>12</v>
      </c>
      <c r="D13" s="15" t="s">
        <v>13</v>
      </c>
      <c r="E13" s="27">
        <v>515328</v>
      </c>
      <c r="F13" s="27">
        <v>670208</v>
      </c>
      <c r="G13" s="19">
        <f>100%-F13/18200000</f>
        <v>0.96317538461538466</v>
      </c>
      <c r="H13" s="20">
        <f>12600000-F13</f>
        <v>11929792</v>
      </c>
      <c r="I13" s="26">
        <f>E13/F13</f>
        <v>0.76890756302521013</v>
      </c>
      <c r="J13" s="11"/>
      <c r="K13"/>
    </row>
    <row r="14" spans="1:11" s="14" customFormat="1" ht="40.049999999999997" customHeight="1">
      <c r="A14" s="23">
        <f>A13+1</f>
        <v>9</v>
      </c>
      <c r="B14" s="15" t="s">
        <v>47</v>
      </c>
      <c r="C14" s="10"/>
      <c r="D14" s="15"/>
      <c r="E14" s="33">
        <f>[4]Паспорт!$E$31</f>
        <v>497004</v>
      </c>
      <c r="F14" s="24">
        <f>[4]Паспорт!$F$31</f>
        <v>650324</v>
      </c>
      <c r="G14" s="25">
        <f>100%-F14/15400000</f>
        <v>0.95777116883116886</v>
      </c>
      <c r="H14" s="24">
        <f>15400000-F14</f>
        <v>14749676</v>
      </c>
      <c r="I14" s="26">
        <f>E14/F14</f>
        <v>0.76424059391933863</v>
      </c>
      <c r="J14" s="11"/>
      <c r="K14" s="18"/>
    </row>
    <row r="15" spans="1:11" s="14" customFormat="1" ht="40.049999999999997" customHeight="1">
      <c r="A15" s="23">
        <f>A14+1</f>
        <v>10</v>
      </c>
      <c r="B15" s="35" t="s">
        <v>50</v>
      </c>
      <c r="C15" s="36" t="s">
        <v>12</v>
      </c>
      <c r="D15" s="35" t="s">
        <v>13</v>
      </c>
      <c r="E15" s="37">
        <f>[5]Паспорт!$E$37</f>
        <v>491400</v>
      </c>
      <c r="F15" s="37">
        <f>[5]Паспорт!$F$37</f>
        <v>577433</v>
      </c>
      <c r="G15" s="38">
        <f>100%-F15/[5]Паспорт!$A$21</f>
        <v>0.95658398496240604</v>
      </c>
      <c r="H15" s="43">
        <f>[5]Паспорт!$A$21-F15</f>
        <v>12722567</v>
      </c>
      <c r="I15" s="39">
        <f>E15/F15</f>
        <v>0.85100782255257323</v>
      </c>
      <c r="J15" s="40"/>
      <c r="K15" s="41"/>
    </row>
    <row r="16" spans="1:11" s="14" customFormat="1" ht="40.049999999999997" customHeight="1">
      <c r="A16" s="23">
        <f>A15+1</f>
        <v>11</v>
      </c>
      <c r="B16" s="15" t="s">
        <v>25</v>
      </c>
      <c r="C16" s="10" t="s">
        <v>12</v>
      </c>
      <c r="D16" s="15" t="s">
        <v>13</v>
      </c>
      <c r="E16" s="27">
        <v>763476</v>
      </c>
      <c r="F16" s="27">
        <v>975569</v>
      </c>
      <c r="G16" s="19">
        <f>100%-F16/16800000</f>
        <v>0.94193041666666666</v>
      </c>
      <c r="H16" s="20">
        <f>16800000-F16</f>
        <v>15824431</v>
      </c>
      <c r="I16" s="26">
        <f>E16/F16</f>
        <v>0.78259559293089465</v>
      </c>
      <c r="J16" s="11"/>
    </row>
    <row r="17" spans="1:11" s="14" customFormat="1" ht="40.049999999999997" customHeight="1">
      <c r="A17" s="23">
        <f>A16+1</f>
        <v>12</v>
      </c>
      <c r="B17" s="15" t="s">
        <v>30</v>
      </c>
      <c r="C17" s="10" t="s">
        <v>12</v>
      </c>
      <c r="D17" s="15" t="s">
        <v>13</v>
      </c>
      <c r="E17" s="27">
        <f>[6]Лист1!$E$32</f>
        <v>645420</v>
      </c>
      <c r="F17" s="27">
        <f>[6]Лист1!$F$32</f>
        <v>851238</v>
      </c>
      <c r="G17" s="12">
        <f>100%-F17/14000000</f>
        <v>0.93919728571428573</v>
      </c>
      <c r="H17" s="13">
        <f>14000000-F17</f>
        <v>13148762</v>
      </c>
      <c r="I17" s="26">
        <f>E17/F17</f>
        <v>0.75821333164167948</v>
      </c>
      <c r="J17" s="11"/>
    </row>
    <row r="18" spans="1:11" s="14" customFormat="1" ht="40.049999999999997" customHeight="1">
      <c r="A18" s="23">
        <f>A17+1</f>
        <v>13</v>
      </c>
      <c r="B18" s="15" t="s">
        <v>44</v>
      </c>
      <c r="C18" s="10"/>
      <c r="D18" s="15"/>
      <c r="E18" s="33">
        <f>[7]Паспорт!$E$32</f>
        <v>948096</v>
      </c>
      <c r="F18" s="24">
        <f>[7]Паспорт!$F$32</f>
        <v>1031915</v>
      </c>
      <c r="G18" s="29">
        <f>100%-F18/15400000</f>
        <v>0.93299253246753244</v>
      </c>
      <c r="H18" s="30">
        <f>15400000-F18</f>
        <v>14368085</v>
      </c>
      <c r="I18" s="26">
        <f>E18/F18</f>
        <v>0.91877334858006721</v>
      </c>
      <c r="J18" s="11"/>
      <c r="K18" s="18"/>
    </row>
    <row r="19" spans="1:11" s="14" customFormat="1" ht="40.049999999999997" customHeight="1">
      <c r="A19" s="23">
        <f>A18+1</f>
        <v>14</v>
      </c>
      <c r="B19" s="35" t="s">
        <v>51</v>
      </c>
      <c r="C19" s="36" t="s">
        <v>52</v>
      </c>
      <c r="D19" s="35" t="s">
        <v>53</v>
      </c>
      <c r="E19" s="34">
        <f>[8]Паспорт!$E$32</f>
        <v>1048620</v>
      </c>
      <c r="F19" s="34">
        <f>[8]Паспорт!$F$32</f>
        <v>1152478</v>
      </c>
      <c r="G19" s="44">
        <f>100%-F19/[8]Паспорт!$A$21</f>
        <v>0.92516376623376617</v>
      </c>
      <c r="H19" s="34">
        <f>[8]Паспорт!$A$21-F19</f>
        <v>14247522</v>
      </c>
      <c r="I19" s="39">
        <f>E19/F19</f>
        <v>0.90988287845841742</v>
      </c>
      <c r="J19" s="40"/>
      <c r="K19" s="42"/>
    </row>
    <row r="20" spans="1:11" s="14" customFormat="1" ht="40.049999999999997" customHeight="1">
      <c r="A20" s="23">
        <f>A19+1</f>
        <v>15</v>
      </c>
      <c r="B20" s="15" t="s">
        <v>22</v>
      </c>
      <c r="C20" s="10" t="s">
        <v>12</v>
      </c>
      <c r="D20" s="15" t="s">
        <v>13</v>
      </c>
      <c r="E20" s="28">
        <f>[9]Лист1!$E$31</f>
        <v>803358</v>
      </c>
      <c r="F20" s="24">
        <f>[9]Лист1!$F$31</f>
        <v>1444922</v>
      </c>
      <c r="G20" s="29">
        <f>100%-F20/16800000</f>
        <v>0.91399273809523807</v>
      </c>
      <c r="H20" s="30">
        <f>12600000-F20</f>
        <v>11155078</v>
      </c>
      <c r="I20" s="26">
        <f>E20/F20</f>
        <v>0.55598710518630068</v>
      </c>
      <c r="J20" s="11"/>
      <c r="K20" s="16"/>
    </row>
    <row r="21" spans="1:11" s="14" customFormat="1" ht="40.049999999999997" customHeight="1">
      <c r="A21" s="23">
        <f>A20+1</f>
        <v>16</v>
      </c>
      <c r="B21" s="15" t="s">
        <v>49</v>
      </c>
      <c r="C21" s="10"/>
      <c r="D21" s="15"/>
      <c r="E21" s="33">
        <f>[10]Лист1!$E$33</f>
        <v>1766331</v>
      </c>
      <c r="F21" s="24">
        <f>[10]Лист1!$F$33</f>
        <v>1993309</v>
      </c>
      <c r="G21" s="29">
        <f>100%-F21/16800000</f>
        <v>0.88135065476190477</v>
      </c>
      <c r="H21" s="30">
        <f>16800000-F21</f>
        <v>14806691</v>
      </c>
      <c r="I21" s="26">
        <f>E21/F21</f>
        <v>0.88613004807583773</v>
      </c>
      <c r="J21" s="11"/>
      <c r="K21" s="18"/>
    </row>
    <row r="22" spans="1:11" s="22" customFormat="1" ht="40.049999999999997" customHeight="1">
      <c r="A22" s="23">
        <f>A21+1</f>
        <v>17</v>
      </c>
      <c r="B22" s="15" t="s">
        <v>31</v>
      </c>
      <c r="C22" s="10" t="s">
        <v>14</v>
      </c>
      <c r="D22" s="15" t="s">
        <v>15</v>
      </c>
      <c r="E22" s="27">
        <f>[11]Лист1!$E$32</f>
        <v>2923314</v>
      </c>
      <c r="F22" s="27">
        <f>[11]Лист1!$F$32</f>
        <v>3073214</v>
      </c>
      <c r="G22" s="12">
        <f>100%-F22/15400000</f>
        <v>0.80044064935064929</v>
      </c>
      <c r="H22" s="13">
        <f>12600000-F22</f>
        <v>9526786</v>
      </c>
      <c r="I22" s="26">
        <f>E22/F22</f>
        <v>0.95122370261231404</v>
      </c>
      <c r="J22" s="11"/>
      <c r="K22" s="14"/>
    </row>
    <row r="23" spans="1:11" s="14" customFormat="1" ht="40.049999999999997" customHeight="1">
      <c r="A23" s="23">
        <f>A22+1</f>
        <v>18</v>
      </c>
      <c r="B23" s="15" t="s">
        <v>18</v>
      </c>
      <c r="C23" s="10" t="s">
        <v>12</v>
      </c>
      <c r="D23" s="15" t="s">
        <v>13</v>
      </c>
      <c r="E23" s="28">
        <f>[12]Лист1!$E$32</f>
        <v>1115136</v>
      </c>
      <c r="F23" s="24">
        <f>[12]Лист1!$F$32</f>
        <v>3369696</v>
      </c>
      <c r="G23" s="29">
        <f>100%-F23/16800000</f>
        <v>0.7994228571428571</v>
      </c>
      <c r="H23" s="30">
        <f>16800000-F23</f>
        <v>13430304</v>
      </c>
      <c r="I23" s="26">
        <f>E23/F23</f>
        <v>0.33093074271388279</v>
      </c>
      <c r="J23" s="11"/>
      <c r="K23" s="16"/>
    </row>
    <row r="24" spans="1:11" s="14" customFormat="1" ht="40.049999999999997" customHeight="1">
      <c r="A24" s="23">
        <f>A23+1</f>
        <v>19</v>
      </c>
      <c r="B24" s="15" t="s">
        <v>26</v>
      </c>
      <c r="C24" s="10" t="s">
        <v>12</v>
      </c>
      <c r="D24" s="15" t="s">
        <v>13</v>
      </c>
      <c r="E24" s="27"/>
      <c r="F24" s="27">
        <v>3080000</v>
      </c>
      <c r="G24" s="12">
        <f>100%-F24/14000000</f>
        <v>0.78</v>
      </c>
      <c r="H24" s="13">
        <f>14000000-F24</f>
        <v>10920000</v>
      </c>
      <c r="I24" s="26">
        <f>E24/F24</f>
        <v>0</v>
      </c>
      <c r="J24" s="11"/>
    </row>
    <row r="25" spans="1:11" s="14" customFormat="1" ht="40.049999999999997" customHeight="1">
      <c r="A25" s="23">
        <f>A24+1</f>
        <v>20</v>
      </c>
      <c r="B25" s="15" t="s">
        <v>23</v>
      </c>
      <c r="C25" s="10" t="s">
        <v>12</v>
      </c>
      <c r="D25" s="15" t="s">
        <v>13</v>
      </c>
      <c r="E25" s="24"/>
      <c r="F25" s="24">
        <v>4055359</v>
      </c>
      <c r="G25" s="29">
        <f>100%-F25/16800000</f>
        <v>0.75860958333333328</v>
      </c>
      <c r="H25" s="30">
        <f>18900000-F25</f>
        <v>14844641</v>
      </c>
      <c r="I25" s="26">
        <f>E25/F25</f>
        <v>0</v>
      </c>
      <c r="J25" s="11"/>
    </row>
    <row r="26" spans="1:11" s="14" customFormat="1" ht="40.049999999999997" customHeight="1">
      <c r="A26" s="23">
        <f>A25+1</f>
        <v>21</v>
      </c>
      <c r="B26" s="15" t="s">
        <v>45</v>
      </c>
      <c r="C26" s="10"/>
      <c r="D26" s="15"/>
      <c r="E26" s="33">
        <f>[13]Паспорт!$E$32</f>
        <v>4103201</v>
      </c>
      <c r="F26" s="33">
        <f>[13]Паспорт!$F$32</f>
        <v>4449033</v>
      </c>
      <c r="G26" s="31">
        <f>100%-F26/16800000</f>
        <v>0.73517660714285715</v>
      </c>
      <c r="H26" s="30">
        <f>16800000-F26</f>
        <v>12350967</v>
      </c>
      <c r="I26" s="26">
        <f>E26/F26</f>
        <v>0.92226805240599474</v>
      </c>
      <c r="J26" s="11"/>
      <c r="K26" s="16"/>
    </row>
    <row r="27" spans="1:11" s="14" customFormat="1" ht="40.049999999999997" customHeight="1">
      <c r="A27" s="23">
        <f>A26+1</f>
        <v>22</v>
      </c>
      <c r="B27" s="15" t="s">
        <v>27</v>
      </c>
      <c r="C27" s="10" t="s">
        <v>12</v>
      </c>
      <c r="D27" s="15" t="s">
        <v>13</v>
      </c>
      <c r="E27" s="27"/>
      <c r="F27" s="27">
        <v>5511547</v>
      </c>
      <c r="G27" s="12">
        <f>100%-F27/16800000</f>
        <v>0.67193172619047625</v>
      </c>
      <c r="H27" s="13">
        <f>12000000-F27</f>
        <v>6488453</v>
      </c>
      <c r="I27" s="26">
        <f>E27/F27</f>
        <v>0</v>
      </c>
      <c r="J27" s="11"/>
    </row>
    <row r="28" spans="1:11" s="14" customFormat="1" ht="40.049999999999997" customHeight="1">
      <c r="A28" s="23">
        <f>A27+1</f>
        <v>23</v>
      </c>
      <c r="B28" s="15" t="s">
        <v>16</v>
      </c>
      <c r="C28" s="10" t="s">
        <v>12</v>
      </c>
      <c r="D28" s="15" t="s">
        <v>13</v>
      </c>
      <c r="E28" s="28">
        <v>2131080</v>
      </c>
      <c r="F28" s="24">
        <v>5638494</v>
      </c>
      <c r="G28" s="31">
        <f>100%-F28/16800000</f>
        <v>0.66437535714285723</v>
      </c>
      <c r="H28" s="30">
        <f>16800000-F28</f>
        <v>11161506</v>
      </c>
      <c r="I28" s="26">
        <f>E28/F28</f>
        <v>0.37795198505132754</v>
      </c>
      <c r="J28" s="11"/>
      <c r="K28" s="16"/>
    </row>
    <row r="29" spans="1:11" s="14" customFormat="1" ht="40.049999999999997" customHeight="1">
      <c r="A29" s="23">
        <f>A28+1</f>
        <v>24</v>
      </c>
      <c r="B29" s="15" t="s">
        <v>32</v>
      </c>
      <c r="C29" s="10" t="s">
        <v>12</v>
      </c>
      <c r="D29" s="15" t="s">
        <v>13</v>
      </c>
      <c r="E29" s="27">
        <f>[14]Лист1!$E$30</f>
        <v>6255857</v>
      </c>
      <c r="F29" s="27">
        <f>[14]Лист1!$F$30</f>
        <v>6692357</v>
      </c>
      <c r="G29" s="12">
        <f>100%-F29/18900000</f>
        <v>0.645907037037037</v>
      </c>
      <c r="H29" s="13">
        <f>18900000-F29</f>
        <v>12207643</v>
      </c>
      <c r="I29" s="26">
        <f>E29/F29</f>
        <v>0.93477634262487785</v>
      </c>
      <c r="J29" s="11"/>
    </row>
    <row r="30" spans="1:11" s="14" customFormat="1" ht="40.049999999999997" customHeight="1">
      <c r="A30" s="23">
        <f>A29+1</f>
        <v>25</v>
      </c>
      <c r="B30" s="15" t="s">
        <v>33</v>
      </c>
      <c r="C30" s="10" t="s">
        <v>12</v>
      </c>
      <c r="D30" s="15" t="s">
        <v>13</v>
      </c>
      <c r="E30" s="27">
        <f>[15]Лист1!$E$37</f>
        <v>8320286</v>
      </c>
      <c r="F30" s="27">
        <f>[15]Лист1!$F$37</f>
        <v>9174267</v>
      </c>
      <c r="G30" s="12">
        <f>100%-F30/18900000</f>
        <v>0.51458904761904756</v>
      </c>
      <c r="H30" s="13">
        <f>18900000-F30</f>
        <v>9725733</v>
      </c>
      <c r="I30" s="26">
        <f>E30/F30</f>
        <v>0.90691561516576746</v>
      </c>
      <c r="J30" s="11"/>
    </row>
    <row r="31" spans="1:11" s="14" customFormat="1" ht="40.049999999999997" customHeight="1">
      <c r="A31" s="23">
        <f>A30+1</f>
        <v>26</v>
      </c>
      <c r="B31" s="15" t="s">
        <v>39</v>
      </c>
      <c r="C31" s="10" t="s">
        <v>12</v>
      </c>
      <c r="D31" s="15" t="s">
        <v>13</v>
      </c>
      <c r="E31" s="24">
        <f>[16]Лист1!$E$31</f>
        <v>8281833</v>
      </c>
      <c r="F31" s="24">
        <f>[16]Лист1!$F$31</f>
        <v>8683737</v>
      </c>
      <c r="G31" s="29">
        <f>100%-F31/16800000</f>
        <v>0.48311089285714282</v>
      </c>
      <c r="H31" s="30">
        <f>16800000-F31</f>
        <v>8116263</v>
      </c>
      <c r="I31" s="26">
        <f>E31/F31</f>
        <v>0.95371762180268704</v>
      </c>
      <c r="J31" s="11"/>
      <c r="K31" s="16"/>
    </row>
    <row r="32" spans="1:11" s="14" customFormat="1" ht="40.049999999999997" customHeight="1">
      <c r="A32" s="23">
        <f>A31+1</f>
        <v>27</v>
      </c>
      <c r="B32" s="15" t="s">
        <v>42</v>
      </c>
      <c r="C32" s="10" t="s">
        <v>12</v>
      </c>
      <c r="D32" s="15" t="s">
        <v>13</v>
      </c>
      <c r="E32" s="32">
        <f>[17]Лист1!$E$30</f>
        <v>6320916</v>
      </c>
      <c r="F32" s="27">
        <f>[17]Лист1!$F$30</f>
        <v>8887400</v>
      </c>
      <c r="G32" s="12">
        <f>100%-F32/16800000</f>
        <v>0.47098809523809526</v>
      </c>
      <c r="H32" s="13">
        <f>16800000-F32</f>
        <v>7912600</v>
      </c>
      <c r="I32" s="26">
        <f>E32/F32</f>
        <v>0.71122217971510227</v>
      </c>
      <c r="J32" s="11"/>
    </row>
    <row r="33" spans="1:11" s="14" customFormat="1" ht="40.049999999999997" customHeight="1">
      <c r="A33" s="23">
        <f>A32+1</f>
        <v>28</v>
      </c>
      <c r="B33" s="15" t="s">
        <v>38</v>
      </c>
      <c r="C33" s="10" t="s">
        <v>12</v>
      </c>
      <c r="D33" s="15" t="s">
        <v>13</v>
      </c>
      <c r="E33" s="32">
        <f>[18]Лист1!$E$31</f>
        <v>4049370</v>
      </c>
      <c r="F33" s="27">
        <f>[18]Лист1!$F$31</f>
        <v>7933811</v>
      </c>
      <c r="G33" s="12">
        <f>100%-F33/14000000</f>
        <v>0.43329921428571427</v>
      </c>
      <c r="H33" s="13">
        <f>14000000-F33</f>
        <v>6066189</v>
      </c>
      <c r="I33" s="26">
        <f>E33/F33</f>
        <v>0.51039405904678092</v>
      </c>
      <c r="J33" s="11"/>
    </row>
    <row r="34" spans="1:11" ht="40.049999999999997" customHeight="1">
      <c r="A34" s="23">
        <f>A33+1</f>
        <v>29</v>
      </c>
      <c r="B34" s="15" t="s">
        <v>34</v>
      </c>
      <c r="C34" s="10" t="s">
        <v>12</v>
      </c>
      <c r="D34" s="15" t="s">
        <v>13</v>
      </c>
      <c r="E34" s="24">
        <f>[19]Лист1!$E$39</f>
        <v>11248736</v>
      </c>
      <c r="F34" s="24">
        <f>[19]Лист1!$F$39</f>
        <v>12230442</v>
      </c>
      <c r="G34" s="29">
        <f>100%-F34/18200000</f>
        <v>0.32799769230769227</v>
      </c>
      <c r="H34" s="30">
        <f>18200000-F34</f>
        <v>5969558</v>
      </c>
      <c r="I34" s="26">
        <f>E34/F34</f>
        <v>0.91973258202769781</v>
      </c>
      <c r="J34" s="11"/>
      <c r="K34" s="16"/>
    </row>
    <row r="35" spans="1:11" ht="40.049999999999997" customHeight="1">
      <c r="A35" s="23">
        <f>A34+1</f>
        <v>30</v>
      </c>
      <c r="B35" s="15" t="s">
        <v>28</v>
      </c>
      <c r="C35" s="10" t="s">
        <v>12</v>
      </c>
      <c r="D35" s="15" t="s">
        <v>13</v>
      </c>
      <c r="E35" s="32">
        <f>[20]Лист1!$E$31</f>
        <v>6662284</v>
      </c>
      <c r="F35" s="27">
        <f>[20]Лист1!$F$31</f>
        <v>11429652</v>
      </c>
      <c r="G35" s="12">
        <f>100%-F35/16800000</f>
        <v>0.31966357142857138</v>
      </c>
      <c r="H35" s="13">
        <f>16800000-F35</f>
        <v>5370348</v>
      </c>
      <c r="I35" s="26">
        <f>E35/F35</f>
        <v>0.58289473730258801</v>
      </c>
      <c r="J35" s="11"/>
      <c r="K35" s="14"/>
    </row>
    <row r="36" spans="1:11" ht="40.049999999999997" customHeight="1">
      <c r="A36" s="23">
        <f>A35+1</f>
        <v>31</v>
      </c>
      <c r="B36" s="15" t="s">
        <v>21</v>
      </c>
      <c r="C36" s="10" t="s">
        <v>12</v>
      </c>
      <c r="D36" s="15" t="s">
        <v>13</v>
      </c>
      <c r="E36" s="24">
        <f>[21]Лист1!$E$31</f>
        <v>11014310</v>
      </c>
      <c r="F36" s="24">
        <f>[21]Лист1!$F$31</f>
        <v>12128977</v>
      </c>
      <c r="G36" s="29">
        <f>100%-F36/16800000</f>
        <v>0.27803708333333332</v>
      </c>
      <c r="H36" s="30">
        <f>16800000-F36</f>
        <v>4671023</v>
      </c>
      <c r="I36" s="26">
        <f>E36/F36</f>
        <v>0.90809884460989576</v>
      </c>
      <c r="J36" s="11"/>
      <c r="K36" s="16"/>
    </row>
    <row r="37" spans="1:11" s="41" customFormat="1" ht="40.049999999999997" customHeight="1">
      <c r="A37" s="23">
        <f>A36+1</f>
        <v>32</v>
      </c>
      <c r="B37" s="15" t="s">
        <v>24</v>
      </c>
      <c r="C37" s="10" t="s">
        <v>12</v>
      </c>
      <c r="D37" s="15" t="s">
        <v>13</v>
      </c>
      <c r="E37" s="32">
        <f>[22]Лист1!$E$31</f>
        <v>4259304</v>
      </c>
      <c r="F37" s="27">
        <f>[22]Лист1!$F$31</f>
        <v>12624642</v>
      </c>
      <c r="G37" s="12">
        <f>100%-F37/16800000</f>
        <v>0.24853321428571429</v>
      </c>
      <c r="H37" s="13">
        <f>16800000-F37</f>
        <v>4175358</v>
      </c>
      <c r="I37" s="26">
        <f>E37/F37</f>
        <v>0.33738018076076931</v>
      </c>
      <c r="J37" s="11"/>
      <c r="K37" s="14"/>
    </row>
    <row r="38" spans="1:11" ht="40.049999999999997" customHeight="1">
      <c r="A38" s="23">
        <f>A37+1</f>
        <v>33</v>
      </c>
      <c r="B38" s="15" t="s">
        <v>17</v>
      </c>
      <c r="C38" s="10" t="s">
        <v>12</v>
      </c>
      <c r="D38" s="15" t="s">
        <v>13</v>
      </c>
      <c r="E38" s="28">
        <f>[23]Лист1!$E$30</f>
        <v>8640360</v>
      </c>
      <c r="F38" s="24">
        <f>[23]Лист1!$F$30</f>
        <v>16453303</v>
      </c>
      <c r="G38" s="29">
        <f>100%-F38/19600000</f>
        <v>0.16054576530612241</v>
      </c>
      <c r="H38" s="30">
        <f>19600000-F38</f>
        <v>3146697</v>
      </c>
      <c r="I38" s="26">
        <f>E38/F38</f>
        <v>0.52514440413575314</v>
      </c>
      <c r="J38" s="11"/>
      <c r="K38" s="16"/>
    </row>
    <row r="39" spans="1:11" ht="40.049999999999997" customHeight="1">
      <c r="A39" s="23">
        <f>A38+1</f>
        <v>34</v>
      </c>
      <c r="B39" s="15" t="s">
        <v>46</v>
      </c>
      <c r="C39" s="10" t="s">
        <v>12</v>
      </c>
      <c r="D39" s="15" t="s">
        <v>13</v>
      </c>
      <c r="E39" s="27">
        <f>[24]Лист1!$E$26</f>
        <v>13706491</v>
      </c>
      <c r="F39" s="27">
        <f>[24]Лист1!$F$26</f>
        <v>14354659</v>
      </c>
      <c r="G39" s="12">
        <f>100%-F39/16800000</f>
        <v>0.14555601190476186</v>
      </c>
      <c r="H39" s="13">
        <f>16800000-F39</f>
        <v>2445341</v>
      </c>
      <c r="I39" s="26">
        <f>E39/F39</f>
        <v>0.95484615830999542</v>
      </c>
      <c r="J39" s="11"/>
      <c r="K39" s="14"/>
    </row>
    <row r="40" spans="1:11" s="41" customFormat="1" ht="40.049999999999997" customHeight="1">
      <c r="A40" s="23">
        <f>A39+1</f>
        <v>35</v>
      </c>
      <c r="B40" s="15" t="s">
        <v>37</v>
      </c>
      <c r="C40" s="10" t="s">
        <v>12</v>
      </c>
      <c r="D40" s="15" t="s">
        <v>13</v>
      </c>
      <c r="E40" s="27">
        <f>[25]Лист1!$E$30</f>
        <v>15701250</v>
      </c>
      <c r="F40" s="27">
        <f>[25]Лист1!$F$30</f>
        <v>19280552</v>
      </c>
      <c r="G40" s="19">
        <f>100%-F40/21000000</f>
        <v>8.1878476190476168E-2</v>
      </c>
      <c r="H40" s="13">
        <f>21000000-F40</f>
        <v>1719448</v>
      </c>
      <c r="I40" s="26">
        <f>E40/F40</f>
        <v>0.81435687111032917</v>
      </c>
      <c r="J40" s="11"/>
      <c r="K40" s="14"/>
    </row>
  </sheetData>
  <autoFilter ref="A3:K21">
    <filterColumn colId="6" showButton="0"/>
    <sortState ref="A6:K40">
      <sortCondition descending="1" ref="G3:G21"/>
    </sortState>
  </autoFilter>
  <mergeCells count="9">
    <mergeCell ref="J3:J4"/>
    <mergeCell ref="D2:E2"/>
    <mergeCell ref="A1:J1"/>
    <mergeCell ref="B3:B4"/>
    <mergeCell ref="A3:A4"/>
    <mergeCell ref="G3:H3"/>
    <mergeCell ref="D3:D4"/>
    <mergeCell ref="I3:I4"/>
    <mergeCell ref="C3:C4"/>
  </mergeCells>
  <phoneticPr fontId="0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4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80" zoomScaleNormal="80" workbookViewId="0">
      <selection sqref="A1:XFD2"/>
    </sheetView>
  </sheetViews>
  <sheetFormatPr defaultRowHeight="13.2"/>
  <cols>
    <col min="1" max="1" width="7.109375" customWidth="1"/>
    <col min="2" max="2" width="66.21875" customWidth="1"/>
    <col min="3" max="3" width="15.109375" style="9" customWidth="1"/>
    <col min="4" max="4" width="28.109375" style="8" customWidth="1"/>
    <col min="5" max="5" width="13.88671875" customWidth="1"/>
    <col min="6" max="6" width="13.33203125" customWidth="1"/>
    <col min="7" max="7" width="11.88671875" customWidth="1"/>
    <col min="8" max="8" width="16.33203125" customWidth="1"/>
    <col min="9" max="9" width="15.5546875" customWidth="1"/>
    <col min="10" max="10" width="26.6640625" customWidth="1"/>
    <col min="11" max="11" width="13.109375" customWidth="1"/>
    <col min="12" max="12" width="10.109375" bestFit="1" customWidth="1"/>
  </cols>
  <sheetData>
    <row r="1" spans="1:12" ht="71.400000000000006" customHeight="1">
      <c r="A1" s="52" t="s">
        <v>0</v>
      </c>
      <c r="B1" s="50" t="s">
        <v>5</v>
      </c>
      <c r="C1" s="60" t="s">
        <v>9</v>
      </c>
      <c r="D1" s="56" t="s">
        <v>10</v>
      </c>
      <c r="E1" s="6" t="s">
        <v>43</v>
      </c>
      <c r="F1" s="3" t="s">
        <v>6</v>
      </c>
      <c r="G1" s="54" t="s">
        <v>1</v>
      </c>
      <c r="H1" s="55"/>
      <c r="I1" s="58" t="s">
        <v>7</v>
      </c>
      <c r="J1" s="45" t="s">
        <v>4</v>
      </c>
      <c r="K1" s="62" t="s">
        <v>8</v>
      </c>
      <c r="L1" s="2"/>
    </row>
    <row r="2" spans="1:12" ht="13.8" thickBot="1">
      <c r="A2" s="53"/>
      <c r="B2" s="51"/>
      <c r="C2" s="61"/>
      <c r="D2" s="57"/>
      <c r="E2" s="7" t="s">
        <v>2</v>
      </c>
      <c r="F2" s="4" t="s">
        <v>2</v>
      </c>
      <c r="G2" s="4" t="s">
        <v>3</v>
      </c>
      <c r="H2" s="5" t="s">
        <v>2</v>
      </c>
      <c r="I2" s="59"/>
      <c r="J2" s="46"/>
      <c r="K2" s="63"/>
      <c r="L2" s="1"/>
    </row>
    <row r="3" spans="1:12" ht="30.6">
      <c r="A3" s="23" t="e">
        <f>#REF!+1</f>
        <v>#REF!</v>
      </c>
      <c r="B3" s="21" t="s">
        <v>19</v>
      </c>
      <c r="C3" s="10" t="s">
        <v>12</v>
      </c>
      <c r="D3" s="15" t="s">
        <v>13</v>
      </c>
      <c r="E3" s="28">
        <f>[26]Лист1!$E$32</f>
        <v>8848812</v>
      </c>
      <c r="F3" s="24">
        <f>[26]Лист1!$F$32</f>
        <v>18119313</v>
      </c>
      <c r="G3" s="29">
        <f>100%-F3/18200000</f>
        <v>4.4333516483516799E-3</v>
      </c>
      <c r="H3" s="30">
        <f>18200000-F3</f>
        <v>80687</v>
      </c>
      <c r="I3" s="26">
        <f t="shared" ref="I3" si="0">E3/F3</f>
        <v>0.4883635488828964</v>
      </c>
      <c r="J3" s="11"/>
      <c r="K3" s="10" t="s">
        <v>11</v>
      </c>
      <c r="L3" s="18"/>
    </row>
  </sheetData>
  <mergeCells count="8">
    <mergeCell ref="I1:I2"/>
    <mergeCell ref="J1:J2"/>
    <mergeCell ref="K1:K2"/>
    <mergeCell ref="A1:A2"/>
    <mergeCell ref="B1:B2"/>
    <mergeCell ref="C1:C2"/>
    <mergeCell ref="D1:D2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Выработка формокомплектов</vt:lpstr>
      <vt:lpstr>Списанные формокомплекты</vt:lpstr>
      <vt:lpstr>'Выработка формокомплектов'!Область_печати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Base</cp:lastModifiedBy>
  <cp:lastPrinted>2020-01-08T12:08:44Z</cp:lastPrinted>
  <dcterms:created xsi:type="dcterms:W3CDTF">2005-06-28T07:56:17Z</dcterms:created>
  <dcterms:modified xsi:type="dcterms:W3CDTF">2020-01-09T08:52:47Z</dcterms:modified>
</cp:coreProperties>
</file>