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xr:revisionPtr revIDLastSave="0" documentId="13_ncr:1_{0F0F03E5-B6E4-4CFC-804E-212BE79081C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0" hidden="1">'Выработка формокомплектов'!$A$3:$K$19</definedName>
    <definedName name="_xlnm.Print_Area" localSheetId="0">'Выработка формокомплектов'!$A$1:$J$49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1" l="1"/>
  <c r="E46" i="1"/>
  <c r="I46" i="1" l="1"/>
  <c r="H46" i="1"/>
  <c r="G46" i="1" l="1"/>
  <c r="F13" i="1" l="1"/>
  <c r="E13" i="1"/>
  <c r="H13" i="1" l="1"/>
  <c r="G13" i="1" l="1"/>
  <c r="H8" i="1" l="1"/>
  <c r="G8" i="1"/>
  <c r="F8" i="1"/>
  <c r="E8" i="1"/>
  <c r="I8" i="1" l="1"/>
  <c r="G33" i="1"/>
  <c r="F14" i="1" l="1"/>
  <c r="E14" i="1"/>
  <c r="F38" i="1" l="1"/>
  <c r="E38" i="1"/>
  <c r="E36" i="1"/>
  <c r="H32" i="1" l="1"/>
  <c r="G32" i="1"/>
  <c r="F32" i="1"/>
  <c r="E32" i="1"/>
  <c r="I32" i="1" s="1"/>
  <c r="F33" i="1" l="1"/>
  <c r="H33" i="1" s="1"/>
  <c r="E33" i="1"/>
  <c r="I33" i="1" l="1"/>
  <c r="F37" i="1"/>
  <c r="H37" i="1" s="1"/>
  <c r="E37" i="1"/>
  <c r="I37" i="1" l="1"/>
  <c r="G37" i="1"/>
  <c r="F11" i="1" l="1"/>
  <c r="H11" i="1" s="1"/>
  <c r="E11" i="1"/>
  <c r="I11" i="1" l="1"/>
  <c r="G11" i="1"/>
  <c r="F15" i="1"/>
  <c r="G15" i="1" s="1"/>
  <c r="E15" i="1"/>
  <c r="I15" i="1" l="1"/>
  <c r="H15" i="1"/>
  <c r="F41" i="1"/>
  <c r="E41" i="1"/>
  <c r="F17" i="1" l="1"/>
  <c r="H17" i="1" s="1"/>
  <c r="E17" i="1"/>
  <c r="I17" i="1" l="1"/>
  <c r="G17" i="1"/>
  <c r="E19" i="1" l="1"/>
  <c r="F39" i="1"/>
  <c r="G39" i="1" s="1"/>
  <c r="E39" i="1"/>
  <c r="H39" i="1" l="1"/>
  <c r="F18" i="1"/>
  <c r="G18" i="1" s="1"/>
  <c r="E18" i="1"/>
  <c r="H18" i="1" l="1"/>
  <c r="F36" i="1"/>
  <c r="H36" i="1" s="1"/>
  <c r="G36" i="1" l="1"/>
  <c r="I36" i="1"/>
  <c r="F25" i="1" l="1"/>
  <c r="H25" i="1" s="1"/>
  <c r="E25" i="1"/>
  <c r="I25" i="1" l="1"/>
  <c r="G25" i="1"/>
  <c r="F19" i="1" l="1"/>
  <c r="G19" i="1" l="1"/>
  <c r="H19" i="1"/>
  <c r="F21" i="1"/>
  <c r="H21" i="1" s="1"/>
  <c r="E21" i="1"/>
  <c r="I21" i="1" l="1"/>
  <c r="G21" i="1"/>
  <c r="F7" i="1" l="1"/>
  <c r="G7" i="1" s="1"/>
  <c r="E7" i="1"/>
  <c r="H7" i="1" l="1"/>
  <c r="A6" i="1"/>
  <c r="F9" i="1" l="1"/>
  <c r="H9" i="1" s="1"/>
  <c r="E9" i="1"/>
  <c r="F24" i="1"/>
  <c r="H24" i="1" s="1"/>
  <c r="E24" i="1"/>
  <c r="I9" i="1" l="1"/>
  <c r="G9" i="1"/>
  <c r="G24" i="1"/>
  <c r="F3" i="2" l="1"/>
  <c r="G3" i="2" s="1"/>
  <c r="E3" i="2"/>
  <c r="I3" i="2" l="1"/>
  <c r="H3" i="2"/>
  <c r="A3" i="2"/>
  <c r="F12" i="1"/>
  <c r="G12" i="1" s="1"/>
  <c r="E12" i="1"/>
  <c r="F28" i="1"/>
  <c r="E28" i="1"/>
  <c r="H28" i="1" l="1"/>
  <c r="G28" i="1"/>
  <c r="H12" i="1"/>
  <c r="F27" i="1"/>
  <c r="E27" i="1"/>
  <c r="H27" i="1" l="1"/>
  <c r="G27" i="1"/>
  <c r="I27" i="1"/>
  <c r="F35" i="1"/>
  <c r="E35" i="1"/>
  <c r="H35" i="1" l="1"/>
  <c r="G35" i="1"/>
  <c r="I7" i="1"/>
  <c r="F23" i="1"/>
  <c r="E23" i="1"/>
  <c r="H23" i="1" l="1"/>
  <c r="G23" i="1"/>
  <c r="I23" i="1"/>
  <c r="F22" i="1" l="1"/>
  <c r="E22" i="1"/>
  <c r="H22" i="1" l="1"/>
  <c r="G22" i="1"/>
  <c r="I22" i="1"/>
  <c r="I35" i="1"/>
  <c r="E45" i="1" l="1"/>
  <c r="F45" i="1"/>
  <c r="H45" i="1" l="1"/>
  <c r="G45" i="1"/>
  <c r="F26" i="1"/>
  <c r="E26" i="1"/>
  <c r="H26" i="1" l="1"/>
  <c r="G26" i="1"/>
  <c r="F43" i="1"/>
  <c r="E43" i="1"/>
  <c r="H43" i="1" l="1"/>
  <c r="G43" i="1"/>
  <c r="H41" i="1" l="1"/>
  <c r="G41" i="1"/>
  <c r="F31" i="1"/>
  <c r="E31" i="1"/>
  <c r="G31" i="1" l="1"/>
  <c r="H31" i="1"/>
  <c r="H14" i="1" l="1"/>
  <c r="G14" i="1"/>
  <c r="F10" i="1"/>
  <c r="E10" i="1"/>
  <c r="H10" i="1" l="1"/>
  <c r="I10" i="1"/>
  <c r="G10" i="1" l="1"/>
  <c r="F20" i="1" l="1"/>
  <c r="H20" i="1" s="1"/>
  <c r="E20" i="1"/>
  <c r="G20" i="1" l="1"/>
  <c r="F42" i="1" l="1"/>
  <c r="E42" i="1"/>
  <c r="H42" i="1" l="1"/>
  <c r="G42" i="1"/>
  <c r="F47" i="1"/>
  <c r="E47" i="1"/>
  <c r="H47" i="1" l="1"/>
  <c r="G47" i="1"/>
  <c r="I47" i="1"/>
  <c r="F34" i="1" l="1"/>
  <c r="E34" i="1"/>
  <c r="H34" i="1" l="1"/>
  <c r="G34" i="1"/>
  <c r="F40" i="1"/>
  <c r="E40" i="1"/>
  <c r="H40" i="1" l="1"/>
  <c r="G40" i="1"/>
  <c r="G6" i="1"/>
  <c r="I6" i="1"/>
  <c r="H6" i="1"/>
  <c r="I18" i="1"/>
  <c r="I31" i="1"/>
  <c r="H5" i="1"/>
  <c r="G5" i="1"/>
  <c r="I20" i="1"/>
  <c r="I19" i="1"/>
  <c r="I34" i="1"/>
  <c r="G30" i="1"/>
  <c r="I14" i="1"/>
  <c r="I12" i="1"/>
  <c r="H29" i="1"/>
  <c r="G29" i="1"/>
  <c r="I42" i="1"/>
  <c r="I29" i="1"/>
  <c r="H16" i="1"/>
  <c r="G16" i="1"/>
  <c r="I16" i="1"/>
  <c r="I41" i="1"/>
  <c r="I39" i="1"/>
  <c r="I45" i="1"/>
  <c r="H30" i="1"/>
  <c r="I30" i="1"/>
  <c r="I26" i="1"/>
  <c r="I43" i="1"/>
  <c r="I24" i="1"/>
  <c r="I28" i="1"/>
  <c r="I13" i="1"/>
  <c r="I40" i="1"/>
  <c r="H38" i="1" l="1"/>
  <c r="G38" i="1"/>
  <c r="I38" i="1"/>
  <c r="E44" i="1" l="1"/>
  <c r="F44" i="1"/>
  <c r="H44" i="1" l="1"/>
  <c r="G44" i="1"/>
  <c r="I44" i="1"/>
  <c r="A7" i="1" l="1"/>
  <c r="A9" i="1" l="1"/>
  <c r="A10" i="1" s="1"/>
  <c r="A11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12" i="1"/>
</calcChain>
</file>

<file path=xl/sharedStrings.xml><?xml version="1.0" encoding="utf-8"?>
<sst xmlns="http://schemas.openxmlformats.org/spreadsheetml/2006/main" count="143" uniqueCount="70">
  <si>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</si>
  <si>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</si>
  <si>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</si>
  <si>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</si>
  <si>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</si>
  <si>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</si>
  <si>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</si>
  <si>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</si>
  <si>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</si>
  <si>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</si>
  <si>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</si>
  <si>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</si>
  <si>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</si>
  <si>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</si>
  <si>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</si>
  <si>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</si>
  <si>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</si>
  <si>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</si>
  <si>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</si>
  <si>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</si>
  <si>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</si>
  <si>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</si>
  <si>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</si>
  <si>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</si>
  <si>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</si>
  <si>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</si>
  <si>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</si>
  <si>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</si>
  <si>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</si>
  <si>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</si>
  <si>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</si>
  <si>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</si>
  <si>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</si>
  <si>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</si>
  <si>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</si>
  <si>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</si>
  <si>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</si>
  <si>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</si>
  <si>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</si>
  <si>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</si>
  <si>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</si>
  <si>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</si>
  <si>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</si>
  <si>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</si>
  <si>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</si>
  <si>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</si>
  <si>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</si>
  <si>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</si>
  <si>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</si>
  <si>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</si>
  <si>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</si>
  <si>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</si>
  <si>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</si>
  <si>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</si>
  <si>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</si>
  <si>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XXI-КПМ-24-1-500-16 (Бульбаш Экстра Нью)</t>
  </si>
  <si>
    <t>выпущено на ООО "Стеклозавод "Ведатранзит"</t>
  </si>
  <si>
    <t>ХXI-КПМ-30-1-500-7 (Каласы 0.5 л.)</t>
  </si>
  <si>
    <t>Бульбаш</t>
  </si>
  <si>
    <t>Аквадив</t>
  </si>
  <si>
    <t>Аквадив дог. безв. польз им. №27 от 05.03.2020</t>
  </si>
  <si>
    <t>"Размова" XXI-КПМ-30-1-500</t>
  </si>
  <si>
    <t>"Батькова 0,5 л." XXI-В-30-4б-500-14</t>
  </si>
  <si>
    <t>"Аквадив 0,35" XXI-В-28-2-350</t>
  </si>
  <si>
    <t xml:space="preserve"> "Брест колоски" ХXI-В-28-2.1-500-14</t>
  </si>
  <si>
    <t>Забрали</t>
  </si>
  <si>
    <t xml:space="preserve"> </t>
  </si>
  <si>
    <t>XXI-КПМ-30-1-500-4 (Аква Мятая)</t>
  </si>
  <si>
    <t>Таблица выработки формокомплектов, находящихся на ООО "Стеклозавод Ведатранзит" по состоянию на 01.07.2020 г.</t>
  </si>
  <si>
    <t>Ice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</si>
</sst>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9" fontId="11" fillId="5" borderId="1" xfId="3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 xr:uid="{00000000-0005-0000-0000-000000000000}"/>
    <cellStyle name="Обычный" xfId="0" builtinId="0"/>
    <cellStyle name="Обычный 7" xfId="2" xr:uid="{00000000-0005-0000-0000-000002000000}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3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4-1-500-16%20(&#1041;&#1091;&#1083;&#1100;&#1073;&#1072;&#1096;%20&#1069;&#1082;&#1089;&#1090;&#1088;&#1072;%20&#1053;&#1100;&#1102;)/XXI-&#1050;&#1055;&#1052;-24-1-500-16%20(&#1041;&#1091;&#1083;&#1100;&#1073;&#1072;&#1096;%20&#1069;&#1082;&#1089;&#1090;&#1088;&#1072;%20&#1053;&#1100;&#1102;)%20&#1086;&#1090;%2023.01.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14%20(&#1041;&#1088;&#1077;&#1089;&#1090;%20&#1082;&#1086;&#1083;&#1086;&#1089;&#1082;&#1080;)/&#1041;&#1088;&#1077;&#1089;&#1090;%20&#1082;&#1086;&#1083;&#1086;&#1089;&#1082;&#1080;%20&#1086;&#1090;%2013.11.201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86;&#1090;%2010.04.20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-500-16%20(&#1057;&#1103;&#1073;&#1088;&#1099;%20%200,5%20&#1083;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350%20(&#1040;&#1082;&#1074;&#1072;&#1076;&#1080;&#1074;%200.35%20&#1083;.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7;&#1087;&#1080;&#1083;%20%200,5%20&#108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4%20&#1040;&#1050;&#1042;&#1040;%20&#1052;&#1071;&#1058;&#1040;&#1071;/XXI-&#1050;&#1055;&#1052;-30-1-500-4%20&#1040;&#1050;&#1042;&#1040;%20&#1052;&#1071;&#1058;&#1040;&#1071;%20&#1086;&#1090;%2028.05.20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16%20&#1083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73;-500-14%20&#1041;&#1072;&#1090;&#1100;&#1082;&#1086;&#1074;&#1072;/XXI-&#1042;-30-4&#1073;-500-14%20&#1041;&#1072;&#1090;&#1100;&#1082;&#1086;&#1074;&#1072;%20&#1086;&#1090;%2007.02.2020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4-500-10%20(&#1040;&#1081;&#1089;%20&#1050;&#1091;&#1073;)%20&#1086;&#1090;%2009.06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45%20&#1083;.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1;&#1061;I-&#1050;&#1055;&#1052;-30-1-500-&#1056;&#1072;&#1079;&#1084;&#1086;&#1074;&#1072;/&#1092;-&#1090;%20&#1061;&#1061;I-&#1050;&#1055;&#1052;-30-1-500-&#1056;&#1072;&#1079;&#1084;&#1086;&#1074;&#1072;%20&#1086;&#1090;%2006.03.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7%20(&#1050;&#1072;&#1083;&#1072;&#1089;&#1099;)/&#1086;&#1090;%2023.10.2019%20&#1050;&#1072;&#1083;&#1072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18200000</v>
          </cell>
        </row>
        <row r="30">
          <cell r="E30">
            <v>1140480</v>
          </cell>
          <cell r="F30">
            <v>1411002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986442</v>
          </cell>
          <cell r="F31">
            <v>1121670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1036020</v>
          </cell>
          <cell r="F32">
            <v>1292677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1589616</v>
          </cell>
          <cell r="F32">
            <v>1687489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1572846</v>
          </cell>
          <cell r="F32">
            <v>1762816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0">
          <cell r="A20">
            <v>15400000</v>
          </cell>
        </row>
        <row r="31">
          <cell r="E31">
            <v>1490724</v>
          </cell>
          <cell r="F31">
            <v>1783277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1740108</v>
          </cell>
          <cell r="F32">
            <v>1879263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2315808</v>
          </cell>
          <cell r="F32">
            <v>2451889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1654830</v>
          </cell>
          <cell r="F31">
            <v>2339419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2">
          <cell r="A22">
            <v>16800000</v>
          </cell>
        </row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15400000</v>
          </cell>
        </row>
        <row r="32">
          <cell r="E32">
            <v>3720516</v>
          </cell>
          <cell r="F32">
            <v>3921050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4536156</v>
          </cell>
          <cell r="F32">
            <v>4718139</v>
          </cell>
          <cell r="H32">
            <v>12081861</v>
          </cell>
          <cell r="I32">
            <v>0.71915839285714278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21">
          <cell r="A21">
            <v>16800000</v>
          </cell>
        </row>
        <row r="32">
          <cell r="E32">
            <v>5675265</v>
          </cell>
          <cell r="F32">
            <v>5897033</v>
          </cell>
          <cell r="I32">
            <v>0.648986130952381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18900000</v>
          </cell>
        </row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16800000</v>
          </cell>
        </row>
        <row r="32">
          <cell r="E32">
            <v>6375401</v>
          </cell>
          <cell r="F32">
            <v>6856227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2504390</v>
          </cell>
          <cell r="F31">
            <v>7080317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6911216</v>
          </cell>
          <cell r="F31">
            <v>7273905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18900000</v>
          </cell>
        </row>
        <row r="41">
          <cell r="E41">
            <v>10299150</v>
          </cell>
          <cell r="F41">
            <v>11254225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14000000</v>
          </cell>
        </row>
        <row r="35">
          <cell r="E35">
            <v>4644685</v>
          </cell>
          <cell r="F35">
            <v>8385402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18200000</v>
          </cell>
        </row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16800000</v>
          </cell>
        </row>
        <row r="34">
          <cell r="E34">
            <v>9557286</v>
          </cell>
          <cell r="F34">
            <v>12266723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14000000</v>
          </cell>
        </row>
        <row r="31">
          <cell r="E31">
            <v>6585300</v>
          </cell>
          <cell r="F31">
            <v>10601261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12908414</v>
          </cell>
          <cell r="F36">
            <v>14155800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5">
          <cell r="E35">
            <v>11163985</v>
          </cell>
          <cell r="F35">
            <v>16149768</v>
          </cell>
        </row>
      </sheetData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6965028</v>
          </cell>
          <cell r="F31">
            <v>15426229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15646925</v>
          </cell>
          <cell r="F36">
            <v>16344633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436272</v>
          </cell>
          <cell r="F32">
            <v>462924</v>
          </cell>
          <cell r="H32">
            <v>16337076</v>
          </cell>
          <cell r="I32">
            <v>0.972445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 refreshError="1"/>
      <sheetData sheetId="1">
        <row r="32">
          <cell r="E32">
            <v>745790</v>
          </cell>
          <cell r="F32">
            <v>820325</v>
          </cell>
          <cell r="H32">
            <v>15979675</v>
          </cell>
          <cell r="I32">
            <v>0.95117113095238093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0">
          <cell r="A20">
            <v>16800000</v>
          </cell>
        </row>
        <row r="31">
          <cell r="E31">
            <v>618648</v>
          </cell>
          <cell r="F31">
            <v>667526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0</v>
          </cell>
          <cell r="F32">
            <v>0</v>
          </cell>
          <cell r="H32">
            <v>16800000</v>
          </cell>
          <cell r="I32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 refreshError="1"/>
      <sheetData sheetId="1">
        <row r="32">
          <cell r="E32">
            <v>2726288</v>
          </cell>
          <cell r="F32">
            <v>2844075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21000000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833490</v>
          </cell>
          <cell r="F32">
            <v>911671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18200000</v>
          </cell>
        </row>
        <row r="32">
          <cell r="E32">
            <v>1296300</v>
          </cell>
          <cell r="F32">
            <v>1399851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tabSelected="1" view="pageBreakPreview" zoomScale="110" zoomScaleNormal="90" zoomScaleSheetLayoutView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46" sqref="I46"/>
    </sheetView>
  </sheetViews>
  <sheetFormatPr defaultRowHeight="12.75" x14ac:dyDescent="0.2"/>
  <cols>
    <col min="1" max="1" width="7.140625" customWidth="1"/>
    <col min="2" max="2" width="59.7109375" style="8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0.140625" bestFit="1" customWidth="1"/>
  </cols>
  <sheetData>
    <row r="1" spans="1:11" ht="13.5" thickBot="1" x14ac:dyDescent="0.25">
      <c r="A1" s="65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1"/>
    </row>
    <row r="2" spans="1:11" ht="13.5" thickBot="1" x14ac:dyDescent="0.25">
      <c r="D2" s="63"/>
      <c r="E2" s="64"/>
      <c r="I2" s="1"/>
      <c r="J2" s="1"/>
      <c r="K2" s="1"/>
    </row>
    <row r="3" spans="1:11" ht="63.75" x14ac:dyDescent="0.2">
      <c r="A3" s="68" t="s">
        <v>0</v>
      </c>
      <c r="B3" s="66" t="s">
        <v>5</v>
      </c>
      <c r="C3" s="76" t="s">
        <v>9</v>
      </c>
      <c r="D3" s="72" t="s">
        <v>10</v>
      </c>
      <c r="E3" s="6" t="s">
        <v>42</v>
      </c>
      <c r="F3" s="3" t="s">
        <v>6</v>
      </c>
      <c r="G3" s="70" t="s">
        <v>1</v>
      </c>
      <c r="H3" s="71"/>
      <c r="I3" s="74" t="s">
        <v>7</v>
      </c>
      <c r="J3" s="61" t="s">
        <v>4</v>
      </c>
      <c r="K3" s="2"/>
    </row>
    <row r="4" spans="1:11" ht="13.5" thickBot="1" x14ac:dyDescent="0.25">
      <c r="A4" s="69"/>
      <c r="B4" s="67"/>
      <c r="C4" s="77"/>
      <c r="D4" s="73"/>
      <c r="E4" s="7" t="s">
        <v>2</v>
      </c>
      <c r="F4" s="4" t="s">
        <v>2</v>
      </c>
      <c r="G4" s="4" t="s">
        <v>3</v>
      </c>
      <c r="H4" s="5" t="s">
        <v>2</v>
      </c>
      <c r="I4" s="75"/>
      <c r="J4" s="62"/>
      <c r="K4" s="1"/>
    </row>
    <row r="5" spans="1:11" s="17" customFormat="1" ht="40.15" customHeight="1" x14ac:dyDescent="0.2">
      <c r="A5" s="23">
        <v>1</v>
      </c>
      <c r="B5" s="46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15" customHeight="1" x14ac:dyDescent="0.2">
      <c r="A6" s="23">
        <f>A5+1</f>
        <v>2</v>
      </c>
      <c r="B6" s="46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15" customHeight="1" x14ac:dyDescent="0.2">
      <c r="A7" s="50">
        <f>A6+1</f>
        <v>3</v>
      </c>
      <c r="B7" s="51" t="s">
        <v>47</v>
      </c>
      <c r="C7" s="52"/>
      <c r="D7" s="21"/>
      <c r="E7" s="53">
        <f>[1]Паспорт!$E$32</f>
        <v>246960</v>
      </c>
      <c r="F7" s="53">
        <f>[1]Паспорт!$F$32</f>
        <v>275256</v>
      </c>
      <c r="G7" s="54">
        <f>100%-F7/[1]Паспорт!$A$21</f>
        <v>0.98033885714285718</v>
      </c>
      <c r="H7" s="53">
        <f>[1]Паспорт!$A$21-F7</f>
        <v>13724744</v>
      </c>
      <c r="I7" s="55">
        <f>E7/F7</f>
        <v>0.8972011509285901</v>
      </c>
      <c r="J7" s="56"/>
      <c r="K7" s="18"/>
    </row>
    <row r="8" spans="1:11" s="17" customFormat="1" ht="40.15" customHeight="1" x14ac:dyDescent="0.2">
      <c r="A8" s="23"/>
      <c r="B8" s="46" t="s">
        <v>67</v>
      </c>
      <c r="C8" s="10"/>
      <c r="D8" s="15"/>
      <c r="E8" s="24">
        <f>[38]Паспорт!$E$32</f>
        <v>436272</v>
      </c>
      <c r="F8" s="24">
        <f>[38]Паспорт!$F$32</f>
        <v>462924</v>
      </c>
      <c r="G8" s="25">
        <f>[38]Паспорт!$I$32</f>
        <v>0.972445</v>
      </c>
      <c r="H8" s="24">
        <f>[38]Паспорт!$H$32</f>
        <v>16337076</v>
      </c>
      <c r="I8" s="26">
        <f>E8/F8</f>
        <v>0.94242683464240351</v>
      </c>
      <c r="J8" s="11"/>
      <c r="K8" s="16"/>
    </row>
    <row r="9" spans="1:11" s="17" customFormat="1" ht="40.15" customHeight="1" x14ac:dyDescent="0.2">
      <c r="A9" s="23">
        <f>A8+1</f>
        <v>1</v>
      </c>
      <c r="B9" s="46" t="s">
        <v>53</v>
      </c>
      <c r="C9" s="36" t="s">
        <v>12</v>
      </c>
      <c r="D9" s="35" t="s">
        <v>13</v>
      </c>
      <c r="E9" s="33">
        <f>[2]Паспорт!$E$32</f>
        <v>468000</v>
      </c>
      <c r="F9" s="24">
        <f>[2]Паспорт!$F$32</f>
        <v>521755</v>
      </c>
      <c r="G9" s="25">
        <f>100%-F9/[2]Паспорт!$A$21</f>
        <v>0.96611980519480523</v>
      </c>
      <c r="H9" s="24">
        <f>[2]Паспорт!$A$21-F9</f>
        <v>14878245</v>
      </c>
      <c r="I9" s="26">
        <f>E9/F9</f>
        <v>0.89697271707985549</v>
      </c>
      <c r="J9" s="11"/>
      <c r="K9" s="18"/>
    </row>
    <row r="10" spans="1:11" s="17" customFormat="1" ht="40.15" customHeight="1" x14ac:dyDescent="0.2">
      <c r="A10" s="50">
        <f>A9+1</f>
        <v>2</v>
      </c>
      <c r="B10" s="51" t="s">
        <v>40</v>
      </c>
      <c r="C10" s="52"/>
      <c r="D10" s="21"/>
      <c r="E10" s="57">
        <f>[3]Лист1!$E$31</f>
        <v>449036</v>
      </c>
      <c r="F10" s="57">
        <f>[3]Лист1!$F$31</f>
        <v>524968</v>
      </c>
      <c r="G10" s="58">
        <f>100%-F10/15400000</f>
        <v>0.96591116883116879</v>
      </c>
      <c r="H10" s="59">
        <f>15400000-F10</f>
        <v>14875032</v>
      </c>
      <c r="I10" s="55">
        <f>E10/F10</f>
        <v>0.85535880282226728</v>
      </c>
      <c r="J10" s="56"/>
      <c r="K10" s="14"/>
    </row>
    <row r="11" spans="1:11" s="17" customFormat="1" ht="40.15" customHeight="1" x14ac:dyDescent="0.2">
      <c r="A11" s="23">
        <f>A10+1</f>
        <v>3</v>
      </c>
      <c r="B11" s="46" t="s">
        <v>62</v>
      </c>
      <c r="C11" s="10" t="s">
        <v>12</v>
      </c>
      <c r="D11" s="15" t="s">
        <v>66</v>
      </c>
      <c r="E11" s="27">
        <f>[4]Паспорт!$E$31</f>
        <v>618648</v>
      </c>
      <c r="F11" s="27">
        <f>[4]Паспорт!$F$31</f>
        <v>667526</v>
      </c>
      <c r="G11" s="19">
        <f>100%-F11/[4]Паспорт!$A$20</f>
        <v>0.96026630952380954</v>
      </c>
      <c r="H11" s="20">
        <f>[4]Паспорт!$A$20-F11</f>
        <v>16132474</v>
      </c>
      <c r="I11" s="26">
        <f>E11/F11</f>
        <v>0.92677738395208575</v>
      </c>
      <c r="J11" s="11"/>
      <c r="K11" s="14"/>
    </row>
    <row r="12" spans="1:11" s="17" customFormat="1" ht="40.15" customHeight="1" x14ac:dyDescent="0.2">
      <c r="A12" s="23">
        <f>A11+1</f>
        <v>4</v>
      </c>
      <c r="B12" s="47" t="s">
        <v>49</v>
      </c>
      <c r="C12" s="36" t="s">
        <v>12</v>
      </c>
      <c r="D12" s="35" t="s">
        <v>13</v>
      </c>
      <c r="E12" s="37">
        <f>[5]Паспорт!$E$37</f>
        <v>491400</v>
      </c>
      <c r="F12" s="37">
        <f>[5]Паспорт!$F$37</f>
        <v>577433</v>
      </c>
      <c r="G12" s="38">
        <f>100%-F12/[5]Паспорт!$A$21</f>
        <v>0.95658398496240604</v>
      </c>
      <c r="H12" s="43">
        <f>[5]Паспорт!$A$21-F12</f>
        <v>12722567</v>
      </c>
      <c r="I12" s="39">
        <f>E12/F12</f>
        <v>0.85100782255257323</v>
      </c>
      <c r="J12" s="40"/>
      <c r="K12" s="41"/>
    </row>
    <row r="13" spans="1:11" s="14" customFormat="1" ht="40.15" customHeight="1" x14ac:dyDescent="0.2">
      <c r="A13" s="23">
        <f>A11+1</f>
        <v>4</v>
      </c>
      <c r="B13" s="46" t="s">
        <v>17</v>
      </c>
      <c r="C13" s="10" t="s">
        <v>12</v>
      </c>
      <c r="D13" s="15" t="s">
        <v>13</v>
      </c>
      <c r="E13" s="33">
        <f>[39]Паспорт!$E$32</f>
        <v>745790</v>
      </c>
      <c r="F13" s="24">
        <f>[39]Паспорт!$F$32</f>
        <v>820325</v>
      </c>
      <c r="G13" s="25">
        <f>[39]Паспорт!$I$32</f>
        <v>0.95117113095238093</v>
      </c>
      <c r="H13" s="24">
        <f>[39]Паспорт!$H$32</f>
        <v>15979675</v>
      </c>
      <c r="I13" s="26">
        <f>E13/F13</f>
        <v>0.90913967025264375</v>
      </c>
      <c r="J13" s="11"/>
      <c r="K13" s="16"/>
    </row>
    <row r="14" spans="1:11" s="14" customFormat="1" ht="40.15" customHeight="1" x14ac:dyDescent="0.2">
      <c r="A14" s="23">
        <f>A13+1</f>
        <v>5</v>
      </c>
      <c r="B14" s="46" t="s">
        <v>37</v>
      </c>
      <c r="C14" s="10" t="s">
        <v>12</v>
      </c>
      <c r="D14" s="15" t="s">
        <v>13</v>
      </c>
      <c r="E14" s="37">
        <f>[6]Паспорт!$E$32</f>
        <v>2726288</v>
      </c>
      <c r="F14" s="27">
        <f>[6]Паспорт!$F$32</f>
        <v>2844075</v>
      </c>
      <c r="G14" s="19">
        <f>100%-F14/[7]Лист1!$A$19</f>
        <v>0.86456785714285711</v>
      </c>
      <c r="H14" s="20">
        <f>[7]Лист1!$A$19-F14</f>
        <v>18155925</v>
      </c>
      <c r="I14" s="26">
        <f>E14/F14</f>
        <v>0.95858512873254043</v>
      </c>
      <c r="J14" s="11"/>
    </row>
    <row r="15" spans="1:11" s="14" customFormat="1" ht="40.15" customHeight="1" x14ac:dyDescent="0.2">
      <c r="A15" s="23">
        <f>A14+1</f>
        <v>6</v>
      </c>
      <c r="B15" s="46" t="s">
        <v>61</v>
      </c>
      <c r="C15" s="10" t="s">
        <v>59</v>
      </c>
      <c r="D15" s="15" t="s">
        <v>60</v>
      </c>
      <c r="E15" s="27">
        <f>[8]Паспорт!$E$32</f>
        <v>833490</v>
      </c>
      <c r="F15" s="27">
        <f>[8]Паспорт!$F$32</f>
        <v>911671</v>
      </c>
      <c r="G15" s="19">
        <f>100%-F15/[8]Паспорт!$A$21</f>
        <v>0.94573386904761902</v>
      </c>
      <c r="H15" s="20">
        <f>[8]Паспорт!$A$21-F15</f>
        <v>15888329</v>
      </c>
      <c r="I15" s="26">
        <f>E15/F15</f>
        <v>0.91424428329956753</v>
      </c>
      <c r="J15" s="11"/>
    </row>
    <row r="16" spans="1:11" s="14" customFormat="1" ht="40.15" customHeight="1" x14ac:dyDescent="0.2">
      <c r="A16" s="23">
        <f>A15+1</f>
        <v>7</v>
      </c>
      <c r="B16" s="46" t="s">
        <v>25</v>
      </c>
      <c r="C16" s="10" t="s">
        <v>12</v>
      </c>
      <c r="D16" s="15" t="s">
        <v>13</v>
      </c>
      <c r="E16" s="27">
        <v>763476</v>
      </c>
      <c r="F16" s="27">
        <v>975569</v>
      </c>
      <c r="G16" s="12">
        <f>100%-F16/16800000</f>
        <v>0.94193041666666666</v>
      </c>
      <c r="H16" s="13">
        <f>16800000-F16</f>
        <v>15824431</v>
      </c>
      <c r="I16" s="26">
        <f>E16/F16</f>
        <v>0.78259559293089465</v>
      </c>
      <c r="J16" s="11"/>
    </row>
    <row r="17" spans="1:11" s="14" customFormat="1" ht="40.15" customHeight="1" x14ac:dyDescent="0.2">
      <c r="A17" s="23">
        <f>A16+1</f>
        <v>8</v>
      </c>
      <c r="B17" s="46" t="s">
        <v>57</v>
      </c>
      <c r="C17" s="10"/>
      <c r="D17" s="15"/>
      <c r="E17" s="27">
        <f>[9]Паспорт!$E$32</f>
        <v>1296300</v>
      </c>
      <c r="F17" s="27">
        <f>[9]Паспорт!$F$32</f>
        <v>1399851</v>
      </c>
      <c r="G17" s="12">
        <f>100%-F17/[9]Паспорт!$A$21</f>
        <v>0.92308510989010983</v>
      </c>
      <c r="H17" s="13">
        <f>[9]Паспорт!$A$21-F17</f>
        <v>16800149</v>
      </c>
      <c r="I17" s="26">
        <f>E17/F17</f>
        <v>0.92602712717282054</v>
      </c>
      <c r="J17" s="11"/>
    </row>
    <row r="18" spans="1:11" s="14" customFormat="1" ht="40.15" customHeight="1" x14ac:dyDescent="0.2">
      <c r="A18" s="23">
        <f>A17+1</f>
        <v>9</v>
      </c>
      <c r="B18" s="46" t="s">
        <v>35</v>
      </c>
      <c r="C18" s="10" t="s">
        <v>12</v>
      </c>
      <c r="D18" s="15" t="s">
        <v>13</v>
      </c>
      <c r="E18" s="49">
        <f>[10]Лист1!$E$30</f>
        <v>1140480</v>
      </c>
      <c r="F18" s="49">
        <f>[10]Лист1!$F$30</f>
        <v>1411002</v>
      </c>
      <c r="G18" s="12">
        <f>100%-F18/[10]Лист1!$A$19</f>
        <v>0.9224724175824176</v>
      </c>
      <c r="H18" s="13">
        <f>[10]Лист1!$A$19-F18</f>
        <v>16788998</v>
      </c>
      <c r="I18" s="26">
        <f>E18/F18</f>
        <v>0.80827667147176263</v>
      </c>
      <c r="J18" s="11"/>
      <c r="K18"/>
    </row>
    <row r="19" spans="1:11" s="14" customFormat="1" ht="40.15" customHeight="1" x14ac:dyDescent="0.2">
      <c r="A19" s="23">
        <f>A18+1</f>
        <v>10</v>
      </c>
      <c r="B19" s="46" t="s">
        <v>29</v>
      </c>
      <c r="C19" s="10" t="s">
        <v>12</v>
      </c>
      <c r="D19" s="15" t="s">
        <v>13</v>
      </c>
      <c r="E19" s="27">
        <f>[11]Лист1!$E$31</f>
        <v>986442</v>
      </c>
      <c r="F19" s="27">
        <f>[11]Лист1!$F$31</f>
        <v>1121670</v>
      </c>
      <c r="G19" s="12">
        <f>100%-F19/[11]Лист1!$A$20</f>
        <v>0.91097857142857142</v>
      </c>
      <c r="H19" s="13">
        <f>[11]Лист1!$A$20-F19</f>
        <v>11478330</v>
      </c>
      <c r="I19" s="26">
        <f>E19/F19</f>
        <v>0.87944047714568452</v>
      </c>
      <c r="J19" s="11"/>
    </row>
    <row r="20" spans="1:11" s="22" customFormat="1" ht="45.6" customHeight="1" x14ac:dyDescent="0.2">
      <c r="A20" s="23">
        <f>A19+1</f>
        <v>11</v>
      </c>
      <c r="B20" s="46" t="s">
        <v>30</v>
      </c>
      <c r="C20" s="10" t="s">
        <v>12</v>
      </c>
      <c r="D20" s="15" t="s">
        <v>13</v>
      </c>
      <c r="E20" s="27">
        <f>[12]Лист1!$E$32</f>
        <v>1036020</v>
      </c>
      <c r="F20" s="27">
        <f>[12]Лист1!$F$32</f>
        <v>1292677</v>
      </c>
      <c r="G20" s="12">
        <f>100%-F20/[12]Лист1!$A$21</f>
        <v>0.90766592857142858</v>
      </c>
      <c r="H20" s="13">
        <f>[12]Лист1!$A$21-F20</f>
        <v>12707323</v>
      </c>
      <c r="I20" s="26">
        <f>E20/F20</f>
        <v>0.80145310854915808</v>
      </c>
      <c r="J20" s="11"/>
      <c r="K20" s="14"/>
    </row>
    <row r="21" spans="1:11" s="14" customFormat="1" ht="40.15" customHeight="1" x14ac:dyDescent="0.2">
      <c r="A21" s="23">
        <f>A20+1</f>
        <v>12</v>
      </c>
      <c r="B21" s="46" t="s">
        <v>54</v>
      </c>
      <c r="C21" s="10" t="s">
        <v>12</v>
      </c>
      <c r="D21" s="15" t="s">
        <v>13</v>
      </c>
      <c r="E21" s="27">
        <f>[13]Паспорт!$E$32</f>
        <v>1589616</v>
      </c>
      <c r="F21" s="27">
        <f>[13]Паспорт!$F$32</f>
        <v>1687489</v>
      </c>
      <c r="G21" s="12">
        <f>100%-F21/[13]Паспорт!$A$21</f>
        <v>0.8995542261904762</v>
      </c>
      <c r="H21" s="13">
        <f>[13]Паспорт!$A$21-F21</f>
        <v>15112511</v>
      </c>
      <c r="I21" s="26">
        <f>E21/F21</f>
        <v>0.94200080711637235</v>
      </c>
      <c r="J21" s="11"/>
    </row>
    <row r="22" spans="1:11" s="14" customFormat="1" ht="40.15" customHeight="1" x14ac:dyDescent="0.2">
      <c r="A22" s="23">
        <f>A21+1</f>
        <v>13</v>
      </c>
      <c r="B22" s="46" t="s">
        <v>43</v>
      </c>
      <c r="C22" s="10"/>
      <c r="D22" s="15"/>
      <c r="E22" s="33">
        <f>[14]Паспорт!$E$32</f>
        <v>1572846</v>
      </c>
      <c r="F22" s="24">
        <f>[14]Паспорт!$F$32</f>
        <v>1762816</v>
      </c>
      <c r="G22" s="29">
        <f>100%-F22/[14]Паспорт!$A$21</f>
        <v>0.88553142857142852</v>
      </c>
      <c r="H22" s="30">
        <f>[14]Паспорт!$A$21-F22</f>
        <v>13637184</v>
      </c>
      <c r="I22" s="26">
        <f>E22/F22</f>
        <v>0.8922349241214057</v>
      </c>
      <c r="J22" s="11"/>
      <c r="K22" s="18"/>
    </row>
    <row r="23" spans="1:11" s="14" customFormat="1" ht="40.15" customHeight="1" x14ac:dyDescent="0.2">
      <c r="A23" s="23">
        <f>A22+1</f>
        <v>14</v>
      </c>
      <c r="B23" s="46" t="s">
        <v>46</v>
      </c>
      <c r="C23" s="10"/>
      <c r="D23" s="15"/>
      <c r="E23" s="33">
        <f>[15]Паспорт!$E$31</f>
        <v>1490724</v>
      </c>
      <c r="F23" s="24">
        <f>[15]Паспорт!$F$31</f>
        <v>1783277</v>
      </c>
      <c r="G23" s="29">
        <f>100%-F23/[15]Паспорт!$A$20</f>
        <v>0.88420279220779219</v>
      </c>
      <c r="H23" s="30">
        <f>[15]Паспорт!$A$20-F23</f>
        <v>13616723</v>
      </c>
      <c r="I23" s="26">
        <f>E23/F23</f>
        <v>0.83594640653134655</v>
      </c>
      <c r="J23" s="11"/>
      <c r="K23" s="18"/>
    </row>
    <row r="24" spans="1:11" s="14" customFormat="1" ht="40.15" customHeight="1" x14ac:dyDescent="0.2">
      <c r="A24" s="23">
        <f>A23+1</f>
        <v>15</v>
      </c>
      <c r="B24" s="47" t="s">
        <v>50</v>
      </c>
      <c r="C24" s="36" t="s">
        <v>51</v>
      </c>
      <c r="D24" s="35" t="s">
        <v>52</v>
      </c>
      <c r="E24" s="33">
        <f>[16]Паспорт!$E$32</f>
        <v>1740108</v>
      </c>
      <c r="F24" s="33">
        <f>[16]Паспорт!$F$32</f>
        <v>1879263</v>
      </c>
      <c r="G24" s="44">
        <f>100%-F24/[16]Паспорт!$A$21</f>
        <v>0.87796993506493504</v>
      </c>
      <c r="H24" s="34">
        <f>[16]Паспорт!$A$21-F24</f>
        <v>13520737</v>
      </c>
      <c r="I24" s="39">
        <f>E24/F24</f>
        <v>0.92595235472629434</v>
      </c>
      <c r="J24" s="40"/>
      <c r="K24" s="42"/>
    </row>
    <row r="25" spans="1:11" s="14" customFormat="1" ht="40.15" customHeight="1" x14ac:dyDescent="0.2">
      <c r="A25" s="23">
        <f>A24+1</f>
        <v>16</v>
      </c>
      <c r="B25" s="46" t="s">
        <v>55</v>
      </c>
      <c r="C25" s="10" t="s">
        <v>58</v>
      </c>
      <c r="D25" s="15"/>
      <c r="E25" s="27">
        <f>[17]Паспорт!$E$32</f>
        <v>2315808</v>
      </c>
      <c r="F25" s="27">
        <f>[17]Паспорт!$F$32</f>
        <v>2451889</v>
      </c>
      <c r="G25" s="12">
        <f>100%-F25/[17]Паспорт!$A$21</f>
        <v>0.85405422619047622</v>
      </c>
      <c r="H25" s="13">
        <f>[17]Паспорт!$A$21-F25</f>
        <v>14348111</v>
      </c>
      <c r="I25" s="26">
        <f>E25/F25</f>
        <v>0.9444995266914612</v>
      </c>
      <c r="J25" s="11"/>
    </row>
    <row r="26" spans="1:11" s="14" customFormat="1" ht="40.15" customHeight="1" x14ac:dyDescent="0.2">
      <c r="A26" s="23">
        <f>A25+1</f>
        <v>17</v>
      </c>
      <c r="B26" s="46" t="s">
        <v>22</v>
      </c>
      <c r="C26" s="10" t="s">
        <v>12</v>
      </c>
      <c r="D26" s="15" t="s">
        <v>13</v>
      </c>
      <c r="E26" s="28">
        <f>[18]Лист1!$E$31</f>
        <v>1654830</v>
      </c>
      <c r="F26" s="24">
        <f>[18]Лист1!$F$31</f>
        <v>2339419</v>
      </c>
      <c r="G26" s="29">
        <f>100%-F26/[18]Лист1!$A$20</f>
        <v>0.81433182539682536</v>
      </c>
      <c r="H26" s="30">
        <f>[18]Лист1!$A$20-F26</f>
        <v>10260581</v>
      </c>
      <c r="I26" s="26">
        <f>E26/F26</f>
        <v>0.70736794050146634</v>
      </c>
      <c r="J26" s="11"/>
      <c r="K26" s="16"/>
    </row>
    <row r="27" spans="1:11" s="14" customFormat="1" ht="40.15" customHeight="1" x14ac:dyDescent="0.2">
      <c r="A27" s="23">
        <f>A26+1</f>
        <v>18</v>
      </c>
      <c r="B27" s="46" t="s">
        <v>48</v>
      </c>
      <c r="C27" s="10"/>
      <c r="D27" s="15"/>
      <c r="E27" s="33">
        <f>[19]Лист1!$E$33</f>
        <v>2880934</v>
      </c>
      <c r="F27" s="24">
        <f>[19]Лист1!$F$33</f>
        <v>3213050</v>
      </c>
      <c r="G27" s="29">
        <f>100%-F27/[19]Лист1!$A$22</f>
        <v>0.80874702380952379</v>
      </c>
      <c r="H27" s="30">
        <f>[19]Лист1!$A$22-F27</f>
        <v>13586950</v>
      </c>
      <c r="I27" s="26">
        <f>E27/F27</f>
        <v>0.89663528423149341</v>
      </c>
      <c r="J27" s="11"/>
      <c r="K27" s="18"/>
    </row>
    <row r="28" spans="1:11" s="14" customFormat="1" ht="40.15" customHeight="1" x14ac:dyDescent="0.2">
      <c r="A28" s="23">
        <f>A27+1</f>
        <v>19</v>
      </c>
      <c r="B28" s="46" t="s">
        <v>18</v>
      </c>
      <c r="C28" s="10" t="s">
        <v>12</v>
      </c>
      <c r="D28" s="15" t="s">
        <v>13</v>
      </c>
      <c r="E28" s="28">
        <f>[20]Лист1!$E$32</f>
        <v>1115136</v>
      </c>
      <c r="F28" s="24">
        <f>[20]Лист1!$F$32</f>
        <v>3369696</v>
      </c>
      <c r="G28" s="29">
        <f>100%-F28/[20]Лист1!$A$21</f>
        <v>0.7994228571428571</v>
      </c>
      <c r="H28" s="30">
        <f>[20]Лист1!$A$21-F28</f>
        <v>13430304</v>
      </c>
      <c r="I28" s="26">
        <f>E28/F28</f>
        <v>0.33093074271388279</v>
      </c>
      <c r="J28" s="11"/>
      <c r="K28" s="16"/>
    </row>
    <row r="29" spans="1:11" s="14" customFormat="1" ht="40.15" customHeight="1" x14ac:dyDescent="0.2">
      <c r="A29" s="23">
        <f>A28+1</f>
        <v>20</v>
      </c>
      <c r="B29" s="46" t="s">
        <v>26</v>
      </c>
      <c r="C29" s="10" t="s">
        <v>12</v>
      </c>
      <c r="D29" s="15" t="s">
        <v>13</v>
      </c>
      <c r="E29" s="27"/>
      <c r="F29" s="27">
        <v>3080000</v>
      </c>
      <c r="G29" s="12">
        <f>100%-F29/14000000</f>
        <v>0.78</v>
      </c>
      <c r="H29" s="13">
        <f>14000000-F29</f>
        <v>10920000</v>
      </c>
      <c r="I29" s="26">
        <f>E29/F29</f>
        <v>0</v>
      </c>
      <c r="J29" s="11"/>
    </row>
    <row r="30" spans="1:11" s="14" customFormat="1" ht="40.15" customHeight="1" x14ac:dyDescent="0.2">
      <c r="A30" s="23">
        <f>A29+1</f>
        <v>21</v>
      </c>
      <c r="B30" s="46" t="s">
        <v>23</v>
      </c>
      <c r="C30" s="10" t="s">
        <v>12</v>
      </c>
      <c r="D30" s="15" t="s">
        <v>13</v>
      </c>
      <c r="E30" s="24"/>
      <c r="F30" s="24">
        <v>4055359</v>
      </c>
      <c r="G30" s="29">
        <f>100%-F30/16800000</f>
        <v>0.75860958333333328</v>
      </c>
      <c r="H30" s="30">
        <f>18900000-F30</f>
        <v>14844641</v>
      </c>
      <c r="I30" s="26">
        <f>E30/F30</f>
        <v>0</v>
      </c>
      <c r="J30" s="11"/>
    </row>
    <row r="31" spans="1:11" s="14" customFormat="1" ht="40.15" customHeight="1" x14ac:dyDescent="0.2">
      <c r="A31" s="23">
        <f>A30+1</f>
        <v>22</v>
      </c>
      <c r="B31" s="46" t="s">
        <v>31</v>
      </c>
      <c r="C31" s="10" t="s">
        <v>14</v>
      </c>
      <c r="D31" s="15" t="s">
        <v>15</v>
      </c>
      <c r="E31" s="27">
        <f>[21]Лист1!$E$32</f>
        <v>3720516</v>
      </c>
      <c r="F31" s="27">
        <f>[21]Лист1!$F$32</f>
        <v>3921050</v>
      </c>
      <c r="G31" s="12">
        <f>100%-F31/[21]Лист1!$A$21</f>
        <v>0.74538636363636357</v>
      </c>
      <c r="H31" s="13">
        <f>[21]Лист1!$A$21-F31</f>
        <v>11478950</v>
      </c>
      <c r="I31" s="26">
        <f>E31/F31</f>
        <v>0.94885706634702438</v>
      </c>
      <c r="J31" s="11"/>
    </row>
    <row r="32" spans="1:11" s="14" customFormat="1" ht="40.15" customHeight="1" x14ac:dyDescent="0.2">
      <c r="A32" s="23">
        <f>A31+1</f>
        <v>23</v>
      </c>
      <c r="B32" s="46" t="s">
        <v>64</v>
      </c>
      <c r="C32" s="10" t="s">
        <v>12</v>
      </c>
      <c r="D32" s="15" t="s">
        <v>13</v>
      </c>
      <c r="E32" s="37">
        <f>[22]Паспорт!$E$32</f>
        <v>4536156</v>
      </c>
      <c r="F32" s="27">
        <f>[22]Паспорт!$F$32</f>
        <v>4718139</v>
      </c>
      <c r="G32" s="12">
        <f>[22]Паспорт!$I$32</f>
        <v>0.71915839285714278</v>
      </c>
      <c r="H32" s="13">
        <f>[22]Паспорт!$H$32</f>
        <v>12081861</v>
      </c>
      <c r="I32" s="26">
        <f>E32/F32</f>
        <v>0.96142907192857185</v>
      </c>
      <c r="J32" s="11"/>
    </row>
    <row r="33" spans="1:11" ht="40.15" customHeight="1" x14ac:dyDescent="0.2">
      <c r="A33" s="23">
        <f>A32+1</f>
        <v>24</v>
      </c>
      <c r="B33" s="46" t="s">
        <v>45</v>
      </c>
      <c r="C33" s="10" t="s">
        <v>12</v>
      </c>
      <c r="D33" s="15" t="s">
        <v>13</v>
      </c>
      <c r="E33" s="33">
        <f>[23]Паспорт!$E$32</f>
        <v>5675265</v>
      </c>
      <c r="F33" s="24">
        <f>[23]Паспорт!$F$32</f>
        <v>5897033</v>
      </c>
      <c r="G33" s="29">
        <f>[23]Паспорт!$I$32</f>
        <v>0.648986130952381</v>
      </c>
      <c r="H33" s="13">
        <f>[23]Паспорт!$A$21-F33</f>
        <v>10902967</v>
      </c>
      <c r="I33" s="26">
        <f>E33/F33</f>
        <v>0.9623932916773571</v>
      </c>
      <c r="J33" s="11"/>
      <c r="K33" s="16"/>
    </row>
    <row r="34" spans="1:11" ht="40.15" customHeight="1" x14ac:dyDescent="0.2">
      <c r="A34" s="23">
        <f>A33+1</f>
        <v>25</v>
      </c>
      <c r="B34" s="46" t="s">
        <v>32</v>
      </c>
      <c r="C34" s="10" t="s">
        <v>12</v>
      </c>
      <c r="D34" s="15" t="s">
        <v>13</v>
      </c>
      <c r="E34" s="27">
        <f>[24]Лист1!$E$30</f>
        <v>6255857</v>
      </c>
      <c r="F34" s="27">
        <f>[24]Лист1!$F$30</f>
        <v>6692357</v>
      </c>
      <c r="G34" s="12">
        <f>100%-F34/[24]Лист1!$A$19</f>
        <v>0.645907037037037</v>
      </c>
      <c r="H34" s="13">
        <f>[24]Лист1!$A$19-F34</f>
        <v>12207643</v>
      </c>
      <c r="I34" s="26">
        <f>E34/F34</f>
        <v>0.93477634262487785</v>
      </c>
      <c r="J34" s="11"/>
      <c r="K34" s="14"/>
    </row>
    <row r="35" spans="1:11" ht="40.15" customHeight="1" x14ac:dyDescent="0.2">
      <c r="A35" s="23">
        <f>A34+1</f>
        <v>26</v>
      </c>
      <c r="B35" s="46" t="s">
        <v>44</v>
      </c>
      <c r="C35" s="10"/>
      <c r="D35" s="15"/>
      <c r="E35" s="33">
        <f>[25]Паспорт!$E$32</f>
        <v>6375401</v>
      </c>
      <c r="F35" s="33">
        <f>[25]Паспорт!$F$32</f>
        <v>6856227</v>
      </c>
      <c r="G35" s="31">
        <f>100%-F35/[25]Паспорт!$A$21</f>
        <v>0.59189124999999998</v>
      </c>
      <c r="H35" s="30">
        <f>[25]Паспорт!$A$21-F35</f>
        <v>9943773</v>
      </c>
      <c r="I35" s="26">
        <f>E35/F35</f>
        <v>0.92987017495190871</v>
      </c>
      <c r="J35" s="11"/>
      <c r="K35" s="16"/>
    </row>
    <row r="36" spans="1:11" s="41" customFormat="1" ht="40.15" customHeight="1" x14ac:dyDescent="0.2">
      <c r="A36" s="23">
        <f>A35+1</f>
        <v>27</v>
      </c>
      <c r="B36" s="46" t="s">
        <v>27</v>
      </c>
      <c r="C36" s="10" t="s">
        <v>12</v>
      </c>
      <c r="D36" s="15" t="s">
        <v>13</v>
      </c>
      <c r="E36" s="32">
        <f>[26]Лист1!$E$31</f>
        <v>2504390</v>
      </c>
      <c r="F36" s="27">
        <f>[26]Лист1!$F$31</f>
        <v>7080317</v>
      </c>
      <c r="G36" s="12">
        <f>100%-F36/[26]Лист1!$A$20</f>
        <v>0.57855255952380946</v>
      </c>
      <c r="H36" s="13">
        <f>[26]Лист1!$A$20-F36</f>
        <v>9719683</v>
      </c>
      <c r="I36" s="26">
        <f>E36/F36</f>
        <v>0.35371156404437826</v>
      </c>
      <c r="J36" s="11"/>
      <c r="K36" s="14"/>
    </row>
    <row r="37" spans="1:11" ht="40.15" customHeight="1" x14ac:dyDescent="0.2">
      <c r="A37" s="23">
        <f>A36+1</f>
        <v>28</v>
      </c>
      <c r="B37" s="46" t="s">
        <v>63</v>
      </c>
      <c r="C37" s="10" t="s">
        <v>59</v>
      </c>
      <c r="D37" s="15"/>
      <c r="E37" s="27">
        <f>[27]Лист1!$E$31</f>
        <v>6911216</v>
      </c>
      <c r="F37" s="27">
        <f>[27]Лист1!$F$31</f>
        <v>7273905</v>
      </c>
      <c r="G37" s="12">
        <f>100%-F37/[27]Лист1!$A$20</f>
        <v>0.56702946428571432</v>
      </c>
      <c r="H37" s="13">
        <f>[27]Лист1!$A$20-F37</f>
        <v>9526095</v>
      </c>
      <c r="I37" s="26">
        <f>E37/F37</f>
        <v>0.95013833697305639</v>
      </c>
      <c r="J37" s="11"/>
      <c r="K37" s="14"/>
    </row>
    <row r="38" spans="1:11" ht="40.15" customHeight="1" x14ac:dyDescent="0.2">
      <c r="A38" s="23">
        <f>A37+1</f>
        <v>29</v>
      </c>
      <c r="B38" s="46" t="s">
        <v>33</v>
      </c>
      <c r="C38" s="10" t="s">
        <v>12</v>
      </c>
      <c r="D38" s="15" t="s">
        <v>13</v>
      </c>
      <c r="E38" s="27">
        <f>[28]Лист1!$E$41</f>
        <v>10299150</v>
      </c>
      <c r="F38" s="27">
        <f>[28]Лист1!$F$41</f>
        <v>11254225</v>
      </c>
      <c r="G38" s="12">
        <f>100%-F38/[28]Лист1!$A$24</f>
        <v>0.40453835978835984</v>
      </c>
      <c r="H38" s="13">
        <f>[28]Лист1!$A$24-F38</f>
        <v>7645775</v>
      </c>
      <c r="I38" s="26">
        <f>E38/F38</f>
        <v>0.91513631547263363</v>
      </c>
      <c r="J38" s="11"/>
      <c r="K38" s="14"/>
    </row>
    <row r="39" spans="1:11" ht="40.15" customHeight="1" x14ac:dyDescent="0.2">
      <c r="A39" s="23">
        <f>A38+1</f>
        <v>30</v>
      </c>
      <c r="B39" s="46" t="s">
        <v>16</v>
      </c>
      <c r="C39" s="10" t="s">
        <v>12</v>
      </c>
      <c r="D39" s="15" t="s">
        <v>13</v>
      </c>
      <c r="E39" s="28">
        <f>[29]Лист1!$E$35</f>
        <v>4644685</v>
      </c>
      <c r="F39" s="24">
        <f>[29]Лист1!$F$35</f>
        <v>8385402</v>
      </c>
      <c r="G39" s="31">
        <f>100%-F39/[29]Лист1!$A$24</f>
        <v>0.40104271428571425</v>
      </c>
      <c r="H39" s="30">
        <f>[29]Лист1!$A$24-F39</f>
        <v>5614598</v>
      </c>
      <c r="I39" s="26">
        <f>E39/F39</f>
        <v>0.55390129179256997</v>
      </c>
      <c r="J39" s="11"/>
      <c r="K39" s="16"/>
    </row>
    <row r="40" spans="1:11" ht="40.15" customHeight="1" x14ac:dyDescent="0.2">
      <c r="A40" s="23">
        <f>A39+1</f>
        <v>31</v>
      </c>
      <c r="B40" s="46" t="s">
        <v>34</v>
      </c>
      <c r="C40" s="10" t="s">
        <v>12</v>
      </c>
      <c r="D40" s="15" t="s">
        <v>13</v>
      </c>
      <c r="E40" s="24">
        <f>[30]Лист1!$E$39</f>
        <v>11248736</v>
      </c>
      <c r="F40" s="24">
        <f>[30]Лист1!$F$39</f>
        <v>12230442</v>
      </c>
      <c r="G40" s="29">
        <f>100%-F40/[30]Лист1!$A$25</f>
        <v>0.32799769230769227</v>
      </c>
      <c r="H40" s="30">
        <f>[30]Лист1!$A$25-F40</f>
        <v>5969558</v>
      </c>
      <c r="I40" s="26">
        <f>E40/F40</f>
        <v>0.91973258202769781</v>
      </c>
      <c r="J40" s="11"/>
      <c r="K40" s="16"/>
    </row>
    <row r="41" spans="1:11" ht="40.15" customHeight="1" x14ac:dyDescent="0.2">
      <c r="A41" s="23">
        <f>A40+1</f>
        <v>32</v>
      </c>
      <c r="B41" s="46" t="s">
        <v>41</v>
      </c>
      <c r="C41" s="10" t="s">
        <v>12</v>
      </c>
      <c r="D41" s="15" t="s">
        <v>13</v>
      </c>
      <c r="E41" s="32">
        <f>[31]Лист1!$E$34</f>
        <v>9557286</v>
      </c>
      <c r="F41" s="27">
        <f>[31]Лист1!$F$34</f>
        <v>12266723</v>
      </c>
      <c r="G41" s="19">
        <f>100%-F41/[31]Лист1!$A$19</f>
        <v>0.26983791666666668</v>
      </c>
      <c r="H41" s="20">
        <f>[31]Лист1!$A$19-F41</f>
        <v>4533277</v>
      </c>
      <c r="I41" s="26">
        <f>E41/F41</f>
        <v>0.77912299804927532</v>
      </c>
      <c r="J41" s="11"/>
      <c r="K41" s="14"/>
    </row>
    <row r="42" spans="1:11" ht="40.15" customHeight="1" x14ac:dyDescent="0.2">
      <c r="A42" s="23">
        <f>A41+1</f>
        <v>33</v>
      </c>
      <c r="B42" s="46" t="s">
        <v>38</v>
      </c>
      <c r="C42" s="10" t="s">
        <v>12</v>
      </c>
      <c r="D42" s="15" t="s">
        <v>13</v>
      </c>
      <c r="E42" s="32">
        <f>[32]Лист1!$E$31</f>
        <v>6585300</v>
      </c>
      <c r="F42" s="27">
        <f>[32]Лист1!$F$31</f>
        <v>10601261</v>
      </c>
      <c r="G42" s="19">
        <f>100%-F42/[32]Лист1!$A$20</f>
        <v>0.24276707142857146</v>
      </c>
      <c r="H42" s="20">
        <f>[32]Лист1!$A$20-F42</f>
        <v>3398739</v>
      </c>
      <c r="I42" s="26">
        <f>E42/F42</f>
        <v>0.62118081990434915</v>
      </c>
      <c r="J42" s="11"/>
      <c r="K42" s="14"/>
    </row>
    <row r="43" spans="1:11" ht="40.15" customHeight="1" x14ac:dyDescent="0.2">
      <c r="A43" s="23">
        <f>A42+1</f>
        <v>34</v>
      </c>
      <c r="B43" s="46" t="s">
        <v>21</v>
      </c>
      <c r="C43" s="10" t="s">
        <v>12</v>
      </c>
      <c r="D43" s="15" t="s">
        <v>13</v>
      </c>
      <c r="E43" s="24">
        <f>[33]Лист1!$E$36</f>
        <v>12908414</v>
      </c>
      <c r="F43" s="24">
        <f>[33]Лист1!$F$36</f>
        <v>14155800</v>
      </c>
      <c r="G43" s="25">
        <f>100%-F43/[33]Лист1!$A$20</f>
        <v>0.15739285714285711</v>
      </c>
      <c r="H43" s="24">
        <f>[33]Лист1!$A$20-F43</f>
        <v>2644200</v>
      </c>
      <c r="I43" s="26">
        <f>E43/F43</f>
        <v>0.91188163155738289</v>
      </c>
      <c r="J43" s="11"/>
      <c r="K43" s="16"/>
    </row>
    <row r="44" spans="1:11" ht="40.15" customHeight="1" x14ac:dyDescent="0.2">
      <c r="A44" s="23">
        <f>A43+1</f>
        <v>35</v>
      </c>
      <c r="B44" s="47" t="s">
        <v>28</v>
      </c>
      <c r="C44" s="36" t="s">
        <v>12</v>
      </c>
      <c r="D44" s="35" t="s">
        <v>13</v>
      </c>
      <c r="E44" s="32">
        <f>[34]Лист1!$E$35</f>
        <v>11163985</v>
      </c>
      <c r="F44" s="37">
        <f>[34]Лист1!$F$35</f>
        <v>16149768</v>
      </c>
      <c r="G44" s="38">
        <f>100%-F44/[34]Лист1!$A$20</f>
        <v>3.8704285714285747E-2</v>
      </c>
      <c r="H44" s="43">
        <f>[34]Лист1!$A$20-F44</f>
        <v>650232</v>
      </c>
      <c r="I44" s="48">
        <f>E44/F44</f>
        <v>0.69127835149086969</v>
      </c>
      <c r="J44" s="40"/>
      <c r="K44" s="14"/>
    </row>
    <row r="45" spans="1:11" ht="40.15" customHeight="1" x14ac:dyDescent="0.2">
      <c r="A45" s="23">
        <f>A44+1</f>
        <v>36</v>
      </c>
      <c r="B45" s="46" t="s">
        <v>24</v>
      </c>
      <c r="C45" s="10" t="s">
        <v>12</v>
      </c>
      <c r="D45" s="15" t="s">
        <v>13</v>
      </c>
      <c r="E45" s="32">
        <f>[35]Лист1!$E$31</f>
        <v>6965028</v>
      </c>
      <c r="F45" s="27">
        <f>[35]Лист1!$F$31</f>
        <v>15426229</v>
      </c>
      <c r="G45" s="19">
        <f>100%-F45/[35]Лист1!$A$20</f>
        <v>8.1772083333333301E-2</v>
      </c>
      <c r="H45" s="20">
        <f>[35]Лист1!$A$20-F45</f>
        <v>1373771</v>
      </c>
      <c r="I45" s="26">
        <f>E45/F45</f>
        <v>0.45150554941197879</v>
      </c>
      <c r="J45" s="11"/>
      <c r="K45" s="14"/>
    </row>
    <row r="46" spans="1:11" ht="40.15" customHeight="1" x14ac:dyDescent="0.2">
      <c r="A46" s="23">
        <f>A45+1</f>
        <v>37</v>
      </c>
      <c r="B46" s="46" t="s">
        <v>69</v>
      </c>
      <c r="C46" s="10"/>
      <c r="D46" s="15"/>
      <c r="E46" s="37">
        <f>[40]Паспорт!$E$32</f>
        <v>0</v>
      </c>
      <c r="F46" s="27">
        <f>[40]Паспорт!$F$32</f>
        <v>0</v>
      </c>
      <c r="G46" s="19">
        <f>[40]Паспорт!$I$32</f>
        <v>1</v>
      </c>
      <c r="H46" s="20">
        <f>[40]Паспорт!$H$32</f>
        <v>16800000</v>
      </c>
      <c r="I46" s="26" t="e">
        <f>E46/F46</f>
        <v>#DIV/0!</v>
      </c>
      <c r="J46" s="11"/>
      <c r="K46" s="14"/>
    </row>
    <row r="47" spans="1:11" ht="40.15" customHeight="1" x14ac:dyDescent="0.2">
      <c r="A47" s="23">
        <f>A46+1</f>
        <v>38</v>
      </c>
      <c r="B47" s="46" t="s">
        <v>39</v>
      </c>
      <c r="C47" s="10" t="s">
        <v>12</v>
      </c>
      <c r="D47" s="15" t="s">
        <v>13</v>
      </c>
      <c r="E47" s="24">
        <f>[36]Лист1!$E$36</f>
        <v>15646925</v>
      </c>
      <c r="F47" s="24">
        <f>[36]Лист1!$F$36</f>
        <v>16344633</v>
      </c>
      <c r="G47" s="25">
        <f>100%-F47/[36]Лист1!$A$20</f>
        <v>2.7105178571428579E-2</v>
      </c>
      <c r="H47" s="24">
        <f>[36]Лист1!$A$20-F47</f>
        <v>455367</v>
      </c>
      <c r="I47" s="26">
        <f>E47/F47</f>
        <v>0.95731271543386753</v>
      </c>
      <c r="J47" s="11"/>
      <c r="K47" s="16"/>
    </row>
    <row r="49" spans="2:8" x14ac:dyDescent="0.2">
      <c r="B49" s="60" t="s">
        <v>65</v>
      </c>
      <c r="E49" s="45" t="s">
        <v>56</v>
      </c>
      <c r="F49" s="45"/>
      <c r="G49" s="45"/>
      <c r="H49" s="45"/>
    </row>
  </sheetData>
  <autoFilter ref="A3:K19" xr:uid="{00000000-0009-0000-0000-000000000000}">
    <filterColumn colId="6" showButton="0"/>
    <sortState ref="A6:K47">
      <sortCondition descending="1" ref="G3:G19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zoomScale="80" zoomScaleNormal="80" workbookViewId="0">
      <selection sqref="A1:XFD2"/>
    </sheetView>
  </sheetViews>
  <sheetFormatPr defaultRowHeight="12.75" x14ac:dyDescent="0.2"/>
  <cols>
    <col min="1" max="1" width="7.140625" customWidth="1"/>
    <col min="2" max="2" width="66.28515625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3.140625" customWidth="1"/>
    <col min="12" max="12" width="10.140625" bestFit="1" customWidth="1"/>
  </cols>
  <sheetData>
    <row r="1" spans="1:12" ht="71.45" customHeight="1" x14ac:dyDescent="0.2">
      <c r="A1" s="68" t="s">
        <v>0</v>
      </c>
      <c r="B1" s="66" t="s">
        <v>5</v>
      </c>
      <c r="C1" s="76" t="s">
        <v>9</v>
      </c>
      <c r="D1" s="72" t="s">
        <v>10</v>
      </c>
      <c r="E1" s="6" t="s">
        <v>42</v>
      </c>
      <c r="F1" s="3" t="s">
        <v>6</v>
      </c>
      <c r="G1" s="70" t="s">
        <v>1</v>
      </c>
      <c r="H1" s="71"/>
      <c r="I1" s="74" t="s">
        <v>7</v>
      </c>
      <c r="J1" s="61" t="s">
        <v>4</v>
      </c>
      <c r="K1" s="78" t="s">
        <v>8</v>
      </c>
      <c r="L1" s="2"/>
    </row>
    <row r="2" spans="1:12" ht="13.5" thickBot="1" x14ac:dyDescent="0.25">
      <c r="A2" s="69"/>
      <c r="B2" s="67"/>
      <c r="C2" s="77"/>
      <c r="D2" s="73"/>
      <c r="E2" s="7" t="s">
        <v>2</v>
      </c>
      <c r="F2" s="4" t="s">
        <v>2</v>
      </c>
      <c r="G2" s="4" t="s">
        <v>3</v>
      </c>
      <c r="H2" s="5" t="s">
        <v>2</v>
      </c>
      <c r="I2" s="75"/>
      <c r="J2" s="62"/>
      <c r="K2" s="79"/>
      <c r="L2" s="1"/>
    </row>
    <row r="3" spans="1:12" ht="42.75" x14ac:dyDescent="0.2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[37]Лист1!$E$32</f>
        <v>8848812</v>
      </c>
      <c r="F3" s="24">
        <f>[37]Лист1!$F$32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i.yanuchkovskaya</cp:lastModifiedBy>
  <cp:lastPrinted>2020-06-11T08:14:35Z</cp:lastPrinted>
  <dcterms:created xsi:type="dcterms:W3CDTF">2005-06-28T07:56:17Z</dcterms:created>
  <dcterms:modified xsi:type="dcterms:W3CDTF">2020-06-11T12:53:32Z</dcterms:modified>
</cp:coreProperties>
</file>