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формокомплектов'!$A$1:$K$35</definedName>
  </definedNames>
  <calcPr calcId="152511"/>
</workbook>
</file>

<file path=xl/calcChain.xml><?xml version="1.0" encoding="utf-8"?>
<calcChain xmlns="http://schemas.openxmlformats.org/spreadsheetml/2006/main">
  <c r="A35" i="1" l="1"/>
  <c r="A34" i="1"/>
  <c r="G8" i="1" l="1"/>
  <c r="E30" i="1" l="1"/>
  <c r="F30" i="1"/>
  <c r="F15" i="1" l="1"/>
  <c r="E15" i="1"/>
  <c r="F28" i="1" l="1"/>
  <c r="E28" i="1"/>
  <c r="F24" i="1" l="1"/>
  <c r="E24" i="1"/>
  <c r="F16" i="1" l="1"/>
  <c r="E16" i="1"/>
  <c r="F32" i="1" l="1"/>
  <c r="E32" i="1"/>
  <c r="F35" i="1" l="1"/>
  <c r="E35" i="1"/>
  <c r="F11" i="1" l="1"/>
  <c r="H11" i="1" s="1"/>
  <c r="F9" i="1"/>
  <c r="E9" i="1"/>
  <c r="G11" i="1" l="1"/>
  <c r="E11" i="1"/>
  <c r="I11" i="1" s="1"/>
  <c r="H9" i="1" l="1"/>
  <c r="I9" i="1"/>
  <c r="G9" i="1" l="1"/>
  <c r="F33" i="1" l="1"/>
  <c r="E33" i="1"/>
  <c r="F17" i="1" l="1"/>
  <c r="H17" i="1" s="1"/>
  <c r="E17" i="1"/>
  <c r="F14" i="1" l="1"/>
  <c r="H14" i="1" s="1"/>
  <c r="E14" i="1"/>
  <c r="G14" i="1" l="1"/>
  <c r="F26" i="1"/>
  <c r="E26" i="1"/>
  <c r="F27" i="1" l="1"/>
  <c r="E27" i="1"/>
  <c r="F18" i="1" l="1"/>
  <c r="H18" i="1" s="1"/>
  <c r="E18" i="1"/>
  <c r="I18" i="1" l="1"/>
  <c r="G18" i="1"/>
  <c r="F31" i="1" l="1"/>
  <c r="E31" i="1"/>
  <c r="F20" i="1" l="1"/>
  <c r="E20" i="1"/>
  <c r="F29" i="1" l="1"/>
  <c r="E29" i="1"/>
  <c r="H20" i="1" l="1"/>
  <c r="G20" i="1"/>
  <c r="G6" i="1"/>
  <c r="H6" i="1"/>
  <c r="I6" i="1"/>
  <c r="H31" i="1"/>
  <c r="G7" i="1"/>
  <c r="G12" i="1"/>
  <c r="G16" i="1"/>
  <c r="I7" i="1"/>
  <c r="H7" i="1"/>
  <c r="I12" i="1"/>
  <c r="H12" i="1"/>
  <c r="H16" i="1"/>
  <c r="I16" i="1"/>
  <c r="H29" i="1"/>
  <c r="H26" i="1"/>
  <c r="H35" i="1"/>
  <c r="H5" i="1"/>
  <c r="G5" i="1"/>
  <c r="H32" i="1"/>
  <c r="H24" i="1"/>
  <c r="H15" i="1"/>
  <c r="H33" i="1"/>
  <c r="H23" i="1"/>
  <c r="I14" i="1"/>
  <c r="G10" i="1"/>
  <c r="H10" i="1"/>
  <c r="I10" i="1"/>
  <c r="I20" i="1"/>
  <c r="G31" i="1"/>
  <c r="G29" i="1"/>
  <c r="G32" i="1"/>
  <c r="G26" i="1"/>
  <c r="G35" i="1"/>
  <c r="G22" i="1"/>
  <c r="G24" i="1"/>
  <c r="G21" i="1"/>
  <c r="G30" i="1"/>
  <c r="G17" i="1"/>
  <c r="G23" i="1"/>
  <c r="G33" i="1"/>
  <c r="I26" i="1"/>
  <c r="I32" i="1"/>
  <c r="I35" i="1"/>
  <c r="H22" i="1"/>
  <c r="I22" i="1"/>
  <c r="H27" i="1"/>
  <c r="G27" i="1"/>
  <c r="H19" i="1"/>
  <c r="G19" i="1"/>
  <c r="I27" i="1"/>
  <c r="I19" i="1"/>
  <c r="H13" i="1"/>
  <c r="G13" i="1"/>
  <c r="I13" i="1"/>
  <c r="I24" i="1"/>
  <c r="I23" i="1"/>
  <c r="H30" i="1"/>
  <c r="I30" i="1"/>
  <c r="H21" i="1"/>
  <c r="I21" i="1"/>
  <c r="G15" i="1"/>
  <c r="I15" i="1"/>
  <c r="G28" i="1"/>
  <c r="H28" i="1"/>
  <c r="I28" i="1"/>
  <c r="I33" i="1"/>
  <c r="I17" i="1"/>
  <c r="I31" i="1"/>
  <c r="I29" i="1"/>
  <c r="E25" i="1" l="1"/>
  <c r="F25" i="1"/>
  <c r="G25" i="1" l="1"/>
  <c r="H25" i="1"/>
  <c r="I25" i="1"/>
  <c r="A5" i="1" l="1"/>
  <c r="A6" i="1" s="1"/>
  <c r="A7" i="1" s="1"/>
  <c r="A8" i="1"/>
  <c r="A9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0" i="1"/>
</calcChain>
</file>

<file path=xl/sharedStrings.xml><?xml version="1.0" encoding="utf-8"?>
<sst xmlns="http://schemas.openxmlformats.org/spreadsheetml/2006/main" count="126" uniqueCount="49">
  <si>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</si>
  <si>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</si>
  <si>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</si>
  <si>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</si>
  <si>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</si>
  <si>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</si>
  <si>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</si>
  <si>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</si>
  <si>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</si>
  <si>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</si>
  <si>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</si>
  <si>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</si>
  <si>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</si>
  <si>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</si>
  <si>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</si>
  <si>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</si>
  <si>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</si>
  <si>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</si>
  <si>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</si>
  <si>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</si>
  <si>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</si>
  <si>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</si>
  <si>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</si>
  <si>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</si>
  <si>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</si>
  <si>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</si>
  <si>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</si>
  <si>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</si>
  <si>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</si>
  <si>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</si>
  <si>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0,2 л»  НОВЫЙ ФОРМОКОМПЛЕКТ тип XIII-В-28-2.1в-200-2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</si>
  <si>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</si>
  <si>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</si>
  <si>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</si>
  <si>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</si>
  <si>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</si>
  <si>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</si>
  <si>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</si>
  <si>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</si>
  <si>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</si>
  <si>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</si>
  <si>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</si>
  <si>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</si>
  <si>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</si>
  <si>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</si>
  <si>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</si>
  <si>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</si>
  <si>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Таблица выработки формокомплектов, находящихся на ООО "Стеклозавод Ведатранзит" по состоянию на 01.11.2019 г.</t>
  </si>
  <si>
    <t>"Байрон 0.5 л." XXI-В-30-4А-500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</si>
</sst>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3" fontId="10" fillId="3" borderId="7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6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6" borderId="1" xfId="2" applyNumberFormat="1" applyFont="1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1%20XIII-&#1042;-28-2-200-3%20(&#1060;&#1083;&#1103;&#1075;&#1072;%20%200,2%20&#1083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4294048</v>
          </cell>
          <cell r="F31">
            <v>8845677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3585960</v>
          </cell>
          <cell r="F31">
            <v>7428717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9270726</v>
          </cell>
          <cell r="F31">
            <v>10267748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4259304</v>
          </cell>
          <cell r="F31">
            <v>12624642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24278204</v>
          </cell>
          <cell r="F33">
            <v>26782614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629376</v>
          </cell>
          <cell r="F31">
            <v>2858476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5344626</v>
          </cell>
          <cell r="F31">
            <v>5601912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4658136</v>
          </cell>
          <cell r="F30">
            <v>7162438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view="pageBreakPreview" zoomScale="80" zoomScaleNormal="90" zoomScaleSheetLayoutView="8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H34" sqref="H34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49" t="s">
        <v>47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1"/>
    </row>
    <row r="2" spans="1:12" ht="13.8" thickBot="1">
      <c r="D2" s="47"/>
      <c r="E2" s="48"/>
      <c r="I2" s="1"/>
      <c r="J2" s="1"/>
      <c r="K2" s="1"/>
      <c r="L2" s="1"/>
    </row>
    <row r="3" spans="1:12" ht="71.400000000000006" customHeight="1">
      <c r="A3" s="52" t="s">
        <v>0</v>
      </c>
      <c r="B3" s="50" t="s">
        <v>5</v>
      </c>
      <c r="C3" s="60" t="s">
        <v>9</v>
      </c>
      <c r="D3" s="56" t="s">
        <v>10</v>
      </c>
      <c r="E3" s="6" t="s">
        <v>46</v>
      </c>
      <c r="F3" s="3" t="s">
        <v>6</v>
      </c>
      <c r="G3" s="54" t="s">
        <v>1</v>
      </c>
      <c r="H3" s="55"/>
      <c r="I3" s="58" t="s">
        <v>7</v>
      </c>
      <c r="J3" s="43" t="s">
        <v>4</v>
      </c>
      <c r="K3" s="45" t="s">
        <v>8</v>
      </c>
      <c r="L3" s="2"/>
    </row>
    <row r="4" spans="1:12" ht="13.8" thickBot="1">
      <c r="A4" s="53"/>
      <c r="B4" s="51"/>
      <c r="C4" s="61"/>
      <c r="D4" s="57"/>
      <c r="E4" s="7" t="s">
        <v>2</v>
      </c>
      <c r="F4" s="4" t="s">
        <v>2</v>
      </c>
      <c r="G4" s="4" t="s">
        <v>3</v>
      </c>
      <c r="H4" s="5" t="s">
        <v>2</v>
      </c>
      <c r="I4" s="59"/>
      <c r="J4" s="44"/>
      <c r="K4" s="46"/>
      <c r="L4" s="1"/>
    </row>
    <row r="5" spans="1:12" s="18" customFormat="1" ht="30" customHeight="1">
      <c r="A5" s="10">
        <f t="shared" ref="A5:A10" si="0">A4+1</f>
        <v>1</v>
      </c>
      <c r="B5" s="16" t="s">
        <v>21</v>
      </c>
      <c r="C5" s="11" t="s">
        <v>12</v>
      </c>
      <c r="D5" s="16" t="s">
        <v>14</v>
      </c>
      <c r="E5" s="30"/>
      <c r="F5" s="30"/>
      <c r="G5" s="31">
        <f>100%-F5/16800000</f>
        <v>1</v>
      </c>
      <c r="H5" s="30">
        <f>18200000-F5</f>
        <v>18200000</v>
      </c>
      <c r="I5" s="32"/>
      <c r="J5" s="12"/>
      <c r="K5" s="11" t="s">
        <v>11</v>
      </c>
      <c r="L5" s="19"/>
    </row>
    <row r="6" spans="1:12" s="18" customFormat="1" ht="30" customHeight="1">
      <c r="A6" s="10">
        <f t="shared" si="0"/>
        <v>2</v>
      </c>
      <c r="B6" s="16" t="s">
        <v>30</v>
      </c>
      <c r="C6" s="11" t="s">
        <v>12</v>
      </c>
      <c r="D6" s="16" t="s">
        <v>14</v>
      </c>
      <c r="E6" s="33"/>
      <c r="F6" s="33"/>
      <c r="G6" s="20">
        <f>100%-F6/16800000</f>
        <v>1</v>
      </c>
      <c r="H6" s="21">
        <f>16800000-F6</f>
        <v>16800000</v>
      </c>
      <c r="I6" s="32" t="e">
        <f>E6/F6</f>
        <v>#DIV/0!</v>
      </c>
      <c r="J6" s="12"/>
      <c r="K6" s="11" t="s">
        <v>11</v>
      </c>
      <c r="L6" s="15"/>
    </row>
    <row r="7" spans="1:12" s="18" customFormat="1" ht="30" customHeight="1">
      <c r="A7" s="10">
        <f t="shared" si="0"/>
        <v>3</v>
      </c>
      <c r="B7" s="16" t="s">
        <v>39</v>
      </c>
      <c r="C7" s="11" t="s">
        <v>12</v>
      </c>
      <c r="D7" s="16" t="s">
        <v>14</v>
      </c>
      <c r="E7" s="33"/>
      <c r="F7" s="33"/>
      <c r="G7" s="20">
        <f>100%-F7/19600000</f>
        <v>1</v>
      </c>
      <c r="H7" s="21">
        <f>18900000-F7</f>
        <v>18900000</v>
      </c>
      <c r="I7" s="32" t="e">
        <f>E7/F7</f>
        <v>#DIV/0!</v>
      </c>
      <c r="J7" s="12"/>
      <c r="K7" s="11" t="s">
        <v>13</v>
      </c>
      <c r="L7"/>
    </row>
    <row r="8" spans="1:12" s="18" customFormat="1" ht="30" customHeight="1">
      <c r="A8" s="28">
        <f t="shared" si="0"/>
        <v>4</v>
      </c>
      <c r="B8" s="16" t="s">
        <v>44</v>
      </c>
      <c r="C8" s="11"/>
      <c r="D8" s="16"/>
      <c r="E8" s="33"/>
      <c r="F8" s="33"/>
      <c r="G8" s="31">
        <f>100%-F8/16800000</f>
        <v>1</v>
      </c>
      <c r="H8" s="21"/>
      <c r="I8" s="32"/>
      <c r="J8" s="12"/>
      <c r="K8" s="11"/>
      <c r="L8"/>
    </row>
    <row r="9" spans="1:12" s="18" customFormat="1" ht="30" customHeight="1">
      <c r="A9" s="27">
        <f t="shared" si="0"/>
        <v>5</v>
      </c>
      <c r="B9" s="16" t="s">
        <v>43</v>
      </c>
      <c r="C9" s="11"/>
      <c r="D9" s="16"/>
      <c r="E9" s="33">
        <f>[1]Лист1!$E$31</f>
        <v>449036</v>
      </c>
      <c r="F9" s="33">
        <f>[1]Лист1!$F$31</f>
        <v>524968</v>
      </c>
      <c r="G9" s="20">
        <f>100%-F9/15400000</f>
        <v>0.96591116883116879</v>
      </c>
      <c r="H9" s="21">
        <f>15400000-F9</f>
        <v>14875032</v>
      </c>
      <c r="I9" s="32">
        <f t="shared" ref="I9:I35" si="1">E9/F9</f>
        <v>0.85535880282226728</v>
      </c>
      <c r="J9" s="12"/>
      <c r="K9" s="11"/>
      <c r="L9" s="15"/>
    </row>
    <row r="10" spans="1:12" s="18" customFormat="1" ht="30" customHeight="1">
      <c r="A10" s="10">
        <f t="shared" si="0"/>
        <v>6</v>
      </c>
      <c r="B10" s="16" t="s">
        <v>32</v>
      </c>
      <c r="C10" s="11" t="s">
        <v>12</v>
      </c>
      <c r="D10" s="16" t="s">
        <v>14</v>
      </c>
      <c r="E10" s="33">
        <v>557856</v>
      </c>
      <c r="F10" s="33">
        <v>668458</v>
      </c>
      <c r="G10" s="20">
        <f>100%-F10/18900000</f>
        <v>0.96463185185185185</v>
      </c>
      <c r="H10" s="21">
        <f>12600000-F10</f>
        <v>11931542</v>
      </c>
      <c r="I10" s="32">
        <f t="shared" si="1"/>
        <v>0.83454158675638557</v>
      </c>
      <c r="J10" s="12"/>
      <c r="K10" s="11" t="s">
        <v>13</v>
      </c>
      <c r="L10" s="15"/>
    </row>
    <row r="11" spans="1:12" s="18" customFormat="1" ht="30" customHeight="1">
      <c r="A11" s="10">
        <f>A9+1</f>
        <v>6</v>
      </c>
      <c r="B11" s="16" t="s">
        <v>44</v>
      </c>
      <c r="C11" s="11"/>
      <c r="D11" s="16"/>
      <c r="E11" s="33">
        <f>[2]Лист1!$E$31</f>
        <v>613088</v>
      </c>
      <c r="F11" s="33">
        <f>[2]Лист1!$F$31</f>
        <v>721402</v>
      </c>
      <c r="G11" s="20">
        <f>100%-F11/19600000</f>
        <v>0.96319377551020413</v>
      </c>
      <c r="H11" s="21">
        <f>18900000-F11</f>
        <v>18178598</v>
      </c>
      <c r="I11" s="32">
        <f t="shared" si="1"/>
        <v>0.84985625213126659</v>
      </c>
      <c r="J11" s="12"/>
      <c r="K11" s="11"/>
      <c r="L11"/>
    </row>
    <row r="12" spans="1:12" s="18" customFormat="1" ht="30" customHeight="1">
      <c r="A12" s="10">
        <f t="shared" ref="A12:A35" si="2">A11+1</f>
        <v>7</v>
      </c>
      <c r="B12" s="16" t="s">
        <v>38</v>
      </c>
      <c r="C12" s="11" t="s">
        <v>12</v>
      </c>
      <c r="D12" s="16" t="s">
        <v>14</v>
      </c>
      <c r="E12" s="33">
        <v>515328</v>
      </c>
      <c r="F12" s="33">
        <v>670208</v>
      </c>
      <c r="G12" s="20">
        <f>100%-F12/18200000</f>
        <v>0.96317538461538466</v>
      </c>
      <c r="H12" s="21">
        <f>12600000-F12</f>
        <v>11929792</v>
      </c>
      <c r="I12" s="32">
        <f t="shared" si="1"/>
        <v>0.76890756302521013</v>
      </c>
      <c r="J12" s="12"/>
      <c r="K12" s="11" t="s">
        <v>13</v>
      </c>
      <c r="L12"/>
    </row>
    <row r="13" spans="1:12" s="18" customFormat="1" ht="30" customHeight="1">
      <c r="A13" s="10">
        <f t="shared" si="2"/>
        <v>8</v>
      </c>
      <c r="B13" s="16" t="s">
        <v>26</v>
      </c>
      <c r="C13" s="11" t="s">
        <v>12</v>
      </c>
      <c r="D13" s="16" t="s">
        <v>14</v>
      </c>
      <c r="E13" s="33">
        <v>763476</v>
      </c>
      <c r="F13" s="33">
        <v>975569</v>
      </c>
      <c r="G13" s="20">
        <f>100%-F13/16800000</f>
        <v>0.94193041666666666</v>
      </c>
      <c r="H13" s="21">
        <f>16800000-F13</f>
        <v>15824431</v>
      </c>
      <c r="I13" s="32">
        <f t="shared" si="1"/>
        <v>0.78259559293089465</v>
      </c>
      <c r="J13" s="12"/>
      <c r="K13" s="11" t="s">
        <v>11</v>
      </c>
      <c r="L13" s="15"/>
    </row>
    <row r="14" spans="1:12" s="15" customFormat="1" ht="30" customHeight="1">
      <c r="A14" s="27">
        <f t="shared" si="2"/>
        <v>9</v>
      </c>
      <c r="B14" s="16" t="s">
        <v>33</v>
      </c>
      <c r="C14" s="11" t="s">
        <v>12</v>
      </c>
      <c r="D14" s="16" t="s">
        <v>14</v>
      </c>
      <c r="E14" s="33">
        <f>[3]Лист1!$E$32</f>
        <v>645420</v>
      </c>
      <c r="F14" s="33">
        <f>[3]Лист1!$F$32</f>
        <v>851238</v>
      </c>
      <c r="G14" s="20">
        <f>100%-F14/14000000</f>
        <v>0.93919728571428573</v>
      </c>
      <c r="H14" s="21">
        <f>14000000-F14</f>
        <v>13148762</v>
      </c>
      <c r="I14" s="32">
        <f t="shared" si="1"/>
        <v>0.75821333164167948</v>
      </c>
      <c r="J14" s="12"/>
      <c r="K14" s="11" t="s">
        <v>13</v>
      </c>
    </row>
    <row r="15" spans="1:12" s="15" customFormat="1" ht="30" customHeight="1">
      <c r="A15" s="27">
        <f t="shared" si="2"/>
        <v>10</v>
      </c>
      <c r="B15" s="16" t="s">
        <v>23</v>
      </c>
      <c r="C15" s="11" t="s">
        <v>12</v>
      </c>
      <c r="D15" s="16" t="s">
        <v>14</v>
      </c>
      <c r="E15" s="34">
        <f>[4]Лист1!$E$31</f>
        <v>803358</v>
      </c>
      <c r="F15" s="30">
        <f>[4]Лист1!$F$31</f>
        <v>1444922</v>
      </c>
      <c r="G15" s="31">
        <f>100%-F15/16800000</f>
        <v>0.91399273809523807</v>
      </c>
      <c r="H15" s="30">
        <f>12600000-F15</f>
        <v>11155078</v>
      </c>
      <c r="I15" s="32">
        <f t="shared" si="1"/>
        <v>0.55598710518630068</v>
      </c>
      <c r="J15" s="12"/>
      <c r="K15" s="11" t="s">
        <v>11</v>
      </c>
      <c r="L15" s="17"/>
    </row>
    <row r="16" spans="1:12" s="15" customFormat="1" ht="30" customHeight="1">
      <c r="A16" s="27">
        <f t="shared" si="2"/>
        <v>11</v>
      </c>
      <c r="B16" s="16" t="s">
        <v>34</v>
      </c>
      <c r="C16" s="11" t="s">
        <v>15</v>
      </c>
      <c r="D16" s="16" t="s">
        <v>16</v>
      </c>
      <c r="E16" s="33">
        <f>[5]Лист1!$E$32</f>
        <v>1810428</v>
      </c>
      <c r="F16" s="33">
        <f>[5]Лист1!$F$32</f>
        <v>1922742</v>
      </c>
      <c r="G16" s="20">
        <f>100%-F16/15400000</f>
        <v>0.87514662337662341</v>
      </c>
      <c r="H16" s="21">
        <f>12600000-F16</f>
        <v>10677258</v>
      </c>
      <c r="I16" s="32">
        <f t="shared" si="1"/>
        <v>0.94158654671297548</v>
      </c>
      <c r="J16" s="12"/>
      <c r="K16" s="11" t="s">
        <v>13</v>
      </c>
    </row>
    <row r="17" spans="1:12" s="15" customFormat="1" ht="30" customHeight="1">
      <c r="A17" s="27">
        <f t="shared" si="2"/>
        <v>12</v>
      </c>
      <c r="B17" s="16" t="s">
        <v>19</v>
      </c>
      <c r="C17" s="11" t="s">
        <v>12</v>
      </c>
      <c r="D17" s="16" t="s">
        <v>14</v>
      </c>
      <c r="E17" s="34">
        <f>[6]Лист1!$E$31</f>
        <v>629376</v>
      </c>
      <c r="F17" s="30">
        <f>[6]Лист1!$F$31</f>
        <v>2858476</v>
      </c>
      <c r="G17" s="35">
        <f>100%-F17/16800000</f>
        <v>0.82985261904761909</v>
      </c>
      <c r="H17" s="36">
        <f>16800000-F17</f>
        <v>13941524</v>
      </c>
      <c r="I17" s="32">
        <f t="shared" si="1"/>
        <v>0.2201788645418048</v>
      </c>
      <c r="J17" s="12"/>
      <c r="K17" s="11" t="s">
        <v>11</v>
      </c>
      <c r="L17" s="17"/>
    </row>
    <row r="18" spans="1:12" s="15" customFormat="1" ht="30" customHeight="1">
      <c r="A18" s="27">
        <f t="shared" si="2"/>
        <v>13</v>
      </c>
      <c r="B18" s="16" t="s">
        <v>42</v>
      </c>
      <c r="C18" s="11" t="s">
        <v>12</v>
      </c>
      <c r="D18" s="16" t="s">
        <v>14</v>
      </c>
      <c r="E18" s="30">
        <f>[7]Лист1!$E$31</f>
        <v>5344626</v>
      </c>
      <c r="F18" s="30">
        <f>[7]Лист1!$F$31</f>
        <v>5601912</v>
      </c>
      <c r="G18" s="35">
        <f>100%-F18/16800000</f>
        <v>0.66655285714285717</v>
      </c>
      <c r="H18" s="36">
        <f>16800000-F18</f>
        <v>11198088</v>
      </c>
      <c r="I18" s="32">
        <f t="shared" si="1"/>
        <v>0.95407175264445421</v>
      </c>
      <c r="J18" s="12"/>
      <c r="K18" s="11"/>
      <c r="L18" s="17"/>
    </row>
    <row r="19" spans="1:12" s="15" customFormat="1" ht="30" customHeight="1">
      <c r="A19" s="10">
        <f t="shared" si="2"/>
        <v>14</v>
      </c>
      <c r="B19" s="16" t="s">
        <v>27</v>
      </c>
      <c r="C19" s="11" t="s">
        <v>12</v>
      </c>
      <c r="D19" s="16" t="s">
        <v>14</v>
      </c>
      <c r="E19" s="37"/>
      <c r="F19" s="37">
        <v>3080000</v>
      </c>
      <c r="G19" s="13">
        <f>100%-F19/14000000</f>
        <v>0.78</v>
      </c>
      <c r="H19" s="14">
        <f>14000000-F19</f>
        <v>10920000</v>
      </c>
      <c r="I19" s="32">
        <f t="shared" si="1"/>
        <v>0</v>
      </c>
      <c r="J19" s="12"/>
      <c r="K19" s="11" t="s">
        <v>11</v>
      </c>
    </row>
    <row r="20" spans="1:12" s="15" customFormat="1" ht="30" customHeight="1">
      <c r="A20" s="27">
        <f t="shared" si="2"/>
        <v>15</v>
      </c>
      <c r="B20" s="16" t="s">
        <v>35</v>
      </c>
      <c r="C20" s="11" t="s">
        <v>12</v>
      </c>
      <c r="D20" s="16" t="s">
        <v>14</v>
      </c>
      <c r="E20" s="33">
        <f>[8]Лист1!$E$30</f>
        <v>4126964</v>
      </c>
      <c r="F20" s="33">
        <f>[8]Лист1!$F$30</f>
        <v>4454263</v>
      </c>
      <c r="G20" s="13">
        <f>100%-F20/18900000</f>
        <v>0.76432470899470895</v>
      </c>
      <c r="H20" s="14">
        <f>18900000-F20</f>
        <v>14445737</v>
      </c>
      <c r="I20" s="32">
        <f t="shared" si="1"/>
        <v>0.92652005505736867</v>
      </c>
      <c r="J20" s="12"/>
      <c r="K20" s="11" t="s">
        <v>13</v>
      </c>
    </row>
    <row r="21" spans="1:12" s="15" customFormat="1" ht="30" customHeight="1">
      <c r="A21" s="10">
        <f t="shared" si="2"/>
        <v>16</v>
      </c>
      <c r="B21" s="16" t="s">
        <v>24</v>
      </c>
      <c r="C21" s="11" t="s">
        <v>12</v>
      </c>
      <c r="D21" s="16" t="s">
        <v>14</v>
      </c>
      <c r="E21" s="30"/>
      <c r="F21" s="30">
        <v>4055359</v>
      </c>
      <c r="G21" s="35">
        <f>100%-F21/16800000</f>
        <v>0.75860958333333328</v>
      </c>
      <c r="H21" s="36">
        <f>18900000-F21</f>
        <v>14844641</v>
      </c>
      <c r="I21" s="32">
        <f t="shared" si="1"/>
        <v>0</v>
      </c>
      <c r="J21" s="12"/>
      <c r="K21" s="11" t="s">
        <v>11</v>
      </c>
    </row>
    <row r="22" spans="1:12" s="25" customFormat="1" ht="30" customHeight="1">
      <c r="A22" s="10">
        <f t="shared" si="2"/>
        <v>17</v>
      </c>
      <c r="B22" s="16" t="s">
        <v>28</v>
      </c>
      <c r="C22" s="11" t="s">
        <v>12</v>
      </c>
      <c r="D22" s="16" t="s">
        <v>14</v>
      </c>
      <c r="E22" s="33"/>
      <c r="F22" s="33">
        <v>5511547</v>
      </c>
      <c r="G22" s="13">
        <f>100%-F22/16800000</f>
        <v>0.67193172619047625</v>
      </c>
      <c r="H22" s="14">
        <f>12000000-F22</f>
        <v>6488453</v>
      </c>
      <c r="I22" s="32">
        <f t="shared" si="1"/>
        <v>0</v>
      </c>
      <c r="J22" s="12"/>
      <c r="K22" s="11" t="s">
        <v>11</v>
      </c>
      <c r="L22" s="15"/>
    </row>
    <row r="23" spans="1:12" s="15" customFormat="1" ht="30" customHeight="1">
      <c r="A23" s="10">
        <f t="shared" si="2"/>
        <v>18</v>
      </c>
      <c r="B23" s="16" t="s">
        <v>17</v>
      </c>
      <c r="C23" s="11" t="s">
        <v>12</v>
      </c>
      <c r="D23" s="16" t="s">
        <v>14</v>
      </c>
      <c r="E23" s="34">
        <v>2131080</v>
      </c>
      <c r="F23" s="30">
        <v>5638494</v>
      </c>
      <c r="G23" s="38">
        <f>100%-F23/16800000</f>
        <v>0.66437535714285723</v>
      </c>
      <c r="H23" s="36">
        <f>16800000-F23</f>
        <v>11161506</v>
      </c>
      <c r="I23" s="32">
        <f t="shared" si="1"/>
        <v>0.37795198505132754</v>
      </c>
      <c r="J23" s="12"/>
      <c r="K23" s="11" t="s">
        <v>11</v>
      </c>
      <c r="L23" s="17"/>
    </row>
    <row r="24" spans="1:12" s="15" customFormat="1" ht="30" customHeight="1">
      <c r="A24" s="27">
        <f t="shared" si="2"/>
        <v>19</v>
      </c>
      <c r="B24" s="16" t="s">
        <v>45</v>
      </c>
      <c r="C24" s="11" t="s">
        <v>12</v>
      </c>
      <c r="D24" s="16" t="s">
        <v>14</v>
      </c>
      <c r="E24" s="39">
        <f>[9]Лист1!$E$30</f>
        <v>4658136</v>
      </c>
      <c r="F24" s="33">
        <f>[9]Лист1!$F$30</f>
        <v>7162438</v>
      </c>
      <c r="G24" s="13">
        <f>100%-F24/16800000</f>
        <v>0.57366440476190483</v>
      </c>
      <c r="H24" s="14">
        <f>16800000-F24</f>
        <v>9637562</v>
      </c>
      <c r="I24" s="32">
        <f t="shared" si="1"/>
        <v>0.65035620552666562</v>
      </c>
      <c r="J24" s="12"/>
      <c r="K24" s="11" t="s">
        <v>11</v>
      </c>
    </row>
    <row r="25" spans="1:12" s="15" customFormat="1" ht="30" customHeight="1">
      <c r="A25" s="27">
        <f t="shared" si="2"/>
        <v>20</v>
      </c>
      <c r="B25" s="16" t="s">
        <v>36</v>
      </c>
      <c r="C25" s="11" t="s">
        <v>12</v>
      </c>
      <c r="D25" s="16" t="s">
        <v>14</v>
      </c>
      <c r="E25" s="33">
        <f>[10]Лист1!$E$37</f>
        <v>8320286</v>
      </c>
      <c r="F25" s="33">
        <f>[10]Лист1!$F$37</f>
        <v>9174267</v>
      </c>
      <c r="G25" s="13">
        <f>100%-F25/18900000</f>
        <v>0.51458904761904756</v>
      </c>
      <c r="H25" s="14">
        <f>18900000-F25</f>
        <v>9725733</v>
      </c>
      <c r="I25" s="32">
        <f t="shared" si="1"/>
        <v>0.90691561516576746</v>
      </c>
      <c r="J25" s="12"/>
      <c r="K25" s="11" t="s">
        <v>13</v>
      </c>
    </row>
    <row r="26" spans="1:12" s="15" customFormat="1" ht="30" customHeight="1">
      <c r="A26" s="27">
        <f t="shared" si="2"/>
        <v>21</v>
      </c>
      <c r="B26" s="16" t="s">
        <v>31</v>
      </c>
      <c r="C26" s="11" t="s">
        <v>12</v>
      </c>
      <c r="D26" s="16" t="s">
        <v>14</v>
      </c>
      <c r="E26" s="39">
        <f>[11]Лист1!$E$31</f>
        <v>4294048</v>
      </c>
      <c r="F26" s="33">
        <f>[11]Лист1!$F$31</f>
        <v>8845677</v>
      </c>
      <c r="G26" s="13">
        <f>100%-F26/16800000</f>
        <v>0.47347160714285719</v>
      </c>
      <c r="H26" s="14">
        <f>16800000-F26</f>
        <v>7954323</v>
      </c>
      <c r="I26" s="32">
        <f t="shared" si="1"/>
        <v>0.48544028908132186</v>
      </c>
      <c r="J26" s="12"/>
      <c r="K26" s="11" t="s">
        <v>11</v>
      </c>
    </row>
    <row r="27" spans="1:12" s="15" customFormat="1" ht="30" customHeight="1">
      <c r="A27" s="27">
        <f t="shared" si="2"/>
        <v>22</v>
      </c>
      <c r="B27" s="16" t="s">
        <v>41</v>
      </c>
      <c r="C27" s="11" t="s">
        <v>12</v>
      </c>
      <c r="D27" s="16" t="s">
        <v>14</v>
      </c>
      <c r="E27" s="39">
        <f>[12]Лист1!$E$31</f>
        <v>3585960</v>
      </c>
      <c r="F27" s="33">
        <f>[12]Лист1!$F$31</f>
        <v>7428717</v>
      </c>
      <c r="G27" s="13">
        <f>100%-F27/14000000</f>
        <v>0.46937735714285711</v>
      </c>
      <c r="H27" s="14">
        <f>14000000-F27</f>
        <v>6571283</v>
      </c>
      <c r="I27" s="32">
        <f t="shared" si="1"/>
        <v>0.48271592523984963</v>
      </c>
      <c r="J27" s="12"/>
      <c r="K27" s="11" t="s">
        <v>11</v>
      </c>
    </row>
    <row r="28" spans="1:12" s="15" customFormat="1" ht="30" customHeight="1">
      <c r="A28" s="27">
        <f t="shared" si="2"/>
        <v>23</v>
      </c>
      <c r="B28" s="16" t="s">
        <v>22</v>
      </c>
      <c r="C28" s="11" t="s">
        <v>12</v>
      </c>
      <c r="D28" s="16" t="s">
        <v>14</v>
      </c>
      <c r="E28" s="30">
        <f>[13]Лист1!$E$31</f>
        <v>9270726</v>
      </c>
      <c r="F28" s="30">
        <f>[13]Лист1!$F$31</f>
        <v>10267748</v>
      </c>
      <c r="G28" s="35">
        <f>100%-F28/16800000</f>
        <v>0.38882452380952381</v>
      </c>
      <c r="H28" s="36">
        <f>16800000-F28</f>
        <v>6532252</v>
      </c>
      <c r="I28" s="32">
        <f t="shared" si="1"/>
        <v>0.90289769480123583</v>
      </c>
      <c r="J28" s="12"/>
      <c r="K28" s="11" t="s">
        <v>11</v>
      </c>
      <c r="L28" s="17"/>
    </row>
    <row r="29" spans="1:12" s="15" customFormat="1" ht="30" customHeight="1">
      <c r="A29" s="27">
        <f t="shared" si="2"/>
        <v>24</v>
      </c>
      <c r="B29" s="16" t="s">
        <v>37</v>
      </c>
      <c r="C29" s="11" t="s">
        <v>12</v>
      </c>
      <c r="D29" s="16" t="s">
        <v>14</v>
      </c>
      <c r="E29" s="30">
        <f>[14]Лист1!$E$39</f>
        <v>11248736</v>
      </c>
      <c r="F29" s="30">
        <f>[14]Лист1!$F$39</f>
        <v>12230442</v>
      </c>
      <c r="G29" s="35">
        <f>100%-F29/18200000</f>
        <v>0.32799769230769227</v>
      </c>
      <c r="H29" s="36">
        <f>18200000-F29</f>
        <v>5969558</v>
      </c>
      <c r="I29" s="32">
        <f t="shared" si="1"/>
        <v>0.91973258202769781</v>
      </c>
      <c r="J29" s="12"/>
      <c r="K29" s="11" t="s">
        <v>11</v>
      </c>
      <c r="L29" s="17"/>
    </row>
    <row r="30" spans="1:12" s="15" customFormat="1" ht="30" customHeight="1">
      <c r="A30" s="27">
        <f t="shared" si="2"/>
        <v>25</v>
      </c>
      <c r="B30" s="16" t="s">
        <v>25</v>
      </c>
      <c r="C30" s="11" t="s">
        <v>12</v>
      </c>
      <c r="D30" s="16" t="s">
        <v>14</v>
      </c>
      <c r="E30" s="39">
        <f>[15]Лист1!$E$31</f>
        <v>4259304</v>
      </c>
      <c r="F30" s="33">
        <f>[15]Лист1!$F$31</f>
        <v>12624642</v>
      </c>
      <c r="G30" s="13">
        <f>100%-F30/16800000</f>
        <v>0.24853321428571429</v>
      </c>
      <c r="H30" s="14">
        <f>24000000-F30</f>
        <v>11375358</v>
      </c>
      <c r="I30" s="32">
        <f t="shared" si="1"/>
        <v>0.33738018076076931</v>
      </c>
      <c r="J30" s="12"/>
      <c r="K30" s="11" t="s">
        <v>11</v>
      </c>
    </row>
    <row r="31" spans="1:12" s="15" customFormat="1" ht="30" customHeight="1">
      <c r="A31" s="27">
        <f t="shared" si="2"/>
        <v>26</v>
      </c>
      <c r="B31" s="16" t="s">
        <v>18</v>
      </c>
      <c r="C31" s="11" t="s">
        <v>12</v>
      </c>
      <c r="D31" s="16" t="s">
        <v>14</v>
      </c>
      <c r="E31" s="34">
        <f>[16]Лист1!$E$30</f>
        <v>6849070</v>
      </c>
      <c r="F31" s="30">
        <f>[16]Лист1!$F$30</f>
        <v>14503171</v>
      </c>
      <c r="G31" s="35">
        <f>100%-F31/19600000</f>
        <v>0.26004229591836736</v>
      </c>
      <c r="H31" s="36">
        <f>19600000-F31</f>
        <v>5096829</v>
      </c>
      <c r="I31" s="32">
        <f t="shared" si="1"/>
        <v>0.47224637977446449</v>
      </c>
      <c r="J31" s="12"/>
      <c r="K31" s="11" t="s">
        <v>11</v>
      </c>
      <c r="L31" s="17"/>
    </row>
    <row r="32" spans="1:12" s="15" customFormat="1" ht="30" customHeight="1">
      <c r="A32" s="27">
        <f t="shared" si="2"/>
        <v>27</v>
      </c>
      <c r="B32" s="16" t="s">
        <v>40</v>
      </c>
      <c r="C32" s="11" t="s">
        <v>12</v>
      </c>
      <c r="D32" s="16" t="s">
        <v>14</v>
      </c>
      <c r="E32" s="33">
        <f>[17]Лист1!$E$30</f>
        <v>13190994</v>
      </c>
      <c r="F32" s="33">
        <f>[17]Лист1!$F$30</f>
        <v>16642877</v>
      </c>
      <c r="G32" s="13">
        <f>100%-F32/21000000</f>
        <v>0.20748204761904765</v>
      </c>
      <c r="H32" s="14">
        <f>21000000-F32</f>
        <v>4357123</v>
      </c>
      <c r="I32" s="32">
        <f t="shared" si="1"/>
        <v>0.7925909684966127</v>
      </c>
      <c r="J32" s="12"/>
      <c r="K32" s="11" t="s">
        <v>13</v>
      </c>
    </row>
    <row r="33" spans="1:12" ht="30" customHeight="1">
      <c r="A33" s="27">
        <f t="shared" si="2"/>
        <v>28</v>
      </c>
      <c r="B33" s="16" t="s">
        <v>20</v>
      </c>
      <c r="C33" s="11" t="s">
        <v>12</v>
      </c>
      <c r="D33" s="16" t="s">
        <v>14</v>
      </c>
      <c r="E33" s="34">
        <f>[18]Лист1!$E$32</f>
        <v>8848812</v>
      </c>
      <c r="F33" s="30">
        <f>[18]Лист1!$F$32</f>
        <v>18119313</v>
      </c>
      <c r="G33" s="35">
        <f>100%-F33/18200000</f>
        <v>4.4333516483516799E-3</v>
      </c>
      <c r="H33" s="36">
        <f>18200000-F33</f>
        <v>80687</v>
      </c>
      <c r="I33" s="32">
        <f t="shared" si="1"/>
        <v>0.4883635488828964</v>
      </c>
      <c r="J33" s="12"/>
      <c r="K33" s="11" t="s">
        <v>11</v>
      </c>
      <c r="L33" s="19"/>
    </row>
    <row r="34" spans="1:12" ht="30" customHeight="1">
      <c r="A34" s="27">
        <f t="shared" si="2"/>
        <v>29</v>
      </c>
      <c r="B34" s="16" t="s">
        <v>48</v>
      </c>
      <c r="C34" s="11"/>
      <c r="D34" s="16"/>
      <c r="E34" s="42"/>
      <c r="F34" s="30"/>
      <c r="G34" s="35"/>
      <c r="H34" s="36"/>
      <c r="I34" s="32"/>
      <c r="J34" s="12"/>
      <c r="K34" s="11"/>
      <c r="L34" s="19"/>
    </row>
    <row r="35" spans="1:12" ht="30" customHeight="1">
      <c r="A35" s="27">
        <f t="shared" si="2"/>
        <v>30</v>
      </c>
      <c r="B35" s="23" t="s">
        <v>29</v>
      </c>
      <c r="C35" s="22" t="s">
        <v>12</v>
      </c>
      <c r="D35" s="23" t="s">
        <v>14</v>
      </c>
      <c r="E35" s="40">
        <f>[19]Лист1!$E$33</f>
        <v>24278204</v>
      </c>
      <c r="F35" s="40">
        <f>[19]Лист1!$F$33</f>
        <v>26782614</v>
      </c>
      <c r="G35" s="29">
        <f>100%-F35/16800000</f>
        <v>-0.59420321428571432</v>
      </c>
      <c r="H35" s="26">
        <f>16800000-F35</f>
        <v>-9982614</v>
      </c>
      <c r="I35" s="41">
        <f t="shared" si="1"/>
        <v>0.90649120358453439</v>
      </c>
      <c r="J35" s="24"/>
      <c r="K35" s="22" t="s">
        <v>11</v>
      </c>
      <c r="L35" s="25"/>
    </row>
  </sheetData>
  <autoFilter ref="A3:L21">
    <filterColumn colId="6" showButton="0"/>
    <sortState ref="A6:L34">
      <sortCondition descending="1" ref="G3:G21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Выработка формокомплектов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2019-10-23T08:42:48Z</cp:lastPrinted>
  <dcterms:created xsi:type="dcterms:W3CDTF">2005-06-28T07:56:17Z</dcterms:created>
  <dcterms:modified xsi:type="dcterms:W3CDTF">2019-10-25T07:44:01Z</dcterms:modified>
</cp:coreProperties>
</file>