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xr:revisionPtr revIDLastSave="0" documentId="13_ncr:1_{7CE1D3D5-D171-4B8A-8FB4-78D3E7D8929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Выработка формокомплектов" sheetId="1" r:id="rId1"/>
    <sheet name="Списанные формокомплекты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_FilterDatabase" localSheetId="0" hidden="1">'Выработка формокомплектов'!$A$3:$K$19</definedName>
    <definedName name="_xlnm.Print_Area" localSheetId="0">'Выработка формокомплектов'!$A$1:$J$46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0" i="1" l="1"/>
  <c r="I11" i="1"/>
  <c r="F30" i="1" l="1"/>
  <c r="H30" i="1" s="1"/>
  <c r="E30" i="1"/>
  <c r="G30" i="1" l="1"/>
  <c r="F11" i="1" l="1"/>
  <c r="H11" i="1" s="1"/>
  <c r="E11" i="1"/>
  <c r="G11" i="1" l="1"/>
  <c r="F7" i="1"/>
  <c r="G7" i="1" s="1"/>
  <c r="E7" i="1"/>
  <c r="I7" i="1" l="1"/>
  <c r="H7" i="1"/>
  <c r="F35" i="1"/>
  <c r="E35" i="1"/>
  <c r="F16" i="1" l="1"/>
  <c r="H16" i="1" s="1"/>
  <c r="E16" i="1"/>
  <c r="I16" i="1" l="1"/>
  <c r="G16" i="1"/>
  <c r="E32" i="1"/>
  <c r="E19" i="1" l="1"/>
  <c r="F34" i="1"/>
  <c r="G34" i="1" s="1"/>
  <c r="E34" i="1"/>
  <c r="H34" i="1" l="1"/>
  <c r="F17" i="1"/>
  <c r="G17" i="1" s="1"/>
  <c r="E17" i="1"/>
  <c r="H17" i="1" l="1"/>
  <c r="F32" i="1"/>
  <c r="H32" i="1" s="1"/>
  <c r="G32" i="1" l="1"/>
  <c r="I32" i="1"/>
  <c r="F14" i="1" l="1"/>
  <c r="H14" i="1" s="1"/>
  <c r="E14" i="1"/>
  <c r="I14" i="1" l="1"/>
  <c r="G14" i="1"/>
  <c r="E44" i="1" l="1"/>
  <c r="F44" i="1"/>
  <c r="H44" i="1" l="1"/>
  <c r="G44" i="1"/>
  <c r="F19" i="1"/>
  <c r="G19" i="1" l="1"/>
  <c r="H19" i="1"/>
  <c r="F13" i="1"/>
  <c r="H13" i="1" s="1"/>
  <c r="E13" i="1"/>
  <c r="I13" i="1" l="1"/>
  <c r="G13" i="1"/>
  <c r="F8" i="1" l="1"/>
  <c r="G8" i="1" s="1"/>
  <c r="E8" i="1"/>
  <c r="H8" i="1" l="1"/>
  <c r="A6" i="1"/>
  <c r="F9" i="1" l="1"/>
  <c r="H9" i="1" s="1"/>
  <c r="E9" i="1"/>
  <c r="F22" i="1"/>
  <c r="H22" i="1" s="1"/>
  <c r="E22" i="1"/>
  <c r="I9" i="1" l="1"/>
  <c r="G9" i="1"/>
  <c r="G22" i="1"/>
  <c r="F3" i="2" l="1"/>
  <c r="G3" i="2" s="1"/>
  <c r="E3" i="2"/>
  <c r="I3" i="2" l="1"/>
  <c r="H3" i="2"/>
  <c r="A3" i="2"/>
  <c r="F12" i="1"/>
  <c r="G12" i="1" s="1"/>
  <c r="E12" i="1"/>
  <c r="F25" i="1"/>
  <c r="E25" i="1"/>
  <c r="H25" i="1" l="1"/>
  <c r="G25" i="1"/>
  <c r="H12" i="1"/>
  <c r="F24" i="1"/>
  <c r="E24" i="1"/>
  <c r="H24" i="1" l="1"/>
  <c r="G24" i="1"/>
  <c r="I24" i="1"/>
  <c r="F29" i="1"/>
  <c r="E29" i="1"/>
  <c r="H29" i="1" l="1"/>
  <c r="G29" i="1"/>
  <c r="I8" i="1"/>
  <c r="F18" i="1"/>
  <c r="E18" i="1"/>
  <c r="H18" i="1" l="1"/>
  <c r="G18" i="1"/>
  <c r="I18" i="1"/>
  <c r="F21" i="1" l="1"/>
  <c r="E21" i="1"/>
  <c r="H21" i="1" l="1"/>
  <c r="G21" i="1"/>
  <c r="I21" i="1"/>
  <c r="I29" i="1"/>
  <c r="E40" i="1" l="1"/>
  <c r="F40" i="1"/>
  <c r="H40" i="1" l="1"/>
  <c r="G40" i="1"/>
  <c r="F23" i="1"/>
  <c r="E23" i="1"/>
  <c r="H23" i="1" l="1"/>
  <c r="G23" i="1"/>
  <c r="F39" i="1"/>
  <c r="E39" i="1"/>
  <c r="H39" i="1" l="1"/>
  <c r="G39" i="1"/>
  <c r="H35" i="1" l="1"/>
  <c r="G35" i="1"/>
  <c r="F28" i="1"/>
  <c r="E28" i="1"/>
  <c r="G28" i="1" l="1"/>
  <c r="H28" i="1"/>
  <c r="F42" i="1"/>
  <c r="E42" i="1"/>
  <c r="H42" i="1" l="1"/>
  <c r="G42" i="1"/>
  <c r="F10" i="1"/>
  <c r="E10" i="1"/>
  <c r="H10" i="1" l="1"/>
  <c r="I10" i="1"/>
  <c r="G10" i="1" l="1"/>
  <c r="F20" i="1" l="1"/>
  <c r="H20" i="1" s="1"/>
  <c r="E20" i="1"/>
  <c r="G20" i="1" l="1"/>
  <c r="F37" i="1" l="1"/>
  <c r="E37" i="1"/>
  <c r="H37" i="1" l="1"/>
  <c r="G37" i="1"/>
  <c r="F38" i="1"/>
  <c r="E38" i="1"/>
  <c r="H38" i="1" l="1"/>
  <c r="G38" i="1"/>
  <c r="I38" i="1"/>
  <c r="F43" i="1" l="1"/>
  <c r="E43" i="1"/>
  <c r="H43" i="1" l="1"/>
  <c r="G43" i="1"/>
  <c r="F31" i="1"/>
  <c r="E31" i="1"/>
  <c r="H31" i="1" l="1"/>
  <c r="G31" i="1"/>
  <c r="F36" i="1"/>
  <c r="E36" i="1"/>
  <c r="H36" i="1" l="1"/>
  <c r="G36" i="1"/>
  <c r="I44" i="1"/>
  <c r="G6" i="1"/>
  <c r="I6" i="1"/>
  <c r="H6" i="1"/>
  <c r="I17" i="1"/>
  <c r="I28" i="1"/>
  <c r="H5" i="1"/>
  <c r="G5" i="1"/>
  <c r="I20" i="1"/>
  <c r="I19" i="1"/>
  <c r="I31" i="1"/>
  <c r="G27" i="1"/>
  <c r="I42" i="1"/>
  <c r="I12" i="1"/>
  <c r="H26" i="1"/>
  <c r="G26" i="1"/>
  <c r="I37" i="1"/>
  <c r="I26" i="1"/>
  <c r="H15" i="1"/>
  <c r="G15" i="1"/>
  <c r="I15" i="1"/>
  <c r="I35" i="1"/>
  <c r="I34" i="1"/>
  <c r="I40" i="1"/>
  <c r="H27" i="1"/>
  <c r="I27" i="1"/>
  <c r="I23" i="1"/>
  <c r="I39" i="1"/>
  <c r="I22" i="1"/>
  <c r="I25" i="1"/>
  <c r="I43" i="1"/>
  <c r="I36" i="1"/>
  <c r="E33" i="1" l="1"/>
  <c r="F33" i="1"/>
  <c r="H33" i="1" l="1"/>
  <c r="G33" i="1"/>
  <c r="I33" i="1"/>
  <c r="E41" i="1" l="1"/>
  <c r="F41" i="1"/>
  <c r="H41" i="1" l="1"/>
  <c r="G41" i="1"/>
  <c r="I41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<sst xmlns="http://schemas.openxmlformats.org/spreadsheetml/2006/main" count="137" uniqueCount="65">
  <si>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</si>
  <si>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</si>
  <si>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</si>
  <si>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</si>
  <si>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</si>
  <si>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</si>
  <si>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</si>
  <si>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</si>
  <si>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</si>
  <si>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</si>
  <si>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</si>
  <si>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</si>
  <si>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</si>
  <si>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</si>
  <si>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</si>
  <si>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</si>
  <si>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</si>
  <si>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</si>
  <si>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</si>
  <si>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</si>
  <si>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</si>
  <si>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</si>
  <si>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</si>
  <si>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</si>
  <si>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</si>
  <si>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</si>
  <si>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</si>
  <si>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</si>
  <si>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</si>
  <si>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</si>
  <si>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</si>
  <si>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</si>
  <si>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</si>
  <si>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</si>
  <si>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</si>
  <si>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</si>
  <si>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</si>
  <si>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</si>
  <si>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</si>
  <si>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</si>
  <si>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</si>
  <si>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«Кристалл 0,7» тип XXI-B-28-2.1б-700</t>
  </si>
  <si>
    <t>Приблизительное количество выпущеной продукции</t>
  </si>
  <si>
    <t>"Байрон 0.5 л." XXI-В-30-4А-500</t>
  </si>
  <si>
    <t>"Круглая 0,2 л." XXI-В-28-1-200-5</t>
  </si>
  <si>
    <t>«Фляга 0,2 л» тип XIII-В-28-2-200-3</t>
  </si>
  <si>
    <t>"Ведьма 0.5" тип XXI-В-28-2.1-500-4</t>
  </si>
  <si>
    <t>"Баден 0.7 л." XI-28МСА-700</t>
  </si>
  <si>
    <t>"Тоник 0.2" тип V-GPI-630-200</t>
  </si>
  <si>
    <t>«Штофф Колоски 0,5 л» тип XXI-В-28-2б-500-1</t>
  </si>
  <si>
    <t>«Штофф Земляк 0,5» тип ХХI-КПМ-30-1-500-9</t>
  </si>
  <si>
    <t>ОАО "Гомельский ликеро-водочный задод "Радамир"</t>
  </si>
  <si>
    <t>дог. №38 от 14.06.2019</t>
  </si>
  <si>
    <t>"Байрон 0.7 л." XXI-В-30-4А-700</t>
  </si>
  <si>
    <t>«Калина 0,45» тип XХI-В-28-2-450-19</t>
  </si>
  <si>
    <t>XXI-КПМ-24-1-500-16 (Бульбаш Экстра Нью)</t>
  </si>
  <si>
    <t>выпущено на ООО "Стеклозавод "Ведатранзит"</t>
  </si>
  <si>
    <t>ХXI-КПМ-30-1-500-7 (Каласы 0.5 л.)</t>
  </si>
  <si>
    <t>Бульбаш</t>
  </si>
  <si>
    <t>Аквадив</t>
  </si>
  <si>
    <t>Аквадив дог. безв. польз им. №27 от 05.03.2020</t>
  </si>
  <si>
    <t>"Размова" XXI-КПМ-30-1-500</t>
  </si>
  <si>
    <t>"Батькова 0,5 л." XXI-В-30-4б-500-14</t>
  </si>
  <si>
    <t>"Аквадив 0,35" XXI-В-28-2-350</t>
  </si>
  <si>
    <t>Таблица выработки формокомплектов, находящихся на ООО "Стеклозавод Ведатранзит" по состоянию на 01.05.2020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</si>
</sst>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0" xfId="0" applyFill="1"/>
    <xf numFmtId="0" fontId="3" fillId="0" borderId="1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5" borderId="1" xfId="2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7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3" fontId="6" fillId="0" borderId="1" xfId="2" applyNumberFormat="1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 wrapText="1"/>
    </xf>
    <xf numFmtId="9" fontId="11" fillId="0" borderId="1" xfId="3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 applyFill="1" applyBorder="1" applyAlignment="1">
      <alignment wrapText="1"/>
    </xf>
    <xf numFmtId="3" fontId="10" fillId="0" borderId="1" xfId="0" applyNumberFormat="1" applyFont="1" applyFill="1" applyBorder="1" applyAlignment="1">
      <alignment horizontal="center" vertical="center" wrapText="1"/>
    </xf>
    <xf numFmtId="9" fontId="11" fillId="0" borderId="7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6" fillId="2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9" fontId="11" fillId="5" borderId="1" xfId="3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</cellXfs>
  <cellStyles count="4">
    <cellStyle name="Мой стиль" xfId="1" xr:uid="{00000000-0005-0000-0000-000000000000}"/>
    <cellStyle name="Обычный" xfId="0" builtinId="0"/>
    <cellStyle name="Обычный 7" xfId="2" xr:uid="{00000000-0005-0000-0000-000002000000}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&#1061;&#1061;I-&#1050;&#1055;&#1052;-30-1-500-&#1056;&#1072;&#1079;&#1084;&#1086;&#1074;&#1072;/&#1092;-&#1090;%20&#1061;&#1061;I-&#1050;&#1055;&#1052;-30-1-500-&#1056;&#1072;&#1079;&#1084;&#1086;&#1074;&#1072;%20&#1086;&#1090;%2006.03.20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3%20&#1083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4%20(&#1042;&#1077;&#1076;&#1100;&#1084;&#1072;)/&#1042;&#1077;&#1076;&#1100;&#1084;&#1072;%200.5%20&#1083;.%20&#1086;&#1090;%2003.10.2019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&#1052;&#1077;&#1076;&#1086;&#1092;&#1092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30-4A-500%20(&#1041;&#1072;&#1081;&#1088;&#1086;&#1085;)/&#1086;&#1090;%2015.10.2019%20&#1041;&#1072;&#1081;&#1088;&#1086;&#1085;%200.5%20&#1083;.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9.%20XXI-&#1050;&#1055;&#1052;-30-1-500-9%20(&#1064;&#1090;&#1086;&#1092;)/&#1064;&#1090;&#1086;&#1092;&#1092;%20&#1086;&#1090;%2018.11.20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V-GPI-630-200%20(&#1058;&#1086;&#1085;&#1080;&#1082;%200,2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-28MCA-700%20(&#1041;&#1072;&#1076;&#1077;&#1085;%200.7)/&#1086;&#1090;%2025.10.2019%20&#1041;&#1072;&#1076;&#1077;&#1085;%200.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1-200-5%20(&#1050;&#1088;&#1091;&#1075;&#1083;&#1072;&#1103;%200,2%20&#1083;.)/&#1086;&#1090;%2003.10.2019%20&#1050;&#1088;&#1091;&#1075;&#1083;&#1072;&#1103;%200.2%20&#1083;.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350%20(&#1040;&#1082;&#1074;&#1072;&#1076;&#1080;&#1074;%200.35%20&#1083;.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-500-16%20(&#1057;&#1103;&#1073;&#1088;&#1099;%20%200,5%20&#1083;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&#1050;&#1077;&#1087;&#1080;&#1083;%20%200,5%20&#1083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30-4&#1040;-700%20(&#1041;&#1072;&#1081;&#1088;&#1086;&#1085;%200.7%20&#1083;.)/&#1041;&#1072;&#1081;&#1088;&#1086;&#1085;%200.7%20&#1083;.%20&#1086;&#1090;%2006.11.2019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)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2%20XIII-&#1042;-28-2-200-3%20(&#1060;&#1083;&#1103;&#1075;&#1072;%20%200,2%20&#1083;.)%20&#1086;&#1090;%2016.09.201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30-4&#1073;-500-14%20&#1041;&#1072;&#1090;&#1100;&#1082;&#1086;&#1074;&#1072;/XXI-&#1042;-30-4&#1073;-500-14%20&#1041;&#1072;&#1090;&#1100;&#1082;&#1086;&#1074;&#1072;%20&#1086;&#1090;%2007.02.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&#1073;-500-1%20(&#1064;&#1090;&#1086;&#1092;&#1092;%20&#1050;&#1086;&#1083;&#1086;&#1089;&#1082;&#1080;)/XXI-&#1042;-28-2&#1073;-500-1%20(&#1064;&#1090;&#1086;&#1092;&#1092;%20&#1050;&#1086;&#1083;&#1086;&#1089;&#1082;&#1080;)%20&#1086;&#1090;%2006.11.20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28-2-450-19%20&#1050;&#1072;&#1083;&#1080;&#1085;&#1072;%200.45/XXI-B-28-2-450-19%20&#1050;&#1072;&#1083;&#1080;&#1085;&#1072;%200.45%20&#1086;&#1090;%2009.01.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24-1-500-16%20(&#1041;&#1091;&#1083;&#1100;&#1073;&#1072;&#1096;%20&#1069;&#1082;&#1089;&#1090;&#1088;&#1072;%20&#1053;&#1100;&#1102;)/XXI-&#1050;&#1055;&#1052;-24-1-500-16%20(&#1041;&#1091;&#1083;&#1100;&#1073;&#1072;&#1096;%20&#1069;&#1082;&#1089;&#1090;&#1088;&#1072;%20&#1053;&#1100;&#1102;)%20&#1086;&#1090;%2023.01.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30-1-500-7%20(&#1050;&#1072;&#1083;&#1072;&#1089;&#1099;)/&#1086;&#1090;%2023.10.2019%20&#1050;&#1072;&#1083;&#1072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253260</v>
          </cell>
          <cell r="F32">
            <v>301118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18200000</v>
          </cell>
        </row>
        <row r="30">
          <cell r="E30">
            <v>1140480</v>
          </cell>
          <cell r="F30">
            <v>1411002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0">
          <cell r="A20">
            <v>15400000</v>
          </cell>
        </row>
        <row r="31">
          <cell r="E31">
            <v>1071084</v>
          </cell>
          <cell r="F31">
            <v>1302257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12600000</v>
          </cell>
        </row>
        <row r="31">
          <cell r="E31">
            <v>986442</v>
          </cell>
          <cell r="F31">
            <v>1121670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14000000</v>
          </cell>
        </row>
        <row r="32">
          <cell r="E32">
            <v>1036020</v>
          </cell>
          <cell r="F32">
            <v>1292677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1572846</v>
          </cell>
          <cell r="F32">
            <v>1762816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1740108</v>
          </cell>
          <cell r="F32">
            <v>1879263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12600000</v>
          </cell>
        </row>
        <row r="31">
          <cell r="E31">
            <v>1223262</v>
          </cell>
          <cell r="F31">
            <v>1886978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2">
          <cell r="A22">
            <v>16800000</v>
          </cell>
        </row>
        <row r="33">
          <cell r="E33">
            <v>2880934</v>
          </cell>
          <cell r="F33">
            <v>3213050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16800000</v>
          </cell>
        </row>
        <row r="32">
          <cell r="E32">
            <v>1115136</v>
          </cell>
          <cell r="F32">
            <v>3369696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15400000</v>
          </cell>
        </row>
        <row r="32">
          <cell r="E32">
            <v>3720516</v>
          </cell>
          <cell r="F32">
            <v>3921050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14000000</v>
          </cell>
        </row>
        <row r="32">
          <cell r="E32">
            <v>246960</v>
          </cell>
          <cell r="F32">
            <v>275256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16800000</v>
          </cell>
        </row>
        <row r="32">
          <cell r="E32">
            <v>6375401</v>
          </cell>
          <cell r="F32">
            <v>6856227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1">
          <cell r="E31">
            <v>5199504</v>
          </cell>
          <cell r="F31">
            <v>5468933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18900000</v>
          </cell>
        </row>
        <row r="30">
          <cell r="E30">
            <v>6255857</v>
          </cell>
          <cell r="F30">
            <v>6692357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1">
          <cell r="E31">
            <v>2504390</v>
          </cell>
          <cell r="F31">
            <v>7080317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4">
          <cell r="A24">
            <v>18900000</v>
          </cell>
        </row>
        <row r="37">
          <cell r="E37">
            <v>10166286</v>
          </cell>
          <cell r="F37">
            <v>11113073</v>
          </cell>
        </row>
      </sheetData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4">
          <cell r="A24">
            <v>14000000</v>
          </cell>
        </row>
        <row r="35">
          <cell r="E35">
            <v>4644685</v>
          </cell>
          <cell r="F35">
            <v>8385402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16800000</v>
          </cell>
        </row>
        <row r="34">
          <cell r="E34">
            <v>9557286</v>
          </cell>
          <cell r="F34">
            <v>12266723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5">
          <cell r="A25">
            <v>18200000</v>
          </cell>
        </row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14000000</v>
          </cell>
        </row>
        <row r="31">
          <cell r="E31">
            <v>5733720</v>
          </cell>
          <cell r="F31">
            <v>9710255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1">
          <cell r="E31">
            <v>15018451</v>
          </cell>
          <cell r="F31">
            <v>15700031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468000</v>
          </cell>
          <cell r="F32">
            <v>521755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1">
          <cell r="E31">
            <v>11951372</v>
          </cell>
          <cell r="F31">
            <v>13138354</v>
          </cell>
        </row>
      </sheetData>
      <sheetData sheetId="1"/>
      <sheetData sheetId="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1">
          <cell r="E31">
            <v>5883192</v>
          </cell>
          <cell r="F31">
            <v>14305517</v>
          </cell>
        </row>
      </sheetData>
      <sheetData sheetId="1"/>
      <sheetData sheetId="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5">
          <cell r="E35">
            <v>10130281</v>
          </cell>
          <cell r="F35">
            <v>15078890</v>
          </cell>
        </row>
      </sheetData>
      <sheetData sheetId="1"/>
      <sheetData sheetId="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21000000</v>
          </cell>
        </row>
        <row r="30">
          <cell r="E30">
            <v>17757370</v>
          </cell>
          <cell r="F30">
            <v>21473493</v>
          </cell>
        </row>
      </sheetData>
      <sheetData sheetId="1"/>
      <sheetData sheetId="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19600000</v>
          </cell>
        </row>
        <row r="30">
          <cell r="E30">
            <v>12298205</v>
          </cell>
          <cell r="F30">
            <v>20393108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5">
          <cell r="A15">
            <v>16800000</v>
          </cell>
        </row>
        <row r="29">
          <cell r="E29">
            <v>29865621</v>
          </cell>
          <cell r="F29">
            <v>31213618</v>
          </cell>
        </row>
      </sheetData>
      <sheetData sheetId="1" refreshError="1"/>
      <sheetData sheetId="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8848812</v>
          </cell>
          <cell r="F32">
            <v>18119313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0">
          <cell r="A20">
            <v>16800000</v>
          </cell>
        </row>
        <row r="31">
          <cell r="E31">
            <v>618648</v>
          </cell>
          <cell r="F31">
            <v>667526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13300000</v>
          </cell>
        </row>
        <row r="37">
          <cell r="E37">
            <v>491400</v>
          </cell>
          <cell r="F37">
            <v>577433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895356</v>
          </cell>
          <cell r="F32">
            <v>942062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891792</v>
          </cell>
          <cell r="F32">
            <v>955453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18200000</v>
          </cell>
        </row>
        <row r="32">
          <cell r="E32">
            <v>1296300</v>
          </cell>
          <cell r="F32">
            <v>1399851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6"/>
  <sheetViews>
    <sheetView tabSelected="1" view="pageBreakPreview" zoomScale="110" zoomScaleNormal="90" zoomScaleSheetLayoutView="11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I29" sqref="I29:I30"/>
    </sheetView>
  </sheetViews>
  <sheetFormatPr defaultRowHeight="12.75" x14ac:dyDescent="0.2"/>
  <cols>
    <col min="1" max="1" width="7.140625" customWidth="1"/>
    <col min="2" max="2" width="59.7109375" style="8" customWidth="1"/>
    <col min="3" max="3" width="15.140625" style="9" customWidth="1"/>
    <col min="4" max="4" width="28.140625" style="8" customWidth="1"/>
    <col min="5" max="5" width="13.85546875" customWidth="1"/>
    <col min="6" max="6" width="13.28515625" customWidth="1"/>
    <col min="7" max="7" width="11.85546875" customWidth="1"/>
    <col min="8" max="8" width="16.28515625" customWidth="1"/>
    <col min="9" max="9" width="15.5703125" customWidth="1"/>
    <col min="10" max="10" width="26.7109375" customWidth="1"/>
    <col min="11" max="11" width="10.140625" bestFit="1" customWidth="1"/>
  </cols>
  <sheetData>
    <row r="1" spans="1:11" ht="13.5" thickBot="1" x14ac:dyDescent="0.25">
      <c r="A1" s="53" t="s">
        <v>64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3.5" thickBot="1" x14ac:dyDescent="0.25">
      <c r="D2" s="51"/>
      <c r="E2" s="52"/>
      <c r="I2" s="1"/>
      <c r="J2" s="1"/>
      <c r="K2" s="1"/>
    </row>
    <row r="3" spans="1:11" ht="63.75" x14ac:dyDescent="0.2">
      <c r="A3" s="56" t="s">
        <v>0</v>
      </c>
      <c r="B3" s="54" t="s">
        <v>5</v>
      </c>
      <c r="C3" s="64" t="s">
        <v>9</v>
      </c>
      <c r="D3" s="60" t="s">
        <v>10</v>
      </c>
      <c r="E3" s="6" t="s">
        <v>42</v>
      </c>
      <c r="F3" s="3" t="s">
        <v>6</v>
      </c>
      <c r="G3" s="58" t="s">
        <v>1</v>
      </c>
      <c r="H3" s="59"/>
      <c r="I3" s="62" t="s">
        <v>7</v>
      </c>
      <c r="J3" s="49" t="s">
        <v>4</v>
      </c>
      <c r="K3" s="2"/>
    </row>
    <row r="4" spans="1:11" ht="13.5" thickBot="1" x14ac:dyDescent="0.25">
      <c r="A4" s="57"/>
      <c r="B4" s="55"/>
      <c r="C4" s="65"/>
      <c r="D4" s="61"/>
      <c r="E4" s="7" t="s">
        <v>2</v>
      </c>
      <c r="F4" s="4" t="s">
        <v>2</v>
      </c>
      <c r="G4" s="4" t="s">
        <v>3</v>
      </c>
      <c r="H4" s="5" t="s">
        <v>2</v>
      </c>
      <c r="I4" s="63"/>
      <c r="J4" s="50"/>
      <c r="K4" s="1"/>
    </row>
    <row r="5" spans="1:11" s="17" customFormat="1" ht="40.15" customHeight="1" x14ac:dyDescent="0.2">
      <c r="A5" s="23">
        <v>1</v>
      </c>
      <c r="B5" s="46" t="s">
        <v>20</v>
      </c>
      <c r="C5" s="10" t="s">
        <v>12</v>
      </c>
      <c r="D5" s="15" t="s">
        <v>13</v>
      </c>
      <c r="E5" s="24"/>
      <c r="F5" s="24"/>
      <c r="G5" s="25">
        <f>100%-F5/16800000</f>
        <v>1</v>
      </c>
      <c r="H5" s="24">
        <f>18200000-F5</f>
        <v>18200000</v>
      </c>
      <c r="I5" s="26"/>
      <c r="J5" s="11"/>
      <c r="K5" s="18"/>
    </row>
    <row r="6" spans="1:11" s="17" customFormat="1" ht="40.15" customHeight="1" x14ac:dyDescent="0.2">
      <c r="A6" s="23">
        <f t="shared" ref="A6:A44" si="0">A5+1</f>
        <v>2</v>
      </c>
      <c r="B6" s="46" t="s">
        <v>36</v>
      </c>
      <c r="C6" s="10" t="s">
        <v>12</v>
      </c>
      <c r="D6" s="15" t="s">
        <v>13</v>
      </c>
      <c r="E6" s="27"/>
      <c r="F6" s="27"/>
      <c r="G6" s="19">
        <f>100%-F6/19600000</f>
        <v>1</v>
      </c>
      <c r="H6" s="20">
        <f>18900000-F6</f>
        <v>18900000</v>
      </c>
      <c r="I6" s="26" t="e">
        <f>E6/F6</f>
        <v>#DIV/0!</v>
      </c>
      <c r="J6" s="11"/>
      <c r="K6"/>
    </row>
    <row r="7" spans="1:11" s="17" customFormat="1" ht="40.15" customHeight="1" x14ac:dyDescent="0.2">
      <c r="A7" s="23">
        <f t="shared" si="0"/>
        <v>3</v>
      </c>
      <c r="B7" s="46" t="s">
        <v>61</v>
      </c>
      <c r="C7" s="10" t="s">
        <v>59</v>
      </c>
      <c r="D7" s="15" t="s">
        <v>60</v>
      </c>
      <c r="E7" s="27">
        <f>[1]Паспорт!$E$32</f>
        <v>253260</v>
      </c>
      <c r="F7" s="27">
        <f>[1]Паспорт!$F$32</f>
        <v>301118</v>
      </c>
      <c r="G7" s="19">
        <f>100%-F7/[1]Паспорт!$A$21</f>
        <v>0.98207630952380953</v>
      </c>
      <c r="H7" s="20">
        <f>[1]Паспорт!$A$21-F7</f>
        <v>16498882</v>
      </c>
      <c r="I7" s="26">
        <f>E7/F7</f>
        <v>0.84106562875683288</v>
      </c>
      <c r="J7" s="11"/>
      <c r="K7" s="14"/>
    </row>
    <row r="8" spans="1:11" s="17" customFormat="1" ht="40.15" customHeight="1" x14ac:dyDescent="0.2">
      <c r="A8" s="23">
        <f t="shared" si="0"/>
        <v>4</v>
      </c>
      <c r="B8" s="46" t="s">
        <v>47</v>
      </c>
      <c r="C8" s="10"/>
      <c r="D8" s="15"/>
      <c r="E8" s="33">
        <f>[2]Паспорт!$E$32</f>
        <v>246960</v>
      </c>
      <c r="F8" s="24">
        <f>[2]Паспорт!$F$32</f>
        <v>275256</v>
      </c>
      <c r="G8" s="25">
        <f>100%-F8/[2]Паспорт!$A$21</f>
        <v>0.98033885714285718</v>
      </c>
      <c r="H8" s="24">
        <f>[2]Паспорт!$A$21-F8</f>
        <v>13724744</v>
      </c>
      <c r="I8" s="26">
        <f>E8/F8</f>
        <v>0.8972011509285901</v>
      </c>
      <c r="J8" s="11"/>
      <c r="K8" s="18"/>
    </row>
    <row r="9" spans="1:11" s="17" customFormat="1" ht="40.15" customHeight="1" x14ac:dyDescent="0.2">
      <c r="A9" s="23">
        <f t="shared" si="0"/>
        <v>5</v>
      </c>
      <c r="B9" s="46" t="s">
        <v>53</v>
      </c>
      <c r="C9" s="36" t="s">
        <v>12</v>
      </c>
      <c r="D9" s="35" t="s">
        <v>13</v>
      </c>
      <c r="E9" s="33">
        <f>[3]Паспорт!$E$32</f>
        <v>468000</v>
      </c>
      <c r="F9" s="24">
        <f>[3]Паспорт!$F$32</f>
        <v>521755</v>
      </c>
      <c r="G9" s="25">
        <f>100%-F9/[3]Паспорт!$A$21</f>
        <v>0.96611980519480523</v>
      </c>
      <c r="H9" s="24">
        <f>[3]Паспорт!$A$21-F9</f>
        <v>14878245</v>
      </c>
      <c r="I9" s="26">
        <f>E9/F9</f>
        <v>0.89697271707985549</v>
      </c>
      <c r="J9" s="11"/>
      <c r="K9" s="18"/>
    </row>
    <row r="10" spans="1:11" s="17" customFormat="1" ht="40.15" customHeight="1" x14ac:dyDescent="0.2">
      <c r="A10" s="23">
        <f t="shared" si="0"/>
        <v>6</v>
      </c>
      <c r="B10" s="46" t="s">
        <v>40</v>
      </c>
      <c r="C10" s="10"/>
      <c r="D10" s="15"/>
      <c r="E10" s="27">
        <f>[4]Лист1!$E$31</f>
        <v>449036</v>
      </c>
      <c r="F10" s="27">
        <f>[4]Лист1!$F$31</f>
        <v>524968</v>
      </c>
      <c r="G10" s="19">
        <f>100%-F10/15400000</f>
        <v>0.96591116883116879</v>
      </c>
      <c r="H10" s="20">
        <f>15400000-F10</f>
        <v>14875032</v>
      </c>
      <c r="I10" s="26">
        <f>E10/F10</f>
        <v>0.85535880282226728</v>
      </c>
      <c r="J10" s="11"/>
      <c r="K10" s="14"/>
    </row>
    <row r="11" spans="1:11" s="17" customFormat="1" ht="40.15" customHeight="1" x14ac:dyDescent="0.2">
      <c r="A11" s="23">
        <f t="shared" si="0"/>
        <v>7</v>
      </c>
      <c r="B11" s="46" t="s">
        <v>62</v>
      </c>
      <c r="C11" s="10" t="s">
        <v>12</v>
      </c>
      <c r="D11" s="15" t="s">
        <v>13</v>
      </c>
      <c r="E11" s="27">
        <f>[5]Паспорт!$E$31</f>
        <v>618648</v>
      </c>
      <c r="F11" s="27">
        <f>[5]Паспорт!$F$31</f>
        <v>667526</v>
      </c>
      <c r="G11" s="19">
        <f>100%-F11/[5]Паспорт!$A$20</f>
        <v>0.96026630952380954</v>
      </c>
      <c r="H11" s="20">
        <f>[5]Паспорт!$A$20-F11</f>
        <v>16132474</v>
      </c>
      <c r="I11" s="26">
        <f>E11/F11</f>
        <v>0.92677738395208575</v>
      </c>
      <c r="J11" s="11"/>
      <c r="K11" s="14"/>
    </row>
    <row r="12" spans="1:11" s="17" customFormat="1" ht="40.15" customHeight="1" x14ac:dyDescent="0.2">
      <c r="A12" s="23">
        <f t="shared" si="0"/>
        <v>8</v>
      </c>
      <c r="B12" s="47" t="s">
        <v>49</v>
      </c>
      <c r="C12" s="36" t="s">
        <v>12</v>
      </c>
      <c r="D12" s="35" t="s">
        <v>13</v>
      </c>
      <c r="E12" s="37">
        <f>[6]Паспорт!$E$37</f>
        <v>491400</v>
      </c>
      <c r="F12" s="37">
        <f>[6]Паспорт!$F$37</f>
        <v>577433</v>
      </c>
      <c r="G12" s="38">
        <f>100%-F12/[6]Паспорт!$A$21</f>
        <v>0.95658398496240604</v>
      </c>
      <c r="H12" s="43">
        <f>[6]Паспорт!$A$21-F12</f>
        <v>12722567</v>
      </c>
      <c r="I12" s="39">
        <f t="shared" ref="I12:I30" si="1">E12/F12</f>
        <v>0.85100782255257323</v>
      </c>
      <c r="J12" s="40"/>
      <c r="K12" s="41"/>
    </row>
    <row r="13" spans="1:11" s="14" customFormat="1" ht="40.15" customHeight="1" x14ac:dyDescent="0.2">
      <c r="A13" s="23">
        <f t="shared" si="0"/>
        <v>9</v>
      </c>
      <c r="B13" s="46" t="s">
        <v>54</v>
      </c>
      <c r="C13" s="10" t="s">
        <v>12</v>
      </c>
      <c r="D13" s="15" t="s">
        <v>13</v>
      </c>
      <c r="E13" s="27">
        <f>[7]Паспорт!$E$32</f>
        <v>895356</v>
      </c>
      <c r="F13" s="27">
        <f>[7]Паспорт!$F$32</f>
        <v>942062</v>
      </c>
      <c r="G13" s="19">
        <f>100%-F13/[7]Паспорт!$A$21</f>
        <v>0.94392488095238092</v>
      </c>
      <c r="H13" s="20">
        <f>[7]Паспорт!$A$21-F13</f>
        <v>15857938</v>
      </c>
      <c r="I13" s="26">
        <f t="shared" si="1"/>
        <v>0.95042152215034681</v>
      </c>
      <c r="J13" s="11"/>
    </row>
    <row r="14" spans="1:11" s="14" customFormat="1" ht="40.15" customHeight="1" x14ac:dyDescent="0.2">
      <c r="A14" s="23">
        <f t="shared" si="0"/>
        <v>10</v>
      </c>
      <c r="B14" s="46" t="s">
        <v>55</v>
      </c>
      <c r="C14" s="10" t="s">
        <v>58</v>
      </c>
      <c r="D14" s="15"/>
      <c r="E14" s="27">
        <f>[8]Паспорт!$E$32</f>
        <v>891792</v>
      </c>
      <c r="F14" s="27">
        <f>[8]Паспорт!$F$32</f>
        <v>955453</v>
      </c>
      <c r="G14" s="19">
        <f>100%-F14/[8]Паспорт!$A$21</f>
        <v>0.94312779761904764</v>
      </c>
      <c r="H14" s="20">
        <f>[8]Паспорт!$A$21-F14</f>
        <v>15844547</v>
      </c>
      <c r="I14" s="26">
        <f t="shared" si="1"/>
        <v>0.93337087224593984</v>
      </c>
      <c r="J14" s="11"/>
    </row>
    <row r="15" spans="1:11" s="14" customFormat="1" ht="40.15" customHeight="1" x14ac:dyDescent="0.2">
      <c r="A15" s="23">
        <f t="shared" si="0"/>
        <v>11</v>
      </c>
      <c r="B15" s="46" t="s">
        <v>25</v>
      </c>
      <c r="C15" s="10" t="s">
        <v>12</v>
      </c>
      <c r="D15" s="15" t="s">
        <v>13</v>
      </c>
      <c r="E15" s="27">
        <v>763476</v>
      </c>
      <c r="F15" s="27">
        <v>975569</v>
      </c>
      <c r="G15" s="19">
        <f>100%-F15/16800000</f>
        <v>0.94193041666666666</v>
      </c>
      <c r="H15" s="20">
        <f>16800000-F15</f>
        <v>15824431</v>
      </c>
      <c r="I15" s="26">
        <f t="shared" si="1"/>
        <v>0.78259559293089465</v>
      </c>
      <c r="J15" s="11"/>
    </row>
    <row r="16" spans="1:11" s="14" customFormat="1" ht="40.15" customHeight="1" x14ac:dyDescent="0.2">
      <c r="A16" s="23">
        <f t="shared" si="0"/>
        <v>12</v>
      </c>
      <c r="B16" s="46" t="s">
        <v>57</v>
      </c>
      <c r="C16" s="10"/>
      <c r="D16" s="15"/>
      <c r="E16" s="27">
        <f>[9]Паспорт!$E$32</f>
        <v>1296300</v>
      </c>
      <c r="F16" s="27">
        <f>[9]Паспорт!$F$32</f>
        <v>1399851</v>
      </c>
      <c r="G16" s="12">
        <f>100%-F16/[9]Паспорт!$A$21</f>
        <v>0.92308510989010983</v>
      </c>
      <c r="H16" s="13">
        <f>[9]Паспорт!$A$21-F16</f>
        <v>16800149</v>
      </c>
      <c r="I16" s="26">
        <f t="shared" si="1"/>
        <v>0.92602712717282054</v>
      </c>
      <c r="J16" s="11"/>
    </row>
    <row r="17" spans="1:11" s="14" customFormat="1" ht="40.15" customHeight="1" x14ac:dyDescent="0.2">
      <c r="A17" s="23">
        <f t="shared" si="0"/>
        <v>13</v>
      </c>
      <c r="B17" s="46" t="s">
        <v>35</v>
      </c>
      <c r="C17" s="10" t="s">
        <v>12</v>
      </c>
      <c r="D17" s="15" t="s">
        <v>13</v>
      </c>
      <c r="E17" s="27">
        <f>[10]Лист1!$E$30</f>
        <v>1140480</v>
      </c>
      <c r="F17" s="27">
        <f>[10]Лист1!$F$30</f>
        <v>1411002</v>
      </c>
      <c r="G17" s="12">
        <f>100%-F17/[10]Лист1!$A$19</f>
        <v>0.9224724175824176</v>
      </c>
      <c r="H17" s="13">
        <f>[10]Лист1!$A$19-F17</f>
        <v>16788998</v>
      </c>
      <c r="I17" s="26">
        <f t="shared" si="1"/>
        <v>0.80827667147176263</v>
      </c>
      <c r="J17" s="11"/>
      <c r="K17"/>
    </row>
    <row r="18" spans="1:11" s="14" customFormat="1" ht="40.15" customHeight="1" x14ac:dyDescent="0.2">
      <c r="A18" s="23">
        <f t="shared" si="0"/>
        <v>14</v>
      </c>
      <c r="B18" s="46" t="s">
        <v>46</v>
      </c>
      <c r="C18" s="10"/>
      <c r="D18" s="15"/>
      <c r="E18" s="34">
        <f>[11]Паспорт!$E$31</f>
        <v>1071084</v>
      </c>
      <c r="F18" s="30">
        <f>[11]Паспорт!$F$31</f>
        <v>1302257</v>
      </c>
      <c r="G18" s="29">
        <f>100%-F18/[11]Паспорт!$A$20</f>
        <v>0.91543785714285719</v>
      </c>
      <c r="H18" s="30">
        <f>[11]Паспорт!$A$20-F18</f>
        <v>14097743</v>
      </c>
      <c r="I18" s="26">
        <f t="shared" si="1"/>
        <v>0.82248281253239564</v>
      </c>
      <c r="J18" s="11"/>
      <c r="K18" s="18"/>
    </row>
    <row r="19" spans="1:11" s="14" customFormat="1" ht="40.15" customHeight="1" x14ac:dyDescent="0.2">
      <c r="A19" s="23">
        <f t="shared" si="0"/>
        <v>15</v>
      </c>
      <c r="B19" s="46" t="s">
        <v>29</v>
      </c>
      <c r="C19" s="10" t="s">
        <v>12</v>
      </c>
      <c r="D19" s="15" t="s">
        <v>13</v>
      </c>
      <c r="E19" s="27">
        <f>[12]Лист1!$E$31</f>
        <v>986442</v>
      </c>
      <c r="F19" s="27">
        <f>[12]Лист1!$F$31</f>
        <v>1121670</v>
      </c>
      <c r="G19" s="12">
        <f>100%-F19/[12]Лист1!$A$20</f>
        <v>0.91097857142857142</v>
      </c>
      <c r="H19" s="13">
        <f>[12]Лист1!$A$20-F19</f>
        <v>11478330</v>
      </c>
      <c r="I19" s="26">
        <f t="shared" si="1"/>
        <v>0.87944047714568452</v>
      </c>
      <c r="J19" s="11"/>
    </row>
    <row r="20" spans="1:11" s="22" customFormat="1" ht="45.6" customHeight="1" x14ac:dyDescent="0.2">
      <c r="A20" s="23">
        <f t="shared" si="0"/>
        <v>16</v>
      </c>
      <c r="B20" s="46" t="s">
        <v>30</v>
      </c>
      <c r="C20" s="10" t="s">
        <v>12</v>
      </c>
      <c r="D20" s="15" t="s">
        <v>13</v>
      </c>
      <c r="E20" s="27">
        <f>[13]Лист1!$E$32</f>
        <v>1036020</v>
      </c>
      <c r="F20" s="27">
        <f>[13]Лист1!$F$32</f>
        <v>1292677</v>
      </c>
      <c r="G20" s="12">
        <f>100%-F20/[13]Лист1!$A$21</f>
        <v>0.90766592857142858</v>
      </c>
      <c r="H20" s="13">
        <f>[13]Лист1!$A$21-F20</f>
        <v>12707323</v>
      </c>
      <c r="I20" s="26">
        <f t="shared" si="1"/>
        <v>0.80145310854915808</v>
      </c>
      <c r="J20" s="11"/>
      <c r="K20" s="14"/>
    </row>
    <row r="21" spans="1:11" s="14" customFormat="1" ht="40.15" customHeight="1" x14ac:dyDescent="0.2">
      <c r="A21" s="23">
        <f t="shared" si="0"/>
        <v>17</v>
      </c>
      <c r="B21" s="46" t="s">
        <v>43</v>
      </c>
      <c r="C21" s="10"/>
      <c r="D21" s="15"/>
      <c r="E21" s="33">
        <f>[14]Паспорт!$E$32</f>
        <v>1572846</v>
      </c>
      <c r="F21" s="24">
        <f>[14]Паспорт!$F$32</f>
        <v>1762816</v>
      </c>
      <c r="G21" s="29">
        <f>100%-F21/[14]Паспорт!$A$21</f>
        <v>0.88553142857142852</v>
      </c>
      <c r="H21" s="30">
        <f>[14]Паспорт!$A$21-F21</f>
        <v>13637184</v>
      </c>
      <c r="I21" s="26">
        <f t="shared" si="1"/>
        <v>0.8922349241214057</v>
      </c>
      <c r="J21" s="11"/>
      <c r="K21" s="18"/>
    </row>
    <row r="22" spans="1:11" s="14" customFormat="1" ht="40.15" customHeight="1" x14ac:dyDescent="0.2">
      <c r="A22" s="23">
        <f t="shared" si="0"/>
        <v>18</v>
      </c>
      <c r="B22" s="47" t="s">
        <v>50</v>
      </c>
      <c r="C22" s="36" t="s">
        <v>51</v>
      </c>
      <c r="D22" s="35" t="s">
        <v>52</v>
      </c>
      <c r="E22" s="33">
        <f>[15]Паспорт!$E$32</f>
        <v>1740108</v>
      </c>
      <c r="F22" s="33">
        <f>[15]Паспорт!$F$32</f>
        <v>1879263</v>
      </c>
      <c r="G22" s="44">
        <f>100%-F22/[15]Паспорт!$A$21</f>
        <v>0.87796993506493504</v>
      </c>
      <c r="H22" s="34">
        <f>[15]Паспорт!$A$21-F22</f>
        <v>13520737</v>
      </c>
      <c r="I22" s="39">
        <f t="shared" si="1"/>
        <v>0.92595235472629434</v>
      </c>
      <c r="J22" s="40"/>
      <c r="K22" s="42"/>
    </row>
    <row r="23" spans="1:11" s="14" customFormat="1" ht="40.15" customHeight="1" x14ac:dyDescent="0.2">
      <c r="A23" s="23">
        <f t="shared" si="0"/>
        <v>19</v>
      </c>
      <c r="B23" s="46" t="s">
        <v>22</v>
      </c>
      <c r="C23" s="10" t="s">
        <v>12</v>
      </c>
      <c r="D23" s="15" t="s">
        <v>13</v>
      </c>
      <c r="E23" s="28">
        <f>[16]Лист1!$E$31</f>
        <v>1223262</v>
      </c>
      <c r="F23" s="24">
        <f>[16]Лист1!$F$31</f>
        <v>1886978</v>
      </c>
      <c r="G23" s="29">
        <f>100%-F23/[16]Лист1!$A$20</f>
        <v>0.85023984126984131</v>
      </c>
      <c r="H23" s="30">
        <f>[16]Лист1!$A$20-F23</f>
        <v>10713022</v>
      </c>
      <c r="I23" s="26">
        <f t="shared" si="1"/>
        <v>0.64826510960912109</v>
      </c>
      <c r="J23" s="11"/>
      <c r="K23" s="16"/>
    </row>
    <row r="24" spans="1:11" s="14" customFormat="1" ht="40.15" customHeight="1" x14ac:dyDescent="0.2">
      <c r="A24" s="23">
        <f t="shared" si="0"/>
        <v>20</v>
      </c>
      <c r="B24" s="46" t="s">
        <v>48</v>
      </c>
      <c r="C24" s="10"/>
      <c r="D24" s="15"/>
      <c r="E24" s="33">
        <f>[17]Лист1!$E$33</f>
        <v>2880934</v>
      </c>
      <c r="F24" s="24">
        <f>[17]Лист1!$F$33</f>
        <v>3213050</v>
      </c>
      <c r="G24" s="29">
        <f>100%-F24/[17]Лист1!$A$22</f>
        <v>0.80874702380952379</v>
      </c>
      <c r="H24" s="30">
        <f>[17]Лист1!$A$22-F24</f>
        <v>13586950</v>
      </c>
      <c r="I24" s="26">
        <f t="shared" si="1"/>
        <v>0.89663528423149341</v>
      </c>
      <c r="J24" s="11"/>
      <c r="K24" s="18"/>
    </row>
    <row r="25" spans="1:11" s="14" customFormat="1" ht="40.15" customHeight="1" x14ac:dyDescent="0.2">
      <c r="A25" s="23">
        <f t="shared" si="0"/>
        <v>21</v>
      </c>
      <c r="B25" s="46" t="s">
        <v>18</v>
      </c>
      <c r="C25" s="10" t="s">
        <v>12</v>
      </c>
      <c r="D25" s="15" t="s">
        <v>13</v>
      </c>
      <c r="E25" s="28">
        <f>[18]Лист1!$E$32</f>
        <v>1115136</v>
      </c>
      <c r="F25" s="24">
        <f>[18]Лист1!$F$32</f>
        <v>3369696</v>
      </c>
      <c r="G25" s="29">
        <f>100%-F25/[18]Лист1!$A$21</f>
        <v>0.7994228571428571</v>
      </c>
      <c r="H25" s="30">
        <f>[18]Лист1!$A$21-F25</f>
        <v>13430304</v>
      </c>
      <c r="I25" s="26">
        <f t="shared" si="1"/>
        <v>0.33093074271388279</v>
      </c>
      <c r="J25" s="11"/>
      <c r="K25" s="16"/>
    </row>
    <row r="26" spans="1:11" s="14" customFormat="1" ht="40.15" customHeight="1" x14ac:dyDescent="0.2">
      <c r="A26" s="23">
        <f t="shared" si="0"/>
        <v>22</v>
      </c>
      <c r="B26" s="46" t="s">
        <v>26</v>
      </c>
      <c r="C26" s="10" t="s">
        <v>12</v>
      </c>
      <c r="D26" s="15" t="s">
        <v>13</v>
      </c>
      <c r="E26" s="27"/>
      <c r="F26" s="27">
        <v>3080000</v>
      </c>
      <c r="G26" s="12">
        <f>100%-F26/14000000</f>
        <v>0.78</v>
      </c>
      <c r="H26" s="13">
        <f>14000000-F26</f>
        <v>10920000</v>
      </c>
      <c r="I26" s="26">
        <f t="shared" si="1"/>
        <v>0</v>
      </c>
      <c r="J26" s="11"/>
    </row>
    <row r="27" spans="1:11" s="14" customFormat="1" ht="40.15" customHeight="1" x14ac:dyDescent="0.2">
      <c r="A27" s="23">
        <f t="shared" si="0"/>
        <v>23</v>
      </c>
      <c r="B27" s="46" t="s">
        <v>23</v>
      </c>
      <c r="C27" s="10" t="s">
        <v>12</v>
      </c>
      <c r="D27" s="15" t="s">
        <v>13</v>
      </c>
      <c r="E27" s="24"/>
      <c r="F27" s="24">
        <v>4055359</v>
      </c>
      <c r="G27" s="29">
        <f>100%-F27/16800000</f>
        <v>0.75860958333333328</v>
      </c>
      <c r="H27" s="30">
        <f>18900000-F27</f>
        <v>14844641</v>
      </c>
      <c r="I27" s="26">
        <f t="shared" si="1"/>
        <v>0</v>
      </c>
      <c r="J27" s="11"/>
    </row>
    <row r="28" spans="1:11" s="14" customFormat="1" ht="40.15" customHeight="1" x14ac:dyDescent="0.2">
      <c r="A28" s="23">
        <f t="shared" si="0"/>
        <v>24</v>
      </c>
      <c r="B28" s="46" t="s">
        <v>31</v>
      </c>
      <c r="C28" s="10" t="s">
        <v>14</v>
      </c>
      <c r="D28" s="15" t="s">
        <v>15</v>
      </c>
      <c r="E28" s="27">
        <f>[19]Лист1!$E$32</f>
        <v>3720516</v>
      </c>
      <c r="F28" s="27">
        <f>[19]Лист1!$F$32</f>
        <v>3921050</v>
      </c>
      <c r="G28" s="12">
        <f>100%-F28/[19]Лист1!$A$21</f>
        <v>0.74538636363636357</v>
      </c>
      <c r="H28" s="13">
        <f>[19]Лист1!$A$21-F28</f>
        <v>11478950</v>
      </c>
      <c r="I28" s="26">
        <f t="shared" si="1"/>
        <v>0.94885706634702438</v>
      </c>
      <c r="J28" s="11"/>
    </row>
    <row r="29" spans="1:11" s="14" customFormat="1" ht="40.15" customHeight="1" x14ac:dyDescent="0.2">
      <c r="A29" s="23">
        <f t="shared" si="0"/>
        <v>25</v>
      </c>
      <c r="B29" s="46" t="s">
        <v>44</v>
      </c>
      <c r="C29" s="10"/>
      <c r="D29" s="15"/>
      <c r="E29" s="33">
        <f>[20]Паспорт!$E$32</f>
        <v>6375401</v>
      </c>
      <c r="F29" s="33">
        <f>[20]Паспорт!$F$32</f>
        <v>6856227</v>
      </c>
      <c r="G29" s="31">
        <f>100%-F29/[20]Паспорт!$A$21</f>
        <v>0.59189124999999998</v>
      </c>
      <c r="H29" s="30">
        <f>[20]Паспорт!$A$21-F29</f>
        <v>9943773</v>
      </c>
      <c r="I29" s="26">
        <f t="shared" si="1"/>
        <v>0.92987017495190871</v>
      </c>
      <c r="J29" s="11"/>
      <c r="K29" s="16"/>
    </row>
    <row r="30" spans="1:11" s="14" customFormat="1" ht="40.15" customHeight="1" x14ac:dyDescent="0.2">
      <c r="A30" s="23">
        <f t="shared" si="0"/>
        <v>26</v>
      </c>
      <c r="B30" s="46" t="s">
        <v>63</v>
      </c>
      <c r="C30" s="10" t="s">
        <v>59</v>
      </c>
      <c r="D30" s="15"/>
      <c r="E30" s="27">
        <f>[21]Лист1!$E$31</f>
        <v>5199504</v>
      </c>
      <c r="F30" s="27">
        <f>[21]Лист1!$F$31</f>
        <v>5468933</v>
      </c>
      <c r="G30" s="12">
        <f>100%-F30/[21]Лист1!$A$20</f>
        <v>0.67446827380952379</v>
      </c>
      <c r="H30" s="13">
        <f>[21]Лист1!$A$20-F30</f>
        <v>11331067</v>
      </c>
      <c r="I30" s="26">
        <f t="shared" si="1"/>
        <v>0.95073463141713388</v>
      </c>
      <c r="J30" s="11"/>
    </row>
    <row r="31" spans="1:11" s="14" customFormat="1" ht="40.15" customHeight="1" x14ac:dyDescent="0.2">
      <c r="A31" s="23">
        <f t="shared" si="0"/>
        <v>27</v>
      </c>
      <c r="B31" s="46" t="s">
        <v>32</v>
      </c>
      <c r="C31" s="10" t="s">
        <v>12</v>
      </c>
      <c r="D31" s="15" t="s">
        <v>13</v>
      </c>
      <c r="E31" s="27">
        <f>[22]Лист1!$E$30</f>
        <v>6255857</v>
      </c>
      <c r="F31" s="27">
        <f>[22]Лист1!$F$30</f>
        <v>6692357</v>
      </c>
      <c r="G31" s="12">
        <f>100%-F31/[22]Лист1!$A$19</f>
        <v>0.645907037037037</v>
      </c>
      <c r="H31" s="13">
        <f>[22]Лист1!$A$19-F31</f>
        <v>12207643</v>
      </c>
      <c r="I31" s="26">
        <f t="shared" ref="I31:I44" si="2">E31/F31</f>
        <v>0.93477634262487785</v>
      </c>
      <c r="J31" s="11"/>
    </row>
    <row r="32" spans="1:11" s="14" customFormat="1" ht="40.15" customHeight="1" x14ac:dyDescent="0.2">
      <c r="A32" s="23">
        <f t="shared" si="0"/>
        <v>28</v>
      </c>
      <c r="B32" s="46" t="s">
        <v>27</v>
      </c>
      <c r="C32" s="10" t="s">
        <v>12</v>
      </c>
      <c r="D32" s="15" t="s">
        <v>13</v>
      </c>
      <c r="E32" s="32">
        <f>[23]Лист1!$E$31</f>
        <v>2504390</v>
      </c>
      <c r="F32" s="27">
        <f>[23]Лист1!$F$31</f>
        <v>7080317</v>
      </c>
      <c r="G32" s="12">
        <f>100%-F32/[23]Лист1!$A$20</f>
        <v>0.57855255952380946</v>
      </c>
      <c r="H32" s="13">
        <f>[23]Лист1!$A$20-F32</f>
        <v>9719683</v>
      </c>
      <c r="I32" s="26">
        <f t="shared" si="2"/>
        <v>0.35371156404437826</v>
      </c>
      <c r="J32" s="11"/>
    </row>
    <row r="33" spans="1:11" ht="40.15" customHeight="1" x14ac:dyDescent="0.2">
      <c r="A33" s="23">
        <f t="shared" si="0"/>
        <v>29</v>
      </c>
      <c r="B33" s="46" t="s">
        <v>33</v>
      </c>
      <c r="C33" s="10" t="s">
        <v>12</v>
      </c>
      <c r="D33" s="15" t="s">
        <v>13</v>
      </c>
      <c r="E33" s="27">
        <f>[24]Лист1!$E$37</f>
        <v>10166286</v>
      </c>
      <c r="F33" s="27">
        <f>[24]Лист1!$F$37</f>
        <v>11113073</v>
      </c>
      <c r="G33" s="12">
        <f>100%-F33/[24]Лист1!$A$24</f>
        <v>0.41200671957671953</v>
      </c>
      <c r="H33" s="13">
        <f>[24]Лист1!$A$24-F33</f>
        <v>7786927</v>
      </c>
      <c r="I33" s="26">
        <f t="shared" si="2"/>
        <v>0.91480421302010706</v>
      </c>
      <c r="J33" s="11"/>
      <c r="K33" s="14"/>
    </row>
    <row r="34" spans="1:11" ht="40.15" customHeight="1" x14ac:dyDescent="0.2">
      <c r="A34" s="23">
        <f t="shared" si="0"/>
        <v>30</v>
      </c>
      <c r="B34" s="46" t="s">
        <v>16</v>
      </c>
      <c r="C34" s="10" t="s">
        <v>12</v>
      </c>
      <c r="D34" s="15" t="s">
        <v>13</v>
      </c>
      <c r="E34" s="28">
        <f>[25]Лист1!$E$35</f>
        <v>4644685</v>
      </c>
      <c r="F34" s="24">
        <f>[25]Лист1!$F$35</f>
        <v>8385402</v>
      </c>
      <c r="G34" s="31">
        <f>100%-F34/[25]Лист1!$A$24</f>
        <v>0.40104271428571425</v>
      </c>
      <c r="H34" s="30">
        <f>[25]Лист1!$A$24-F34</f>
        <v>5614598</v>
      </c>
      <c r="I34" s="26">
        <f t="shared" si="2"/>
        <v>0.55390129179256997</v>
      </c>
      <c r="J34" s="11"/>
      <c r="K34" s="16"/>
    </row>
    <row r="35" spans="1:11" ht="40.15" customHeight="1" x14ac:dyDescent="0.2">
      <c r="A35" s="23">
        <f t="shared" si="0"/>
        <v>31</v>
      </c>
      <c r="B35" s="46" t="s">
        <v>41</v>
      </c>
      <c r="C35" s="10" t="s">
        <v>12</v>
      </c>
      <c r="D35" s="15" t="s">
        <v>13</v>
      </c>
      <c r="E35" s="32">
        <f>[26]Лист1!$E$34</f>
        <v>9557286</v>
      </c>
      <c r="F35" s="27">
        <f>[26]Лист1!$F$34</f>
        <v>12266723</v>
      </c>
      <c r="G35" s="12">
        <f>100%-F35/[26]Лист1!$A$19</f>
        <v>0.26983791666666668</v>
      </c>
      <c r="H35" s="13">
        <f>[26]Лист1!$A$19-F35</f>
        <v>4533277</v>
      </c>
      <c r="I35" s="26">
        <f t="shared" si="2"/>
        <v>0.77912299804927532</v>
      </c>
      <c r="J35" s="11"/>
      <c r="K35" s="14"/>
    </row>
    <row r="36" spans="1:11" s="41" customFormat="1" ht="40.15" customHeight="1" x14ac:dyDescent="0.2">
      <c r="A36" s="23">
        <f t="shared" si="0"/>
        <v>32</v>
      </c>
      <c r="B36" s="46" t="s">
        <v>34</v>
      </c>
      <c r="C36" s="10" t="s">
        <v>12</v>
      </c>
      <c r="D36" s="15" t="s">
        <v>13</v>
      </c>
      <c r="E36" s="24">
        <f>[27]Лист1!$E$39</f>
        <v>11248736</v>
      </c>
      <c r="F36" s="24">
        <f>[27]Лист1!$F$39</f>
        <v>12230442</v>
      </c>
      <c r="G36" s="29">
        <f>100%-F36/[27]Лист1!$A$25</f>
        <v>0.32799769230769227</v>
      </c>
      <c r="H36" s="30">
        <f>[27]Лист1!$A$25-F36</f>
        <v>5969558</v>
      </c>
      <c r="I36" s="26">
        <f t="shared" si="2"/>
        <v>0.91973258202769781</v>
      </c>
      <c r="J36" s="11"/>
      <c r="K36" s="16"/>
    </row>
    <row r="37" spans="1:11" ht="40.15" customHeight="1" x14ac:dyDescent="0.2">
      <c r="A37" s="23">
        <f t="shared" si="0"/>
        <v>33</v>
      </c>
      <c r="B37" s="46" t="s">
        <v>38</v>
      </c>
      <c r="C37" s="10" t="s">
        <v>12</v>
      </c>
      <c r="D37" s="15" t="s">
        <v>13</v>
      </c>
      <c r="E37" s="32">
        <f>[28]Лист1!$E$31</f>
        <v>5733720</v>
      </c>
      <c r="F37" s="27">
        <f>[28]Лист1!$F$31</f>
        <v>9710255</v>
      </c>
      <c r="G37" s="12">
        <f>100%-F37/[28]Лист1!$A$20</f>
        <v>0.30641035714285714</v>
      </c>
      <c r="H37" s="13">
        <f>[28]Лист1!$A$20-F37</f>
        <v>4289745</v>
      </c>
      <c r="I37" s="26">
        <f t="shared" si="2"/>
        <v>0.59048088850395797</v>
      </c>
      <c r="J37" s="11"/>
      <c r="K37" s="14"/>
    </row>
    <row r="38" spans="1:11" ht="40.15" customHeight="1" x14ac:dyDescent="0.2">
      <c r="A38" s="23">
        <f t="shared" si="0"/>
        <v>34</v>
      </c>
      <c r="B38" s="46" t="s">
        <v>39</v>
      </c>
      <c r="C38" s="10" t="s">
        <v>12</v>
      </c>
      <c r="D38" s="15" t="s">
        <v>13</v>
      </c>
      <c r="E38" s="24">
        <f>[29]Лист1!$E$31</f>
        <v>15018451</v>
      </c>
      <c r="F38" s="24">
        <f>[29]Лист1!$F$31</f>
        <v>15700031</v>
      </c>
      <c r="G38" s="29">
        <f>100%-F38/[29]Лист1!$A$20</f>
        <v>6.5474345238095255E-2</v>
      </c>
      <c r="H38" s="30">
        <f>[29]Лист1!$A$20-F38</f>
        <v>1099969</v>
      </c>
      <c r="I38" s="26">
        <f t="shared" si="2"/>
        <v>0.9565873468657482</v>
      </c>
      <c r="J38" s="11"/>
      <c r="K38" s="16"/>
    </row>
    <row r="39" spans="1:11" ht="40.15" customHeight="1" x14ac:dyDescent="0.2">
      <c r="A39" s="23">
        <f t="shared" si="0"/>
        <v>35</v>
      </c>
      <c r="B39" s="46" t="s">
        <v>21</v>
      </c>
      <c r="C39" s="10" t="s">
        <v>12</v>
      </c>
      <c r="D39" s="15" t="s">
        <v>13</v>
      </c>
      <c r="E39" s="24">
        <f>[30]Лист1!$E$31</f>
        <v>11951372</v>
      </c>
      <c r="F39" s="24">
        <f>[30]Лист1!$F$31</f>
        <v>13138354</v>
      </c>
      <c r="G39" s="29">
        <f>100%-F39/[30]Лист1!$A$20</f>
        <v>0.21795511904761899</v>
      </c>
      <c r="H39" s="30">
        <f>[30]Лист1!$A$20-F39</f>
        <v>3661646</v>
      </c>
      <c r="I39" s="26">
        <f t="shared" si="2"/>
        <v>0.90965519729488187</v>
      </c>
      <c r="J39" s="11"/>
      <c r="K39" s="16"/>
    </row>
    <row r="40" spans="1:11" ht="40.15" customHeight="1" x14ac:dyDescent="0.2">
      <c r="A40" s="23">
        <f t="shared" si="0"/>
        <v>36</v>
      </c>
      <c r="B40" s="46" t="s">
        <v>24</v>
      </c>
      <c r="C40" s="10" t="s">
        <v>12</v>
      </c>
      <c r="D40" s="15" t="s">
        <v>13</v>
      </c>
      <c r="E40" s="32">
        <f>[31]Лист1!$E$31</f>
        <v>5883192</v>
      </c>
      <c r="F40" s="27">
        <f>[31]Лист1!$F$31</f>
        <v>14305517</v>
      </c>
      <c r="G40" s="12">
        <f>100%-F40/[31]Лист1!$A$20</f>
        <v>0.14848113095238091</v>
      </c>
      <c r="H40" s="13">
        <f>[31]Лист1!$A$20-F40</f>
        <v>2494483</v>
      </c>
      <c r="I40" s="26">
        <f t="shared" si="2"/>
        <v>0.41125336469838875</v>
      </c>
      <c r="J40" s="11"/>
      <c r="K40" s="14"/>
    </row>
    <row r="41" spans="1:11" ht="40.15" customHeight="1" x14ac:dyDescent="0.2">
      <c r="A41" s="23">
        <f t="shared" si="0"/>
        <v>37</v>
      </c>
      <c r="B41" s="47" t="s">
        <v>28</v>
      </c>
      <c r="C41" s="36" t="s">
        <v>12</v>
      </c>
      <c r="D41" s="35" t="s">
        <v>13</v>
      </c>
      <c r="E41" s="32">
        <f>[32]Лист1!$E$35</f>
        <v>10130281</v>
      </c>
      <c r="F41" s="37">
        <f>[32]Лист1!$F$35</f>
        <v>15078890</v>
      </c>
      <c r="G41" s="38">
        <f>100%-F41/[32]Лист1!$A$20</f>
        <v>0.10244702380952386</v>
      </c>
      <c r="H41" s="43">
        <f>[32]Лист1!$A$20-F41</f>
        <v>1721110</v>
      </c>
      <c r="I41" s="48">
        <f t="shared" si="2"/>
        <v>0.67181874793171115</v>
      </c>
      <c r="J41" s="40"/>
      <c r="K41" s="14"/>
    </row>
    <row r="42" spans="1:11" ht="40.15" customHeight="1" x14ac:dyDescent="0.2">
      <c r="A42" s="23">
        <f t="shared" si="0"/>
        <v>38</v>
      </c>
      <c r="B42" s="46" t="s">
        <v>37</v>
      </c>
      <c r="C42" s="10" t="s">
        <v>12</v>
      </c>
      <c r="D42" s="15" t="s">
        <v>13</v>
      </c>
      <c r="E42" s="27">
        <f>[33]Лист1!$E$30</f>
        <v>17757370</v>
      </c>
      <c r="F42" s="27">
        <f>[33]Лист1!$F$30</f>
        <v>21473493</v>
      </c>
      <c r="G42" s="19">
        <f>100%-F42/[33]Лист1!$A$19</f>
        <v>-2.2547285714285659E-2</v>
      </c>
      <c r="H42" s="20">
        <f>[33]Лист1!$A$19-F42</f>
        <v>-473493</v>
      </c>
      <c r="I42" s="26">
        <f t="shared" si="2"/>
        <v>0.82694371148652901</v>
      </c>
      <c r="J42" s="11"/>
      <c r="K42" s="14"/>
    </row>
    <row r="43" spans="1:11" ht="40.15" customHeight="1" x14ac:dyDescent="0.2">
      <c r="A43" s="23">
        <f t="shared" si="0"/>
        <v>39</v>
      </c>
      <c r="B43" s="46" t="s">
        <v>17</v>
      </c>
      <c r="C43" s="10" t="s">
        <v>12</v>
      </c>
      <c r="D43" s="15" t="s">
        <v>13</v>
      </c>
      <c r="E43" s="28">
        <f>[34]Лист1!$E$30</f>
        <v>12298205</v>
      </c>
      <c r="F43" s="24">
        <f>[34]Лист1!$F$30</f>
        <v>20393108</v>
      </c>
      <c r="G43" s="25">
        <f>100%-F43/[34]Лист1!$A$19</f>
        <v>-4.0464693877551028E-2</v>
      </c>
      <c r="H43" s="24">
        <f>[34]Лист1!$A$19-F43</f>
        <v>-793108</v>
      </c>
      <c r="I43" s="26">
        <f t="shared" si="2"/>
        <v>0.60305692491796736</v>
      </c>
      <c r="J43" s="11"/>
      <c r="K43" s="16"/>
    </row>
    <row r="44" spans="1:11" s="41" customFormat="1" ht="40.15" customHeight="1" x14ac:dyDescent="0.2">
      <c r="A44" s="23">
        <f t="shared" si="0"/>
        <v>40</v>
      </c>
      <c r="B44" s="46" t="s">
        <v>45</v>
      </c>
      <c r="C44" s="10" t="s">
        <v>12</v>
      </c>
      <c r="D44" s="15" t="s">
        <v>13</v>
      </c>
      <c r="E44" s="27">
        <f>[35]Лист1!$E$29</f>
        <v>29865621</v>
      </c>
      <c r="F44" s="27">
        <f>[35]Лист1!$F$29</f>
        <v>31213618</v>
      </c>
      <c r="G44" s="19">
        <f>100%-F44/[35]Лист1!$A$15</f>
        <v>-0.85795345238095244</v>
      </c>
      <c r="H44" s="13">
        <f>[35]Лист1!$A$15-F44</f>
        <v>-14413618</v>
      </c>
      <c r="I44" s="26">
        <f t="shared" si="2"/>
        <v>0.95681381760999318</v>
      </c>
      <c r="J44" s="11"/>
      <c r="K44" s="14"/>
    </row>
    <row r="46" spans="1:11" x14ac:dyDescent="0.2">
      <c r="E46" s="45" t="s">
        <v>56</v>
      </c>
      <c r="F46" s="45"/>
      <c r="G46" s="45"/>
      <c r="H46" s="45"/>
    </row>
  </sheetData>
  <autoFilter ref="A3:K19" xr:uid="{00000000-0009-0000-0000-000000000000}">
    <filterColumn colId="6" showButton="0"/>
    <sortState ref="A6:K44">
      <sortCondition descending="1" ref="G3:G19"/>
    </sortState>
  </autoFilter>
  <mergeCells count="9">
    <mergeCell ref="J3:J4"/>
    <mergeCell ref="D2:E2"/>
    <mergeCell ref="A1:J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4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"/>
  <sheetViews>
    <sheetView zoomScale="80" zoomScaleNormal="80" workbookViewId="0">
      <selection sqref="A1:XFD2"/>
    </sheetView>
  </sheetViews>
  <sheetFormatPr defaultRowHeight="12.75" x14ac:dyDescent="0.2"/>
  <cols>
    <col min="1" max="1" width="7.140625" customWidth="1"/>
    <col min="2" max="2" width="66.28515625" customWidth="1"/>
    <col min="3" max="3" width="15.140625" style="9" customWidth="1"/>
    <col min="4" max="4" width="28.140625" style="8" customWidth="1"/>
    <col min="5" max="5" width="13.85546875" customWidth="1"/>
    <col min="6" max="6" width="13.28515625" customWidth="1"/>
    <col min="7" max="7" width="11.85546875" customWidth="1"/>
    <col min="8" max="8" width="16.28515625" customWidth="1"/>
    <col min="9" max="9" width="15.5703125" customWidth="1"/>
    <col min="10" max="10" width="26.7109375" customWidth="1"/>
    <col min="11" max="11" width="13.140625" customWidth="1"/>
    <col min="12" max="12" width="10.140625" bestFit="1" customWidth="1"/>
  </cols>
  <sheetData>
    <row r="1" spans="1:12" ht="71.45" customHeight="1" x14ac:dyDescent="0.2">
      <c r="A1" s="56" t="s">
        <v>0</v>
      </c>
      <c r="B1" s="54" t="s">
        <v>5</v>
      </c>
      <c r="C1" s="64" t="s">
        <v>9</v>
      </c>
      <c r="D1" s="60" t="s">
        <v>10</v>
      </c>
      <c r="E1" s="6" t="s">
        <v>42</v>
      </c>
      <c r="F1" s="3" t="s">
        <v>6</v>
      </c>
      <c r="G1" s="58" t="s">
        <v>1</v>
      </c>
      <c r="H1" s="59"/>
      <c r="I1" s="62" t="s">
        <v>7</v>
      </c>
      <c r="J1" s="49" t="s">
        <v>4</v>
      </c>
      <c r="K1" s="66" t="s">
        <v>8</v>
      </c>
      <c r="L1" s="2"/>
    </row>
    <row r="2" spans="1:12" ht="13.5" thickBot="1" x14ac:dyDescent="0.25">
      <c r="A2" s="57"/>
      <c r="B2" s="55"/>
      <c r="C2" s="65"/>
      <c r="D2" s="61"/>
      <c r="E2" s="7" t="s">
        <v>2</v>
      </c>
      <c r="F2" s="4" t="s">
        <v>2</v>
      </c>
      <c r="G2" s="4" t="s">
        <v>3</v>
      </c>
      <c r="H2" s="5" t="s">
        <v>2</v>
      </c>
      <c r="I2" s="63"/>
      <c r="J2" s="50"/>
      <c r="K2" s="67"/>
      <c r="L2" s="1"/>
    </row>
    <row r="3" spans="1:12" ht="42.75" x14ac:dyDescent="0.2">
      <c r="A3" s="23" t="e">
        <f>#REF!+1</f>
        <v>#REF!</v>
      </c>
      <c r="B3" s="21" t="s">
        <v>19</v>
      </c>
      <c r="C3" s="10" t="s">
        <v>12</v>
      </c>
      <c r="D3" s="15" t="s">
        <v>13</v>
      </c>
      <c r="E3" s="28">
        <f>[36]Лист1!$E$32</f>
        <v>8848812</v>
      </c>
      <c r="F3" s="24">
        <f>[36]Лист1!$F$32</f>
        <v>18119313</v>
      </c>
      <c r="G3" s="29">
        <f>100%-F3/18200000</f>
        <v>4.4333516483516799E-3</v>
      </c>
      <c r="H3" s="30">
        <f>18200000-F3</f>
        <v>80687</v>
      </c>
      <c r="I3" s="26">
        <f t="shared" ref="I3" si="0">E3/F3</f>
        <v>0.4883635488828964</v>
      </c>
      <c r="J3" s="11"/>
      <c r="K3" s="10" t="s">
        <v>11</v>
      </c>
      <c r="L3" s="18"/>
    </row>
  </sheetData>
  <mergeCells count="8">
    <mergeCell ref="I1:I2"/>
    <mergeCell ref="J1:J2"/>
    <mergeCell ref="K1:K2"/>
    <mergeCell ref="A1:A2"/>
    <mergeCell ref="B1:B2"/>
    <mergeCell ref="C1:C2"/>
    <mergeCell ref="D1:D2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Выработка формокомплектов</vt:lpstr>
      <vt:lpstr>Списанные формокомплекты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i.yanuchkovskaya</cp:lastModifiedBy>
  <cp:lastPrinted>2020-05-07T07:36:31Z</cp:lastPrinted>
  <dcterms:created xsi:type="dcterms:W3CDTF">2005-06-28T07:56:17Z</dcterms:created>
  <dcterms:modified xsi:type="dcterms:W3CDTF">2020-05-07T07:37:07Z</dcterms:modified>
</cp:coreProperties>
</file>