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Таблица выработки  ф-тов\"/>
    </mc:Choice>
  </mc:AlternateContent>
  <xr:revisionPtr revIDLastSave="0" documentId="13_ncr:1_{9787D651-20EB-41A5-81A2-7C2A287B215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Выработка формокомплектов" sheetId="1" r:id="rId1"/>
    <sheet name="На списание" sheetId="3" r:id="rId2"/>
    <sheet name="Списанные формокомплекты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</externalReferences>
  <definedNames>
    <definedName name="_xlnm._FilterDatabase" localSheetId="0" hidden="1">'Выработка формокомплектов'!$A$3:$K$21</definedName>
    <definedName name="_xlnm.Print_Area" localSheetId="0">'Выработка формокомплектов'!$A$1:$J$57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1" l="1"/>
  <c r="E47" i="1"/>
  <c r="H47" i="1" l="1"/>
  <c r="G47" i="1" l="1"/>
  <c r="G7" i="1" l="1"/>
  <c r="H7" i="1"/>
  <c r="F7" i="1"/>
  <c r="E7" i="1"/>
  <c r="I7" i="1" s="1"/>
  <c r="H15" i="1" l="1"/>
  <c r="G15" i="1"/>
  <c r="F15" i="1"/>
  <c r="E15" i="1"/>
  <c r="I15" i="1" l="1"/>
  <c r="G36" i="1"/>
  <c r="H36" i="1"/>
  <c r="F36" i="1"/>
  <c r="E36" i="1"/>
  <c r="F51" i="1" l="1"/>
  <c r="E51" i="1"/>
  <c r="H8" i="1" l="1"/>
  <c r="G8" i="1"/>
  <c r="F8" i="1"/>
  <c r="E8" i="1"/>
  <c r="I8" i="1" l="1"/>
  <c r="G54" i="1"/>
  <c r="H54" i="1"/>
  <c r="F54" i="1"/>
  <c r="E54" i="1"/>
  <c r="F4" i="3" l="1"/>
  <c r="H4" i="3" s="1"/>
  <c r="E4" i="3"/>
  <c r="A6" i="2"/>
  <c r="H6" i="2"/>
  <c r="G6" i="2"/>
  <c r="F6" i="2"/>
  <c r="E6" i="2"/>
  <c r="F5" i="2"/>
  <c r="G5" i="2" s="1"/>
  <c r="E5" i="2"/>
  <c r="A5" i="2"/>
  <c r="H23" i="1"/>
  <c r="G23" i="1"/>
  <c r="F23" i="1"/>
  <c r="E23" i="1"/>
  <c r="I4" i="3" l="1"/>
  <c r="I6" i="2"/>
  <c r="I23" i="1"/>
  <c r="I5" i="2"/>
  <c r="G4" i="3"/>
  <c r="H5" i="2"/>
  <c r="H20" i="1"/>
  <c r="G20" i="1"/>
  <c r="F20" i="1"/>
  <c r="E20" i="1"/>
  <c r="I20" i="1" l="1"/>
  <c r="H12" i="1" l="1"/>
  <c r="G12" i="1"/>
  <c r="F12" i="1"/>
  <c r="E12" i="1"/>
  <c r="I12" i="1" l="1"/>
  <c r="G39" i="1"/>
  <c r="H39" i="1"/>
  <c r="F39" i="1"/>
  <c r="E39" i="1"/>
  <c r="I39" i="1" l="1"/>
  <c r="H46" i="1"/>
  <c r="G46" i="1"/>
  <c r="H3" i="3" l="1"/>
  <c r="G3" i="3"/>
  <c r="F3" i="3"/>
  <c r="E3" i="3"/>
  <c r="A4" i="3"/>
  <c r="H50" i="1"/>
  <c r="G50" i="1"/>
  <c r="F50" i="1"/>
  <c r="E50" i="1"/>
  <c r="I3" i="3" l="1"/>
  <c r="A4" i="2" l="1"/>
  <c r="F4" i="2"/>
  <c r="H4" i="2" s="1"/>
  <c r="E4" i="2"/>
  <c r="I6" i="1"/>
  <c r="H55" i="1"/>
  <c r="G55" i="1"/>
  <c r="F55" i="1"/>
  <c r="E55" i="1"/>
  <c r="I4" i="2" l="1"/>
  <c r="G4" i="2"/>
  <c r="F53" i="1" l="1"/>
  <c r="H53" i="1" s="1"/>
  <c r="E53" i="1"/>
  <c r="H10" i="1" l="1"/>
  <c r="G10" i="1"/>
  <c r="F10" i="1"/>
  <c r="E10" i="1"/>
  <c r="I10" i="1" l="1"/>
  <c r="H19" i="1"/>
  <c r="G19" i="1"/>
  <c r="F19" i="1"/>
  <c r="E19" i="1"/>
  <c r="I19" i="1" l="1"/>
  <c r="H34" i="1"/>
  <c r="G34" i="1"/>
  <c r="F34" i="1"/>
  <c r="E34" i="1"/>
  <c r="I55" i="1" l="1"/>
  <c r="F48" i="1"/>
  <c r="E48" i="1"/>
  <c r="H52" i="1" l="1"/>
  <c r="G52" i="1"/>
  <c r="F52" i="1"/>
  <c r="E52" i="1"/>
  <c r="H21" i="1" l="1"/>
  <c r="G21" i="1"/>
  <c r="F21" i="1"/>
  <c r="E21" i="1"/>
  <c r="F42" i="1" l="1"/>
  <c r="E42" i="1"/>
  <c r="H42" i="1" l="1"/>
  <c r="G42" i="1" l="1"/>
  <c r="H11" i="1" l="1"/>
  <c r="G11" i="1"/>
  <c r="F11" i="1"/>
  <c r="E11" i="1"/>
  <c r="I11" i="1" l="1"/>
  <c r="F46" i="1" l="1"/>
  <c r="E46" i="1"/>
  <c r="I47" i="1" l="1"/>
  <c r="I52" i="1"/>
  <c r="F49" i="1"/>
  <c r="H49" i="1" s="1"/>
  <c r="E49" i="1"/>
  <c r="I49" i="1" l="1"/>
  <c r="G49" i="1"/>
  <c r="F24" i="1" l="1"/>
  <c r="H24" i="1" s="1"/>
  <c r="E24" i="1"/>
  <c r="I24" i="1" l="1"/>
  <c r="G24" i="1"/>
  <c r="F13" i="1"/>
  <c r="G13" i="1" s="1"/>
  <c r="E13" i="1"/>
  <c r="I13" i="1" l="1"/>
  <c r="H13" i="1"/>
  <c r="F22" i="1" l="1"/>
  <c r="H22" i="1" s="1"/>
  <c r="E22" i="1"/>
  <c r="I22" i="1" l="1"/>
  <c r="G22" i="1"/>
  <c r="F44" i="1" l="1"/>
  <c r="G44" i="1" s="1"/>
  <c r="E44" i="1"/>
  <c r="H44" i="1" l="1"/>
  <c r="F32" i="1"/>
  <c r="G32" i="1" s="1"/>
  <c r="E32" i="1"/>
  <c r="H32" i="1" l="1"/>
  <c r="H51" i="1"/>
  <c r="G51" i="1" l="1"/>
  <c r="I51" i="1"/>
  <c r="F41" i="1" l="1"/>
  <c r="H41" i="1" s="1"/>
  <c r="E41" i="1"/>
  <c r="I41" i="1" l="1"/>
  <c r="G41" i="1"/>
  <c r="F25" i="1" l="1"/>
  <c r="H25" i="1" s="1"/>
  <c r="E25" i="1"/>
  <c r="I25" i="1" l="1"/>
  <c r="G25" i="1"/>
  <c r="F9" i="1" l="1"/>
  <c r="G9" i="1" s="1"/>
  <c r="E9" i="1"/>
  <c r="H9" i="1" l="1"/>
  <c r="F17" i="1" l="1"/>
  <c r="H17" i="1" s="1"/>
  <c r="E17" i="1"/>
  <c r="F30" i="1"/>
  <c r="H30" i="1" s="1"/>
  <c r="E30" i="1"/>
  <c r="I17" i="1" l="1"/>
  <c r="G17" i="1"/>
  <c r="G30" i="1"/>
  <c r="F3" i="2" l="1"/>
  <c r="G3" i="2" s="1"/>
  <c r="E3" i="2"/>
  <c r="I3" i="2" l="1"/>
  <c r="H3" i="2"/>
  <c r="F16" i="1"/>
  <c r="G16" i="1" s="1"/>
  <c r="E16" i="1"/>
  <c r="F31" i="1"/>
  <c r="E31" i="1"/>
  <c r="H31" i="1" l="1"/>
  <c r="G31" i="1"/>
  <c r="H16" i="1"/>
  <c r="F26" i="1"/>
  <c r="E26" i="1"/>
  <c r="H26" i="1" l="1"/>
  <c r="G26" i="1"/>
  <c r="I26" i="1"/>
  <c r="F40" i="1"/>
  <c r="E40" i="1"/>
  <c r="H40" i="1" l="1"/>
  <c r="G40" i="1"/>
  <c r="I9" i="1"/>
  <c r="F27" i="1"/>
  <c r="E27" i="1"/>
  <c r="H27" i="1" l="1"/>
  <c r="G27" i="1"/>
  <c r="I27" i="1"/>
  <c r="F28" i="1" l="1"/>
  <c r="E28" i="1"/>
  <c r="H28" i="1" l="1"/>
  <c r="G28" i="1"/>
  <c r="I28" i="1"/>
  <c r="I40" i="1"/>
  <c r="F33" i="1" l="1"/>
  <c r="E33" i="1"/>
  <c r="H33" i="1" l="1"/>
  <c r="G33" i="1"/>
  <c r="G53" i="1" l="1"/>
  <c r="F38" i="1"/>
  <c r="E38" i="1"/>
  <c r="G38" i="1" l="1"/>
  <c r="H38" i="1"/>
  <c r="I36" i="1" l="1"/>
  <c r="F18" i="1" l="1"/>
  <c r="H18" i="1" s="1"/>
  <c r="E18" i="1"/>
  <c r="G18" i="1" l="1"/>
  <c r="F45" i="1" l="1"/>
  <c r="E45" i="1"/>
  <c r="H45" i="1" l="1"/>
  <c r="G45" i="1"/>
  <c r="I50" i="1" l="1"/>
  <c r="F37" i="1" l="1"/>
  <c r="E37" i="1"/>
  <c r="H37" i="1" l="1"/>
  <c r="G37" i="1"/>
  <c r="F43" i="1"/>
  <c r="E43" i="1"/>
  <c r="H43" i="1" l="1"/>
  <c r="G43" i="1"/>
  <c r="G5" i="1"/>
  <c r="I5" i="1"/>
  <c r="H5" i="1"/>
  <c r="I32" i="1"/>
  <c r="I38" i="1"/>
  <c r="H6" i="1"/>
  <c r="G6" i="1"/>
  <c r="I18" i="1"/>
  <c r="I21" i="1"/>
  <c r="I37" i="1"/>
  <c r="I46" i="1"/>
  <c r="I16" i="1"/>
  <c r="H29" i="1"/>
  <c r="G29" i="1"/>
  <c r="I45" i="1"/>
  <c r="I29" i="1"/>
  <c r="H14" i="1"/>
  <c r="G14" i="1"/>
  <c r="I14" i="1"/>
  <c r="I53" i="1"/>
  <c r="I44" i="1"/>
  <c r="I54" i="1"/>
  <c r="I34" i="1"/>
  <c r="I33" i="1"/>
  <c r="I30" i="1"/>
  <c r="I31" i="1"/>
  <c r="I42" i="1"/>
  <c r="I43" i="1"/>
  <c r="H48" i="1" l="1"/>
  <c r="G48" i="1"/>
  <c r="I48" i="1"/>
  <c r="F35" i="1" l="1"/>
  <c r="E35" i="1"/>
  <c r="I35" i="1" l="1"/>
  <c r="H35" i="1"/>
  <c r="G35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</calcChain>
</file>

<file path=xl/sharedStrings.xml><?xml version="1.0" encoding="utf-8"?>
<sst xmlns="http://schemas.openxmlformats.org/spreadsheetml/2006/main" count="190" uniqueCount="79">
  <si>
    <t>№п/п</t>
  </si>
  <si>
    <t>Остаточный ресурс относительно поставленной задачи</t>
  </si>
  <si>
    <t>шт</t>
  </si>
  <si>
    <t>%</t>
  </si>
  <si>
    <t>Проблемные позиции на данный момент</t>
  </si>
  <si>
    <t>Наименование формокомплекта</t>
  </si>
  <si>
    <t>Количество капель прошедших через формы</t>
  </si>
  <si>
    <t>Коэф. полезного использования</t>
  </si>
  <si>
    <t>Владелец</t>
  </si>
  <si>
    <t>Номер и дата договора аренды, покупки</t>
  </si>
  <si>
    <t>ООО "ВЕДАТРАНЗИТ"</t>
  </si>
  <si>
    <t>Договор аренды имущества №3 от 23.01.2019 г.</t>
  </si>
  <si>
    <t>Радомир</t>
  </si>
  <si>
    <t>Договор БПИ №396 от 04.06.2019 г.</t>
  </si>
  <si>
    <t>«KEPIL 0,5» тип XХI-B-28-2-500-29</t>
  </si>
  <si>
    <t>«АВС»  тип III-3-53-160-2</t>
  </si>
  <si>
    <t>«Беларуская калекцыя» тип XXI-П-25-500-1</t>
  </si>
  <si>
    <t>«Брест Колоски 0,5» тип XХ-B-28-2.1-500-14</t>
  </si>
  <si>
    <t>«ГОСТ»  НОВЫЙ ФОРМОКОМПЛЕКТ тип ХХI-В-28-1-500-13</t>
  </si>
  <si>
    <t>«Евроторг 0,5» тип XXI-В-28-2-500-27</t>
  </si>
  <si>
    <t>«Иван Купала» тип XXI-B-30-4-500-3</t>
  </si>
  <si>
    <t>«Каласы» тип XXI-КПМ-26-3-500</t>
  </si>
  <si>
    <t>«Калина 0,5» тип XХI-В-28-2-500-28</t>
  </si>
  <si>
    <t>«Кристалл Фирменная 2» тип XXI-B-28-2.1в-500-1</t>
  </si>
  <si>
    <t>«Раковщик 0,2» тип XХI-B-28-1.1-200</t>
  </si>
  <si>
    <t>«Сябры» тип XXI-В-28-2,1-500-16</t>
  </si>
  <si>
    <t>«Фляга 0,5» тип XIII-B-28-2-500-4</t>
  </si>
  <si>
    <t>"Медофф 0,5 л" тип ХХI-КПМ-30-1-500-2</t>
  </si>
  <si>
    <t>"Мерная 0,5 л" тип ХХI-КПА-30-500-6</t>
  </si>
  <si>
    <t>"Дрозды 0,5 л" тип ХХI-В-28-2.1в-500-3</t>
  </si>
  <si>
    <t>I-82-500</t>
  </si>
  <si>
    <t>I-82-1500-1, III-2-82-1500-1</t>
  </si>
  <si>
    <t>I-82-1000-3, III-2-82-1000-3</t>
  </si>
  <si>
    <t>III-4-66-1-300-1</t>
  </si>
  <si>
    <t>III-2-82-900-1</t>
  </si>
  <si>
    <t>III-2-82-450-1</t>
  </si>
  <si>
    <t>«Сваяк 0,7» тип XXI-КПМ-30-1-700</t>
  </si>
  <si>
    <t>«Калина 0,35» тип XХI-В-28-2-350-1 Часть 1</t>
  </si>
  <si>
    <t>"Франкония 0,75 л." X-28MCA-750</t>
  </si>
  <si>
    <t>«Кристалл 0,7» тип XXI-B-28-2.1б-700</t>
  </si>
  <si>
    <t>Приблизительное количество выпущеной продукции</t>
  </si>
  <si>
    <t>"Байрон 0.5 л." XXI-В-30-4А-500</t>
  </si>
  <si>
    <t>"Круглая 0,2 л." XXI-В-28-1-200-5</t>
  </si>
  <si>
    <t>«Фляга 0,2 л» тип XIII-В-28-2-200-3</t>
  </si>
  <si>
    <t>"Ведьма 0.5" тип XXI-В-28-2.1-500-4</t>
  </si>
  <si>
    <t>"Баден 0.7 л." XI-28МСА-700</t>
  </si>
  <si>
    <t>"Тоник 0.2" тип V-GPI-630-200</t>
  </si>
  <si>
    <t>«Штофф Колоски 0,5 л» тип XXI-В-28-2б-500-1</t>
  </si>
  <si>
    <t>«Штофф Земляк 0,5» тип ХХI-КПМ-30-1-500-9</t>
  </si>
  <si>
    <t>ОАО "Гомельский ликеро-водочный задод "Радамир"</t>
  </si>
  <si>
    <t>дог. №38 от 14.06.2019</t>
  </si>
  <si>
    <t>"Байрон 0.7 л." XXI-В-30-4А-700</t>
  </si>
  <si>
    <t>«Калина 0,45» тип XХI-В-28-2-450-19</t>
  </si>
  <si>
    <t>XXI-КПМ-24-1-500-16 (Бульбаш Экстра Нью)</t>
  </si>
  <si>
    <t>выпущено на ООО "Стеклозавод "Ведатранзит"</t>
  </si>
  <si>
    <t>ХXI-КПМ-30-1-500-7 (Каласы 0.5 л.)</t>
  </si>
  <si>
    <t>Бульбаш</t>
  </si>
  <si>
    <t>Аквадив</t>
  </si>
  <si>
    <t>Аквадив дог. безв. польз им. №27 от 05.03.2020</t>
  </si>
  <si>
    <t>"Размова" XXI-КПМ-30-1-500</t>
  </si>
  <si>
    <t>"Батькова 0,5 л." XXI-В-30-4б-500-14</t>
  </si>
  <si>
    <t>"Аквадив 0,35" XXI-В-28-2-350</t>
  </si>
  <si>
    <t xml:space="preserve"> "Брест колоски" ХXI-В-28-2.1-500-14</t>
  </si>
  <si>
    <t>Забрали</t>
  </si>
  <si>
    <t xml:space="preserve"> </t>
  </si>
  <si>
    <t>XXI-КПМ-30-1-500-4 (Аква Мятая)</t>
  </si>
  <si>
    <t>Ice Cube</t>
  </si>
  <si>
    <t>«Фляга 0,2 л» тип XIII-В-28-2-200-3 (бронза)</t>
  </si>
  <si>
    <t>ХXI-КПМ-26-2-700-17 (Бульбаш 0,7 л. Экстра New)</t>
  </si>
  <si>
    <t>ХXI-КПМ-26-2-1000-18 (Бульбаш 1 л. Экстра New)</t>
  </si>
  <si>
    <t>«Калина 0,35» тип XХI-В-28-2-350-1 Часть 2</t>
  </si>
  <si>
    <t>XXI-КПМ-22В-500-20 Чистая формула</t>
  </si>
  <si>
    <t>«Фирменная 3» тип XXI-B-28-2.1а-700-21</t>
  </si>
  <si>
    <t>"Залихватская" КПМ-26-34-500</t>
  </si>
  <si>
    <t>Дог. безв. польз. имуществом №1911 от 19/11/2019</t>
  </si>
  <si>
    <t>"Овал" тип XXI-КПМ-25-500-11</t>
  </si>
  <si>
    <t>Таблица выработки формокомплектов, находящихся на ООО "Стеклозавод Ведатранзит" по состоянию на 01.06.2021 г.</t>
  </si>
  <si>
    <t>"Овал 0,7 л." тип XXI-КПМ-25-500-12</t>
  </si>
  <si>
    <t>Витебск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</si>
</sst>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b/>
      <sz val="9"/>
      <name val="Arial"/>
      <family val="2"/>
      <charset val="204"/>
    </font>
    <font>
      <b/>
      <i/>
      <sz val="10"/>
      <name val="Arial Cyr"/>
      <charset val="204"/>
    </font>
    <font>
      <b/>
      <sz val="8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 Cyr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2" borderId="1">
      <alignment horizontal="center" vertical="center" wrapText="1"/>
    </xf>
    <xf numFmtId="0" fontId="5" fillId="0" borderId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Border="1"/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10" fillId="2" borderId="7" xfId="0" applyNumberFormat="1" applyFont="1" applyFill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Border="1" applyAlignment="1">
      <alignment wrapText="1"/>
    </xf>
    <xf numFmtId="9" fontId="10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0" fillId="3" borderId="0" xfId="0" applyFill="1"/>
    <xf numFmtId="0" fontId="3" fillId="0" borderId="1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3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9" fontId="11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 wrapText="1"/>
    </xf>
    <xf numFmtId="9" fontId="11" fillId="2" borderId="7" xfId="3" applyFont="1" applyFill="1" applyBorder="1" applyAlignment="1">
      <alignment horizontal="center" vertical="center" wrapText="1"/>
    </xf>
    <xf numFmtId="3" fontId="6" fillId="5" borderId="1" xfId="2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3" fontId="6" fillId="0" borderId="1" xfId="2" applyNumberFormat="1" applyFont="1" applyFill="1" applyBorder="1" applyAlignment="1">
      <alignment horizontal="center" vertical="center"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14" fontId="0" fillId="0" borderId="0" xfId="0" applyNumberFormat="1" applyFill="1" applyBorder="1" applyAlignment="1">
      <alignment wrapText="1"/>
    </xf>
    <xf numFmtId="3" fontId="10" fillId="0" borderId="1" xfId="0" applyNumberFormat="1" applyFont="1" applyFill="1" applyBorder="1" applyAlignment="1">
      <alignment horizontal="center" vertical="center" wrapText="1"/>
    </xf>
    <xf numFmtId="9" fontId="11" fillId="0" borderId="7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6" fillId="2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3" fontId="6" fillId="2" borderId="7" xfId="2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9" fontId="11" fillId="3" borderId="1" xfId="0" applyNumberFormat="1" applyFont="1" applyFill="1" applyBorder="1" applyAlignment="1">
      <alignment horizontal="center" vertical="center" wrapText="1"/>
    </xf>
    <xf numFmtId="9" fontId="11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6" fillId="3" borderId="1" xfId="2" applyNumberFormat="1" applyFont="1" applyFill="1" applyBorder="1" applyAlignment="1">
      <alignment horizontal="center" vertical="center" wrapText="1"/>
    </xf>
    <xf numFmtId="9" fontId="10" fillId="3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6" fillId="6" borderId="1" xfId="1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6" fillId="6" borderId="1" xfId="1" applyFont="1" applyFill="1" applyBorder="1" applyAlignment="1">
      <alignment horizontal="center" vertical="center" wrapText="1"/>
    </xf>
    <xf numFmtId="3" fontId="11" fillId="6" borderId="1" xfId="0" applyNumberFormat="1" applyFont="1" applyFill="1" applyBorder="1" applyAlignment="1">
      <alignment horizontal="center" vertical="center" wrapText="1"/>
    </xf>
    <xf numFmtId="9" fontId="11" fillId="6" borderId="1" xfId="0" applyNumberFormat="1" applyFont="1" applyFill="1" applyBorder="1" applyAlignment="1">
      <alignment horizontal="center" vertical="center" wrapText="1"/>
    </xf>
    <xf numFmtId="9" fontId="11" fillId="6" borderId="1" xfId="3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3" fontId="10" fillId="6" borderId="1" xfId="0" applyNumberFormat="1" applyFont="1" applyFill="1" applyBorder="1" applyAlignment="1">
      <alignment horizontal="center" vertical="center" wrapText="1"/>
    </xf>
    <xf numFmtId="3" fontId="6" fillId="6" borderId="1" xfId="2" applyNumberFormat="1" applyFont="1" applyFill="1" applyBorder="1" applyAlignment="1">
      <alignment horizontal="center" vertical="center" wrapText="1"/>
    </xf>
    <xf numFmtId="9" fontId="10" fillId="6" borderId="1" xfId="0" applyNumberFormat="1" applyFont="1" applyFill="1" applyBorder="1" applyAlignment="1">
      <alignment horizontal="center" vertical="center" wrapText="1"/>
    </xf>
    <xf numFmtId="9" fontId="10" fillId="0" borderId="7" xfId="0" applyNumberFormat="1" applyFont="1" applyFill="1" applyBorder="1" applyAlignment="1">
      <alignment horizontal="center" vertical="center" wrapText="1"/>
    </xf>
    <xf numFmtId="3" fontId="10" fillId="0" borderId="7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9" fontId="11" fillId="3" borderId="7" xfId="0" applyNumberFormat="1" applyFont="1" applyFill="1" applyBorder="1" applyAlignment="1">
      <alignment horizontal="center" vertical="center" wrapText="1"/>
    </xf>
    <xf numFmtId="3" fontId="11" fillId="3" borderId="7" xfId="0" applyNumberFormat="1" applyFont="1" applyFill="1" applyBorder="1" applyAlignment="1">
      <alignment horizontal="center" vertical="center" wrapText="1"/>
    </xf>
    <xf numFmtId="9" fontId="11" fillId="3" borderId="23" xfId="3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4" xfId="0" applyFill="1" applyBorder="1" applyAlignment="1">
      <alignment horizontal="center" vertical="center" wrapText="1"/>
    </xf>
    <xf numFmtId="9" fontId="11" fillId="0" borderId="1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3" fontId="6" fillId="0" borderId="7" xfId="2" applyNumberFormat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9" fontId="10" fillId="5" borderId="1" xfId="0" applyNumberFormat="1" applyFont="1" applyFill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9" fontId="11" fillId="5" borderId="1" xfId="3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4">
    <cellStyle name="Мой стиль" xfId="1" xr:uid="{00000000-0005-0000-0000-000000000000}"/>
    <cellStyle name="Обычный" xfId="0" builtinId="0"/>
    <cellStyle name="Обычный 7" xfId="2" xr:uid="{00000000-0005-0000-0000-000002000000}"/>
    <cellStyle name="Процентный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styles" Target="styles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50;&#1055;&#1052;-26-34-500%20&#1047;&#1072;&#1083;&#1080;&#1093;&#1074;&#1072;&#1090;&#1089;&#1082;&#1072;&#1103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40;-700%20(&#1041;&#1072;&#1081;&#1088;&#1086;&#1085;%200.7%20&#1083;.)/&#1041;&#1072;&#1081;&#1088;&#1086;&#1085;%200.7%20&#1083;.%20&#1086;&#1090;%2006.11.20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5.%20XXI-&#1050;&#1055;&#1040;-30-500-5%20(&#1052;&#1077;&#1088;&#1085;&#1072;&#1103;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&#1072;-700-21%20(&#1060;&#1080;&#1088;&#1084;&#1077;&#1085;&#1085;&#1072;&#1103;-3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7%20(&#1050;&#1072;&#1083;&#1072;&#1089;&#1099;)/&#1086;&#1090;%2023.10.2019%20&#1050;&#1072;&#1083;&#1072;&#1089;&#109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30-4&#1073;-500-14%20&#1041;&#1072;&#1090;&#1100;&#1082;&#1086;&#1074;&#1072;/XXI-&#1042;-30-4&#1073;-500-14%20&#1041;&#1072;&#1090;&#1100;&#1082;&#1086;&#1074;&#1072;%20&#1086;&#1090;%2007.02.20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45;&#1074;&#1088;&#1086;&#1090;&#1086;&#1088;&#1075;%20&#1086;&#1090;%2007.12.20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2;&#1077;&#1076;&#1086;&#1092;&#109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28-2-450-19%20&#1050;&#1072;&#1083;&#1080;&#1085;&#1072;%200.45/XXI-B-28-2-450-19%20&#1050;&#1072;&#1083;&#1080;&#1085;&#1072;%200.45%20&#1086;&#1090;%2009.01.201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V-GPI-630-200%20(&#1058;&#1086;&#1085;&#1080;&#1082;%200,2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4%20(&#1042;&#1077;&#1076;&#1100;&#1084;&#1072;)/&#1042;&#1077;&#1076;&#1100;&#1084;&#1072;%200.5%20&#1083;.%20&#1086;&#1090;%2003.10.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-28MCA-700%20(&#1041;&#1072;&#1076;&#1077;&#1085;%200.7)/&#1086;&#1090;%2025.10.2019%20&#1041;&#1072;&#1076;&#1077;&#1085;%200.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B-30-4A-500%20(&#1041;&#1072;&#1081;&#1088;&#1086;&#1085;)/&#1086;&#1090;%2015.10.2019%20&#1041;&#1072;&#1081;&#1088;&#1086;&#1085;%200.5%20&#1083;.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9.%20XXI-&#1050;&#1055;&#1052;-30-1-500-9%20(&#1064;&#1090;&#1086;&#1092;)/&#1064;&#1090;&#1086;&#1092;&#1092;%20&#1086;&#1090;%2018.11.2019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5;-25-500-1%20(&#1041;&#1077;&#1083;.%20&#1082;&#1072;&#1083;&#1077;&#1082;&#1094;&#1099;&#1103;%200,5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3%20&#1083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30-4-500-3%20(&#1048;&#1074;&#1072;&#1085;%20&#1050;&#1091;&#1087;&#1072;&#1083;&#1072;)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0;&#1072;&#1083;&#1072;&#1089;&#1099;%20%200,5%20&#1083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6-4-500-10%20(&#1040;&#1081;&#1089;%20&#1050;&#1091;&#1073;)%20&#1086;&#1090;%2009.06.202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-A-26-1-500%20(&#1060;&#1088;&#1072;&#1085;&#1082;&#1086;&#1085;&#1080;&#1103;%200,5%20&#1083;.)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0,5%20&#1083;.%20&#1057;&#1050;&#1054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3.%20XXI-&#1042;-28-2.1&#1073;-500-3%20(&#1044;&#1088;&#1086;&#1079;&#1076;&#1099;%200,5%20&#1083;.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6-2-1000-18%20(&#1069;&#1082;&#1089;&#1090;&#1088;&#1072;%20New)/XXI-&#1050;&#1055;&#1052;-26-2-1000-18%20(&#1069;&#1082;&#1089;&#1090;&#1088;&#1072;%20New)%20&#1086;&#1090;%2002.07.202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II-&#1042;-28-2-500-4%20(&#1060;&#1083;&#1103;&#1075;&#1072;%200,5%20&#1083;.)/XIII-&#1042;-28-2-500-4%20(&#1060;&#1083;&#1103;&#1075;&#1072;%200,5%20&#1083;.)%20&#1086;&#1090;%2026.06.202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1-200-5%20(&#1050;&#1088;&#1091;&#1075;&#1083;&#1072;&#1103;%200,2%20&#1083;.)/&#1086;&#1090;%2003.10.2019%20&#1050;&#1088;&#1091;&#1075;&#1083;&#1072;&#1103;%200.2%20&#1083;.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4-1-500-16%20(&#1041;&#1091;&#1083;&#1100;&#1073;&#1072;&#1096;%20&#1069;&#1082;&#1089;&#1090;&#1088;&#1072;%20&#1053;&#1100;&#1102;)/XXI-&#1050;&#1055;&#1052;-24-1-500-16%20(&#1041;&#1091;&#1083;&#1100;&#1073;&#1072;&#1096;%20&#1069;&#1082;&#1089;&#1090;&#1088;&#1072;%20&#1053;&#1100;&#1102;)%20&#1086;&#1090;%2023.01.2020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72;&#1085;&#1082;&#1072;/&#1041;&#1072;&#1085;&#1082;&#1072;%200,45%20&#1083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72;&#1085;&#1082;&#1072;/&#1041;&#1072;&#1085;&#1082;&#1072;%200,16%20&#1083;.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%20&#1083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&#1050;&#1077;&#1087;&#1080;&#1083;%20%200,5%20&#1083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50;&#1055;&#1052;-30-1-700%20(&#1057;&#1074;&#1072;&#1103;&#1082;%20%200,7%20&#1083;)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.1-500-14%20(&#1041;&#1088;&#1077;&#1089;&#1090;%20&#1082;&#1086;&#1083;&#1086;&#1089;&#1082;&#1080;)/&#1041;&#1088;&#1077;&#1089;&#1090;%20&#1082;&#1086;&#1083;&#1086;&#1089;&#1082;&#1080;%20&#1086;&#1090;%2013.11.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4%20&#1040;&#1050;&#1042;&#1040;%20&#1052;&#1071;&#1058;&#1040;&#1071;/XXI-&#1050;&#1055;&#1052;-30-1-500-4%20&#1040;&#1050;&#1042;&#1040;%20&#1052;&#1071;&#1058;&#1040;&#1071;%20&#1086;&#1090;%2028.05.2020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-500-16%20(&#1057;&#1103;&#1073;&#1088;&#1099;%20%200,5%20&#1083;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72;&#1085;&#1082;&#1080;/&#1041;&#1072;&#1085;&#1082;&#1072;%201,5%20&#1083;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350%20(&#1040;&#1082;&#1074;&#1072;&#1076;&#1080;&#1074;%200.35%20&#1083;.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II-&#1042;-28-2-200-3%20(&#1060;&#1083;&#1103;&#1075;&#1072;%200,2%20&#1083;.)/XIII-&#1042;-28-2-200-3%20(&#1060;&#1083;&#1103;&#1075;&#1072;%200,2%20&#1083;.)%20&#1086;&#1090;%2010.04.2020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.1&#1073;-700%20(&#1050;&#1088;&#1080;&#1089;&#1090;&#1072;&#1083;&#1083;%20&#1092;&#1080;&#1088;&#1084;.2%20%200,7%20&#1083;.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&#1042;-28-2-500-28%20&#1050;&#1072;&#1083;&#1080;&#1085;&#1072;%200,5%20&#1083;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III-&#1042;-28-2-200-3%20(&#1060;&#1083;&#1103;&#1075;&#1072;%200,2%20&#1083;.)/XIII-&#1042;-28-2-200-3%20(&#1060;&#1083;&#1103;&#1075;&#1072;%200,2%20&#1083;.)%20&#1073;&#1088;&#1086;&#1085;&#1079;&#1072;%20&#1086;&#1090;%2006.08.20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4.%20XXI-&#1042;-28-2.1-500-14%20(&#1041;&#1088;&#1077;&#1089;&#1090;%20&#1082;&#1086;&#1083;&#1086;&#1089;&#1082;&#1080;)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1.%20XXI-&#1042;-28-2-350-1%20(&#1050;&#1072;&#1083;&#1080;&#1085;&#1072;%200,35%20&#1083;.)%20&#1063;&#1072;&#1089;&#1090;&#1100;%201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4.%20XIII-&#1042;-28-2-500-4%20(&#1060;&#1083;&#1103;&#1075;&#1072;%20%200,5%20&#1083;.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30-1-500-11%20(&#1054;&#1074;&#1072;&#1083;)/XXI-&#1050;&#1055;&#1052;-30-1-500-11%20(&#1054;&#1074;&#1072;&#1083;)%20&#1086;&#1090;%2001.04.2021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5;&#1072;&#1089;&#1087;&#1086;&#1088;&#1090;&#1072;/&#1041;&#1091;&#1090;&#1099;&#1083;&#1082;&#1080;/&#1042;&#1086;&#1076;&#1086;&#1095;&#1085;&#1099;&#1077;/XXI-B-28-2-500-27%20(&#1045;&#1074;&#1088;&#1086;&#1090;&#1086;&#1088;&#1075;%200.5%20&#1083;.%20&#1085;&#1086;&#1074;&#1099;&#1081;%20&#1092;-&#1090;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54;&#1074;&#1072;&#1083;%200,7%20&#1083;.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2&#1042;-500-20%20&#1063;&#1080;&#1089;&#1090;&#1072;&#1103;%20&#1092;&#1086;&#1088;&#1084;&#1091;&#1083;&#1072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&#1061;&#1061;I-&#1050;&#1055;&#1052;-30-1-500-&#1056;&#1072;&#1079;&#1084;&#1086;&#1074;&#1072;/&#1092;-&#1090;%20&#1061;&#1061;I-&#1050;&#1055;&#1052;-30-1-500-&#1056;&#1072;&#1079;&#1084;&#1086;&#1074;&#1072;%20&#1086;&#1090;%2006.03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42;-28-2&#1073;-500-1%20(&#1064;&#1090;&#1086;&#1092;&#1092;%20&#1050;&#1086;&#1083;&#1086;&#1089;&#1082;&#1080;)/XXI-&#1042;-28-2&#1073;-500-1%20(&#1064;&#1090;&#1086;&#1092;&#1092;%20&#1050;&#1086;&#1083;&#1086;&#1089;&#1082;&#1080;)%20&#1086;&#1090;%2006.11.20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3;&#1072;&#1074;&#1088;&#1080;&#1083;&#1077;&#1085;&#1082;&#1086;%20&#1040;.&#1044;/&#1056;&#1072;&#1073;&#1086;&#1090;&#1072;/&#1059;&#1095;&#1072;&#1089;&#1090;&#1086;&#1082;%20&#1088;&#1077;&#1084;&#1086;&#1085;&#1090;&#1072;%20&#1092;&#1086;&#1088;&#1084;/&#1060;&#1086;&#1088;&#1084;&#1086;&#1082;&#1086;&#1084;&#1087;&#1083;&#1077;&#1082;&#1090;&#1099;/&#1050;&#1072;&#1088;&#1090;&#1099;%20&#1079;&#1072;&#1084;&#1077;&#1088;&#1086;&#1074;/&#1041;&#1091;&#1090;&#1099;&#1083;&#1082;&#1072;/XXI-&#1050;&#1055;&#1052;-26-2-700-17%20(&#1069;&#1082;&#1089;&#1090;&#1088;&#1072;%20New)/XXI-&#1050;&#1055;&#1052;-26-2-700-17%20(&#1069;&#1082;&#1089;&#1090;&#1088;&#1072;%20New)%20&#1086;&#1090;%2002.07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209064</v>
          </cell>
          <cell r="F32">
            <v>274167</v>
          </cell>
          <cell r="H32">
            <v>15125833</v>
          </cell>
          <cell r="I32">
            <v>0.98219694805194802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1222650</v>
          </cell>
          <cell r="F32">
            <v>1344169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14000000</v>
          </cell>
        </row>
        <row r="32">
          <cell r="E32">
            <v>1036020</v>
          </cell>
          <cell r="F32">
            <v>1292677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32">
          <cell r="E32">
            <v>2282400</v>
          </cell>
          <cell r="F32">
            <v>2374283</v>
          </cell>
          <cell r="H32">
            <v>14425717</v>
          </cell>
          <cell r="I32">
            <v>0.85867363095238092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21">
          <cell r="A21">
            <v>18200000</v>
          </cell>
        </row>
        <row r="32">
          <cell r="E32">
            <v>2251092</v>
          </cell>
          <cell r="F32">
            <v>2430801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20">
          <cell r="A20">
            <v>16800000</v>
          </cell>
        </row>
        <row r="31">
          <cell r="E31">
            <v>2379828</v>
          </cell>
          <cell r="F31">
            <v>2473246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1772226</v>
          </cell>
          <cell r="F32">
            <v>1862007</v>
          </cell>
          <cell r="H32">
            <v>14937993</v>
          </cell>
          <cell r="I32">
            <v>0.88916625000000005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1423626</v>
          </cell>
          <cell r="F32">
            <v>1582238</v>
          </cell>
          <cell r="H32">
            <v>11017762</v>
          </cell>
          <cell r="I32">
            <v>0.87442555555555557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2853648</v>
          </cell>
          <cell r="F32">
            <v>3021559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2">
          <cell r="A22">
            <v>16800000</v>
          </cell>
        </row>
        <row r="33">
          <cell r="E33">
            <v>2880934</v>
          </cell>
          <cell r="F33">
            <v>3213050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0">
          <cell r="A20">
            <v>15400000</v>
          </cell>
        </row>
        <row r="31">
          <cell r="E31">
            <v>2673204</v>
          </cell>
          <cell r="F31">
            <v>3078104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14000000</v>
          </cell>
        </row>
        <row r="32">
          <cell r="E32">
            <v>246960</v>
          </cell>
          <cell r="F32">
            <v>275256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етали ф-тов"/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2939946</v>
          </cell>
          <cell r="F32">
            <v>3219779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15400000</v>
          </cell>
        </row>
        <row r="32">
          <cell r="E32">
            <v>3401284</v>
          </cell>
          <cell r="F32">
            <v>3627561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16800000</v>
          </cell>
        </row>
        <row r="32">
          <cell r="E32">
            <v>1841664</v>
          </cell>
          <cell r="F32">
            <v>4196198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18200000</v>
          </cell>
        </row>
        <row r="30">
          <cell r="E30">
            <v>4109952</v>
          </cell>
          <cell r="F30">
            <v>4708790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12600000</v>
          </cell>
        </row>
        <row r="31">
          <cell r="E31">
            <v>2529144</v>
          </cell>
          <cell r="F31">
            <v>3332388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1">
          <cell r="E31">
            <v>1361360</v>
          </cell>
          <cell r="F31">
            <v>4846035</v>
          </cell>
          <cell r="H31">
            <v>11953965</v>
          </cell>
          <cell r="I31">
            <v>0.71154553571428569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4859136</v>
          </cell>
          <cell r="F32">
            <v>5068528</v>
          </cell>
          <cell r="H32">
            <v>11731472</v>
          </cell>
          <cell r="I32">
            <v>0.69830190476190479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6044050</v>
          </cell>
          <cell r="F33">
            <v>6475979</v>
          </cell>
          <cell r="H33">
            <v>11724021</v>
          </cell>
          <cell r="I33">
            <v>0.64417697802197804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18900000</v>
          </cell>
        </row>
        <row r="30">
          <cell r="E30">
            <v>7698145</v>
          </cell>
          <cell r="F30">
            <v>8363755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15400000</v>
          </cell>
        </row>
        <row r="32">
          <cell r="E32">
            <v>6515718</v>
          </cell>
          <cell r="F32">
            <v>6867053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1">
          <cell r="E31">
            <v>232900</v>
          </cell>
          <cell r="F31">
            <v>359654</v>
          </cell>
          <cell r="H31">
            <v>16440346</v>
          </cell>
          <cell r="I31">
            <v>0.97859202380952381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1">
          <cell r="E31">
            <v>7401744</v>
          </cell>
          <cell r="F31">
            <v>7685939</v>
          </cell>
          <cell r="H31">
            <v>9114061</v>
          </cell>
          <cell r="I31">
            <v>0.54250363095238097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16800000</v>
          </cell>
        </row>
        <row r="32">
          <cell r="E32">
            <v>7189065</v>
          </cell>
          <cell r="F32">
            <v>7718319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21">
          <cell r="A21">
            <v>16800000</v>
          </cell>
        </row>
        <row r="32">
          <cell r="E32">
            <v>7801200</v>
          </cell>
          <cell r="F32">
            <v>8210574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Охладитель плунжера"/>
      <sheetName val="Дут. головка"/>
      <sheetName val="Воронка"/>
    </sheetNames>
    <sheetDataSet>
      <sheetData sheetId="0" refreshError="1"/>
      <sheetData sheetId="1">
        <row r="32">
          <cell r="E32">
            <v>13283472</v>
          </cell>
          <cell r="F32">
            <v>13862300</v>
          </cell>
          <cell r="H32">
            <v>2937700</v>
          </cell>
          <cell r="I32">
            <v>0.17486309523809518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Охладитель плунжера"/>
      <sheetName val="Дут. головка"/>
      <sheetName val="Воронка"/>
    </sheetNames>
    <sheetDataSet>
      <sheetData sheetId="0"/>
      <sheetData sheetId="1">
        <row r="32">
          <cell r="E32">
            <v>9890430</v>
          </cell>
          <cell r="F32">
            <v>10532265</v>
          </cell>
          <cell r="H32">
            <v>6267735</v>
          </cell>
          <cell r="I32">
            <v>0.37307946428571426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5">
          <cell r="A25">
            <v>18200000</v>
          </cell>
        </row>
        <row r="39">
          <cell r="E39">
            <v>11248736</v>
          </cell>
          <cell r="F39">
            <v>12230442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4">
          <cell r="A24">
            <v>14000000</v>
          </cell>
        </row>
        <row r="35">
          <cell r="E35">
            <v>5961565</v>
          </cell>
          <cell r="F35">
            <v>9807693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14000000</v>
          </cell>
        </row>
        <row r="31">
          <cell r="E31">
            <v>6585300</v>
          </cell>
          <cell r="F31">
            <v>10601261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15466990</v>
          </cell>
          <cell r="F32">
            <v>15915971</v>
          </cell>
          <cell r="H32">
            <v>884029</v>
          </cell>
          <cell r="I32">
            <v>5.2620773809523791E-2</v>
          </cell>
        </row>
      </sheetData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38">
          <cell r="E38">
            <v>13806936</v>
          </cell>
          <cell r="F38">
            <v>14281531</v>
          </cell>
          <cell r="H38">
            <v>2518469</v>
          </cell>
          <cell r="I38">
            <v>0.14990886904761902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2">
          <cell r="E32">
            <v>436272</v>
          </cell>
          <cell r="F32">
            <v>462924</v>
          </cell>
          <cell r="H32">
            <v>16337076</v>
          </cell>
          <cell r="I32">
            <v>0.972445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1">
          <cell r="A21">
            <v>16800000</v>
          </cell>
        </row>
        <row r="35">
          <cell r="E35">
            <v>12037830</v>
          </cell>
          <cell r="F35">
            <v>16823645</v>
          </cell>
        </row>
      </sheetData>
      <sheetData sheetId="1" refreshError="1"/>
      <sheetData sheetId="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5">
          <cell r="A25">
            <v>18900000</v>
          </cell>
        </row>
        <row r="50">
          <cell r="E50">
            <v>16268914</v>
          </cell>
          <cell r="F50">
            <v>17588921</v>
          </cell>
        </row>
      </sheetData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1">
          <cell r="E31">
            <v>15138400</v>
          </cell>
          <cell r="F31">
            <v>15759091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31">
          <cell r="E31">
            <v>16584750</v>
          </cell>
          <cell r="F31">
            <v>17141946</v>
          </cell>
          <cell r="H31">
            <v>-341946</v>
          </cell>
          <cell r="I31">
            <v>-2.0353928571428481E-2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9">
          <cell r="A19">
            <v>16800000</v>
          </cell>
        </row>
        <row r="36">
          <cell r="E36">
            <v>14320272</v>
          </cell>
          <cell r="F36">
            <v>17268245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3">
          <cell r="E33">
            <v>9121896</v>
          </cell>
          <cell r="F33">
            <v>17665467</v>
          </cell>
          <cell r="H33">
            <v>-865467</v>
          </cell>
          <cell r="I33">
            <v>-5.1515892857142864E-2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35">
          <cell r="E35">
            <v>48337963</v>
          </cell>
          <cell r="F35">
            <v>49959239</v>
          </cell>
          <cell r="H35">
            <v>-11559239</v>
          </cell>
          <cell r="I35">
            <v>-0.30102184895833339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2">
          <cell r="E32">
            <v>8848812</v>
          </cell>
          <cell r="F32">
            <v>18119313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6">
          <cell r="E36">
            <v>20298152</v>
          </cell>
          <cell r="F36">
            <v>21209022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0">
          <cell r="A20">
            <v>16800000</v>
          </cell>
        </row>
        <row r="39">
          <cell r="E39">
            <v>13948077</v>
          </cell>
          <cell r="F39">
            <v>19061212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32">
          <cell r="E32">
            <v>899340</v>
          </cell>
          <cell r="F32">
            <v>991358</v>
          </cell>
          <cell r="H32">
            <v>15808642</v>
          </cell>
          <cell r="I32">
            <v>0.94099059523809525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37">
          <cell r="E37">
            <v>14802518</v>
          </cell>
          <cell r="F37">
            <v>16166846</v>
          </cell>
          <cell r="H37">
            <v>633154</v>
          </cell>
          <cell r="I37">
            <v>3.7687738095237955E-2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32">
          <cell r="E32">
            <v>173712</v>
          </cell>
          <cell r="F32">
            <v>204423</v>
          </cell>
          <cell r="H32">
            <v>16595577</v>
          </cell>
          <cell r="I32">
            <v>0.98783196428571429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31">
          <cell r="E31">
            <v>713912</v>
          </cell>
          <cell r="F31">
            <v>796205</v>
          </cell>
          <cell r="H31">
            <v>14603795</v>
          </cell>
          <cell r="I31">
            <v>0.94829837662337657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/>
      <sheetData sheetId="1">
        <row r="21">
          <cell r="A21">
            <v>16800000</v>
          </cell>
        </row>
        <row r="32">
          <cell r="E32">
            <v>833490</v>
          </cell>
          <cell r="F32">
            <v>911671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спорт"/>
      <sheetName val="Данные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>
        <row r="21">
          <cell r="A21">
            <v>14000000</v>
          </cell>
        </row>
        <row r="37">
          <cell r="E37">
            <v>761670</v>
          </cell>
          <cell r="F37">
            <v>873407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  <sheetName val="Акт приемки"/>
      <sheetName val="Чист. форма"/>
      <sheetName val="Чист.  поддон"/>
      <sheetName val="Черн. форма"/>
      <sheetName val="Черн. поддон"/>
      <sheetName val="Горл. кольцо"/>
      <sheetName val="Финиш. кольцо"/>
      <sheetName val="Плунжер"/>
      <sheetName val="Втулка"/>
      <sheetName val="Дут. головка"/>
      <sheetName val="Воронка"/>
    </sheetNames>
    <sheetDataSet>
      <sheetData sheetId="0" refreshError="1"/>
      <sheetData sheetId="1">
        <row r="31">
          <cell r="E31">
            <v>1615056</v>
          </cell>
          <cell r="F31">
            <v>1753120</v>
          </cell>
          <cell r="H31">
            <v>15046880</v>
          </cell>
          <cell r="I31">
            <v>0.89564761904761903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7"/>
  <sheetViews>
    <sheetView tabSelected="1" view="pageBreakPreview" zoomScale="110" zoomScaleNormal="90" zoomScaleSheetLayoutView="110"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B49" sqref="B49"/>
    </sheetView>
  </sheetViews>
  <sheetFormatPr defaultRowHeight="12.75" x14ac:dyDescent="0.2"/>
  <cols>
    <col min="1" max="1" width="7.140625" customWidth="1"/>
    <col min="2" max="2" width="59.7109375" style="8" customWidth="1"/>
    <col min="3" max="3" width="15.140625" style="9" customWidth="1"/>
    <col min="4" max="4" width="28.140625" style="8" customWidth="1"/>
    <col min="5" max="5" width="14.71093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0.140625" bestFit="1" customWidth="1"/>
  </cols>
  <sheetData>
    <row r="1" spans="1:11" ht="13.5" thickBot="1" x14ac:dyDescent="0.25">
      <c r="A1" s="83" t="s">
        <v>76</v>
      </c>
      <c r="B1" s="83"/>
      <c r="C1" s="83"/>
      <c r="D1" s="83"/>
      <c r="E1" s="83"/>
      <c r="F1" s="83"/>
      <c r="G1" s="83"/>
      <c r="H1" s="83"/>
      <c r="I1" s="83"/>
      <c r="J1" s="83"/>
      <c r="K1" s="1"/>
    </row>
    <row r="2" spans="1:11" ht="13.5" thickBot="1" x14ac:dyDescent="0.25">
      <c r="D2" s="81"/>
      <c r="E2" s="82"/>
      <c r="I2" s="1"/>
      <c r="J2" s="1"/>
      <c r="K2" s="1"/>
    </row>
    <row r="3" spans="1:11" ht="63.75" x14ac:dyDescent="0.2">
      <c r="A3" s="86" t="s">
        <v>0</v>
      </c>
      <c r="B3" s="84" t="s">
        <v>5</v>
      </c>
      <c r="C3" s="94" t="s">
        <v>8</v>
      </c>
      <c r="D3" s="90" t="s">
        <v>9</v>
      </c>
      <c r="E3" s="6" t="s">
        <v>40</v>
      </c>
      <c r="F3" s="3" t="s">
        <v>6</v>
      </c>
      <c r="G3" s="88" t="s">
        <v>1</v>
      </c>
      <c r="H3" s="89"/>
      <c r="I3" s="92" t="s">
        <v>7</v>
      </c>
      <c r="J3" s="79" t="s">
        <v>4</v>
      </c>
      <c r="K3" s="2"/>
    </row>
    <row r="4" spans="1:11" ht="13.5" thickBot="1" x14ac:dyDescent="0.25">
      <c r="A4" s="87"/>
      <c r="B4" s="85"/>
      <c r="C4" s="95"/>
      <c r="D4" s="91"/>
      <c r="E4" s="7" t="s">
        <v>2</v>
      </c>
      <c r="F4" s="4" t="s">
        <v>2</v>
      </c>
      <c r="G4" s="4" t="s">
        <v>3</v>
      </c>
      <c r="H4" s="5" t="s">
        <v>2</v>
      </c>
      <c r="I4" s="93"/>
      <c r="J4" s="80"/>
      <c r="K4" s="1"/>
    </row>
    <row r="5" spans="1:11" s="17" customFormat="1" ht="40.15" customHeight="1" x14ac:dyDescent="0.2">
      <c r="A5" s="23">
        <f>A4+1</f>
        <v>1</v>
      </c>
      <c r="B5" s="46" t="s">
        <v>34</v>
      </c>
      <c r="C5" s="10" t="s">
        <v>10</v>
      </c>
      <c r="D5" s="15" t="s">
        <v>11</v>
      </c>
      <c r="E5" s="27"/>
      <c r="F5" s="27" t="s">
        <v>64</v>
      </c>
      <c r="G5" s="19" t="e">
        <f>100%-F5/19600000</f>
        <v>#VALUE!</v>
      </c>
      <c r="H5" s="20" t="e">
        <f>18900000-F5</f>
        <v>#VALUE!</v>
      </c>
      <c r="I5" s="26" t="e">
        <f>E5/F5</f>
        <v>#VALUE!</v>
      </c>
      <c r="J5" s="11"/>
      <c r="K5"/>
    </row>
    <row r="6" spans="1:11" s="17" customFormat="1" ht="40.15" customHeight="1" x14ac:dyDescent="0.2">
      <c r="A6" s="23">
        <f>A5+1</f>
        <v>2</v>
      </c>
      <c r="B6" s="46" t="s">
        <v>18</v>
      </c>
      <c r="C6" s="10" t="s">
        <v>10</v>
      </c>
      <c r="D6" s="15" t="s">
        <v>11</v>
      </c>
      <c r="E6" s="24"/>
      <c r="F6" s="24"/>
      <c r="G6" s="25">
        <f>100%-F6/16800000</f>
        <v>1</v>
      </c>
      <c r="H6" s="24">
        <f>18200000-F6</f>
        <v>18200000</v>
      </c>
      <c r="I6" s="26" t="e">
        <f>E6/F6</f>
        <v>#DIV/0!</v>
      </c>
      <c r="J6" s="11"/>
      <c r="K6" s="18"/>
    </row>
    <row r="7" spans="1:11" s="17" customFormat="1" ht="40.15" customHeight="1" x14ac:dyDescent="0.2">
      <c r="A7" s="23">
        <f>A6+1</f>
        <v>3</v>
      </c>
      <c r="B7" s="46" t="s">
        <v>77</v>
      </c>
      <c r="C7" s="10" t="s">
        <v>78</v>
      </c>
      <c r="D7" s="15"/>
      <c r="E7" s="27">
        <f>[51]Паспорт!$E$32</f>
        <v>173712</v>
      </c>
      <c r="F7" s="27">
        <f>[51]Паспорт!$F$32</f>
        <v>204423</v>
      </c>
      <c r="G7" s="19">
        <f>[51]Паспорт!$I$32</f>
        <v>0.98783196428571429</v>
      </c>
      <c r="H7" s="20">
        <f>[51]Паспорт!$H$32</f>
        <v>16595577</v>
      </c>
      <c r="I7" s="26">
        <f>E7/F7</f>
        <v>0.84976739407992252</v>
      </c>
      <c r="J7" s="11"/>
      <c r="K7" s="14"/>
    </row>
    <row r="8" spans="1:11" s="17" customFormat="1" ht="40.15" customHeight="1" x14ac:dyDescent="0.2">
      <c r="A8" s="23">
        <f>A7+1</f>
        <v>4</v>
      </c>
      <c r="B8" s="46" t="s">
        <v>73</v>
      </c>
      <c r="C8" s="10" t="s">
        <v>12</v>
      </c>
      <c r="D8" s="15" t="s">
        <v>74</v>
      </c>
      <c r="E8" s="24">
        <f>[1]Паспорт!$E$32</f>
        <v>209064</v>
      </c>
      <c r="F8" s="24">
        <f>[1]Паспорт!$F$32</f>
        <v>274167</v>
      </c>
      <c r="G8" s="25">
        <f>[1]Паспорт!$I$32</f>
        <v>0.98219694805194802</v>
      </c>
      <c r="H8" s="24">
        <f>[1]Паспорт!$H$32</f>
        <v>15125833</v>
      </c>
      <c r="I8" s="26">
        <f>E8/F8</f>
        <v>0.76254253794220306</v>
      </c>
      <c r="J8" s="11"/>
      <c r="K8" s="16"/>
    </row>
    <row r="9" spans="1:11" s="17" customFormat="1" ht="40.15" customHeight="1" x14ac:dyDescent="0.2">
      <c r="A9" s="23">
        <f>A8+1</f>
        <v>5</v>
      </c>
      <c r="B9" s="49" t="s">
        <v>45</v>
      </c>
      <c r="C9" s="50"/>
      <c r="D9" s="21"/>
      <c r="E9" s="51">
        <f>[2]Паспорт!$E$32</f>
        <v>246960</v>
      </c>
      <c r="F9" s="51">
        <f>[2]Паспорт!$F$32</f>
        <v>275256</v>
      </c>
      <c r="G9" s="52">
        <f>100%-F9/[2]Паспорт!$A$21</f>
        <v>0.98033885714285718</v>
      </c>
      <c r="H9" s="51">
        <f>[2]Паспорт!$A$21-F9</f>
        <v>13724744</v>
      </c>
      <c r="I9" s="53">
        <f>E9/F9</f>
        <v>0.8972011509285901</v>
      </c>
      <c r="J9" s="54"/>
      <c r="K9" s="18"/>
    </row>
    <row r="10" spans="1:11" s="17" customFormat="1" ht="40.15" customHeight="1" x14ac:dyDescent="0.2">
      <c r="A10" s="23">
        <f>A9+1</f>
        <v>6</v>
      </c>
      <c r="B10" s="47" t="s">
        <v>69</v>
      </c>
      <c r="C10" s="36" t="s">
        <v>56</v>
      </c>
      <c r="D10" s="35"/>
      <c r="E10" s="37">
        <f>[3]Паспорт!$E$31</f>
        <v>232900</v>
      </c>
      <c r="F10" s="37">
        <f>[3]Паспорт!$F$31</f>
        <v>359654</v>
      </c>
      <c r="G10" s="38">
        <f>[3]Паспорт!$I$31</f>
        <v>0.97859202380952381</v>
      </c>
      <c r="H10" s="43">
        <f>[3]Паспорт!$H$31</f>
        <v>16440346</v>
      </c>
      <c r="I10" s="39">
        <f>E10/F10</f>
        <v>0.64756682811813582</v>
      </c>
      <c r="J10" s="40"/>
      <c r="K10" s="14"/>
    </row>
    <row r="11" spans="1:11" s="17" customFormat="1" ht="40.15" customHeight="1" x14ac:dyDescent="0.2">
      <c r="A11" s="23">
        <f>A10+1</f>
        <v>7</v>
      </c>
      <c r="B11" s="46" t="s">
        <v>65</v>
      </c>
      <c r="C11" s="10"/>
      <c r="D11" s="15"/>
      <c r="E11" s="24">
        <f>[4]Паспорт!$E$32</f>
        <v>436272</v>
      </c>
      <c r="F11" s="24">
        <f>[4]Паспорт!$F$32</f>
        <v>462924</v>
      </c>
      <c r="G11" s="25">
        <f>[4]Паспорт!$I$32</f>
        <v>0.972445</v>
      </c>
      <c r="H11" s="24">
        <f>[4]Паспорт!$H$32</f>
        <v>16337076</v>
      </c>
      <c r="I11" s="26">
        <f>E11/F11</f>
        <v>0.94242683464240351</v>
      </c>
      <c r="J11" s="11"/>
      <c r="K11" s="16"/>
    </row>
    <row r="12" spans="1:11" s="17" customFormat="1" ht="40.15" customHeight="1" x14ac:dyDescent="0.2">
      <c r="A12" s="23">
        <f>A11+1</f>
        <v>8</v>
      </c>
      <c r="B12" s="46" t="s">
        <v>71</v>
      </c>
      <c r="C12" s="10" t="s">
        <v>12</v>
      </c>
      <c r="D12" s="15"/>
      <c r="E12" s="37">
        <f>[6]Паспорт!$E$31</f>
        <v>713912</v>
      </c>
      <c r="F12" s="27">
        <f>[6]Паспорт!$F$31</f>
        <v>796205</v>
      </c>
      <c r="G12" s="19">
        <f>[6]Паспорт!$I$31</f>
        <v>0.94829837662337657</v>
      </c>
      <c r="H12" s="20">
        <f>[6]Паспорт!$H$31</f>
        <v>14603795</v>
      </c>
      <c r="I12" s="26">
        <f>E12/F12</f>
        <v>0.89664345237721443</v>
      </c>
      <c r="J12" s="11"/>
      <c r="K12" s="14"/>
    </row>
    <row r="13" spans="1:11" s="17" customFormat="1" ht="40.15" customHeight="1" x14ac:dyDescent="0.2">
      <c r="A13" s="23">
        <f>A12+1</f>
        <v>9</v>
      </c>
      <c r="B13" s="46" t="s">
        <v>59</v>
      </c>
      <c r="C13" s="10" t="s">
        <v>57</v>
      </c>
      <c r="D13" s="15" t="s">
        <v>58</v>
      </c>
      <c r="E13" s="27">
        <f>[7]Паспорт!$E$32</f>
        <v>833490</v>
      </c>
      <c r="F13" s="27">
        <f>[7]Паспорт!$F$32</f>
        <v>911671</v>
      </c>
      <c r="G13" s="19">
        <f>100%-F13/[7]Паспорт!$A$21</f>
        <v>0.94573386904761902</v>
      </c>
      <c r="H13" s="20">
        <f>[7]Паспорт!$A$21-F13</f>
        <v>15888329</v>
      </c>
      <c r="I13" s="26">
        <f>E13/F13</f>
        <v>0.91424428329956753</v>
      </c>
      <c r="J13" s="11"/>
      <c r="K13" s="14"/>
    </row>
    <row r="14" spans="1:11" s="17" customFormat="1" ht="40.15" customHeight="1" x14ac:dyDescent="0.2">
      <c r="A14" s="23">
        <f>A13+1</f>
        <v>10</v>
      </c>
      <c r="B14" s="46" t="s">
        <v>23</v>
      </c>
      <c r="C14" s="10" t="s">
        <v>10</v>
      </c>
      <c r="D14" s="15" t="s">
        <v>11</v>
      </c>
      <c r="E14" s="27">
        <v>763476</v>
      </c>
      <c r="F14" s="27">
        <v>975569</v>
      </c>
      <c r="G14" s="19">
        <f>100%-F14/16800000</f>
        <v>0.94193041666666666</v>
      </c>
      <c r="H14" s="20">
        <f>16800000-F14</f>
        <v>15824431</v>
      </c>
      <c r="I14" s="26">
        <f>E14/F14</f>
        <v>0.78259559293089465</v>
      </c>
      <c r="J14" s="11"/>
      <c r="K14" s="14"/>
    </row>
    <row r="15" spans="1:11" s="14" customFormat="1" ht="40.15" customHeight="1" x14ac:dyDescent="0.2">
      <c r="A15" s="23">
        <f>A14+1</f>
        <v>11</v>
      </c>
      <c r="B15" s="46" t="s">
        <v>75</v>
      </c>
      <c r="C15" s="10"/>
      <c r="D15" s="15"/>
      <c r="E15" s="37">
        <f>[5]Паспорт!$E$32</f>
        <v>899340</v>
      </c>
      <c r="F15" s="27">
        <f>[5]Паспорт!$F$32</f>
        <v>991358</v>
      </c>
      <c r="G15" s="19">
        <f>[5]Паспорт!$I$32</f>
        <v>0.94099059523809525</v>
      </c>
      <c r="H15" s="20">
        <f>[5]Паспорт!$H$32</f>
        <v>15808642</v>
      </c>
      <c r="I15" s="26">
        <f>E15/F15</f>
        <v>0.90717984824856412</v>
      </c>
      <c r="J15" s="11"/>
    </row>
    <row r="16" spans="1:11" s="14" customFormat="1" ht="40.15" customHeight="1" x14ac:dyDescent="0.2">
      <c r="A16" s="23">
        <f>A15+1</f>
        <v>12</v>
      </c>
      <c r="B16" s="47" t="s">
        <v>47</v>
      </c>
      <c r="C16" s="36" t="s">
        <v>10</v>
      </c>
      <c r="D16" s="35" t="s">
        <v>11</v>
      </c>
      <c r="E16" s="37">
        <f>[8]Паспорт!$E$37</f>
        <v>761670</v>
      </c>
      <c r="F16" s="37">
        <f>[8]Паспорт!$F$37</f>
        <v>873407</v>
      </c>
      <c r="G16" s="38">
        <f>100%-F16/[8]Паспорт!$A$21</f>
        <v>0.93761378571428566</v>
      </c>
      <c r="H16" s="43">
        <f>[8]Паспорт!$A$21-F16</f>
        <v>13126593</v>
      </c>
      <c r="I16" s="39">
        <f>E16/F16</f>
        <v>0.87206766146825021</v>
      </c>
      <c r="J16" s="40"/>
      <c r="K16" s="41"/>
    </row>
    <row r="17" spans="1:11" s="14" customFormat="1" ht="40.15" customHeight="1" x14ac:dyDescent="0.2">
      <c r="A17" s="23">
        <f>A16+1</f>
        <v>13</v>
      </c>
      <c r="B17" s="46" t="s">
        <v>51</v>
      </c>
      <c r="C17" s="36" t="s">
        <v>10</v>
      </c>
      <c r="D17" s="35" t="s">
        <v>11</v>
      </c>
      <c r="E17" s="33">
        <f>[10]Паспорт!$E$32</f>
        <v>1222650</v>
      </c>
      <c r="F17" s="24">
        <f>[10]Паспорт!$F$32</f>
        <v>1344169</v>
      </c>
      <c r="G17" s="25">
        <f>100%-F17/[10]Паспорт!$A$21</f>
        <v>0.91271629870129867</v>
      </c>
      <c r="H17" s="24">
        <f>[10]Паспорт!$A$21-F17</f>
        <v>14055831</v>
      </c>
      <c r="I17" s="26">
        <f>E17/F17</f>
        <v>0.90959544521559421</v>
      </c>
      <c r="J17" s="11"/>
      <c r="K17" s="18"/>
    </row>
    <row r="18" spans="1:11" s="14" customFormat="1" ht="40.15" customHeight="1" x14ac:dyDescent="0.2">
      <c r="A18" s="23">
        <f>A17+1</f>
        <v>14</v>
      </c>
      <c r="B18" s="46" t="s">
        <v>28</v>
      </c>
      <c r="C18" s="10" t="s">
        <v>10</v>
      </c>
      <c r="D18" s="15" t="s">
        <v>11</v>
      </c>
      <c r="E18" s="27">
        <f>[11]Лист1!$E$32</f>
        <v>1036020</v>
      </c>
      <c r="F18" s="27">
        <f>[11]Лист1!$F$32</f>
        <v>1292677</v>
      </c>
      <c r="G18" s="12">
        <f>100%-F18/[11]Лист1!$A$21</f>
        <v>0.90766592857142858</v>
      </c>
      <c r="H18" s="13">
        <f>[11]Лист1!$A$21-F18</f>
        <v>12707323</v>
      </c>
      <c r="I18" s="26">
        <f>E18/F18</f>
        <v>0.80145310854915808</v>
      </c>
      <c r="J18" s="11"/>
    </row>
    <row r="19" spans="1:11" s="14" customFormat="1" ht="40.15" customHeight="1" x14ac:dyDescent="0.2">
      <c r="A19" s="23">
        <f>A18+1</f>
        <v>15</v>
      </c>
      <c r="B19" s="47" t="s">
        <v>68</v>
      </c>
      <c r="C19" s="36" t="s">
        <v>56</v>
      </c>
      <c r="D19" s="35"/>
      <c r="E19" s="37">
        <f>[9]Паспорт!$E$31</f>
        <v>1615056</v>
      </c>
      <c r="F19" s="37">
        <f>[9]Паспорт!$F$31</f>
        <v>1753120</v>
      </c>
      <c r="G19" s="69">
        <f>[9]Паспорт!$I$31</f>
        <v>0.89564761904761903</v>
      </c>
      <c r="H19" s="70">
        <f>[9]Паспорт!$H$31</f>
        <v>15046880</v>
      </c>
      <c r="I19" s="39">
        <f>E19/F19</f>
        <v>0.9212466916126677</v>
      </c>
      <c r="J19" s="40"/>
    </row>
    <row r="20" spans="1:11" s="14" customFormat="1" ht="40.15" customHeight="1" x14ac:dyDescent="0.2">
      <c r="A20" s="23">
        <f>A19+1</f>
        <v>16</v>
      </c>
      <c r="B20" s="46" t="s">
        <v>19</v>
      </c>
      <c r="C20" s="10" t="s">
        <v>10</v>
      </c>
      <c r="D20" s="15" t="s">
        <v>11</v>
      </c>
      <c r="E20" s="100">
        <f>[15]Паспорт!$E$32</f>
        <v>1772226</v>
      </c>
      <c r="F20" s="48">
        <f>[15]Паспорт!$F$32</f>
        <v>1862007</v>
      </c>
      <c r="G20" s="12">
        <f>[15]Паспорт!$I$32</f>
        <v>0.88916625000000005</v>
      </c>
      <c r="H20" s="13">
        <f>[15]Паспорт!$H$32</f>
        <v>14937993</v>
      </c>
      <c r="I20" s="26">
        <f>E20/F20</f>
        <v>0.95178267321229193</v>
      </c>
      <c r="J20" s="11"/>
    </row>
    <row r="21" spans="1:11" s="14" customFormat="1" ht="40.15" customHeight="1" x14ac:dyDescent="0.2">
      <c r="A21" s="23">
        <f>A20+1</f>
        <v>17</v>
      </c>
      <c r="B21" s="46" t="s">
        <v>27</v>
      </c>
      <c r="C21" s="10" t="s">
        <v>10</v>
      </c>
      <c r="D21" s="15" t="s">
        <v>11</v>
      </c>
      <c r="E21" s="27">
        <f>[16]Лист1!$E$32</f>
        <v>1423626</v>
      </c>
      <c r="F21" s="27">
        <f>[16]Лист1!$F$32</f>
        <v>1582238</v>
      </c>
      <c r="G21" s="12">
        <f>[16]Лист1!$I$32</f>
        <v>0.87442555555555557</v>
      </c>
      <c r="H21" s="13">
        <f>[16]Лист1!$H$32</f>
        <v>11017762</v>
      </c>
      <c r="I21" s="26">
        <f>E21/F21</f>
        <v>0.89975465132299948</v>
      </c>
      <c r="J21" s="11"/>
    </row>
    <row r="22" spans="1:11" s="22" customFormat="1" ht="45.6" customHeight="1" x14ac:dyDescent="0.2">
      <c r="A22" s="23">
        <f>A21+1</f>
        <v>18</v>
      </c>
      <c r="B22" s="46" t="s">
        <v>55</v>
      </c>
      <c r="C22" s="10"/>
      <c r="D22" s="15"/>
      <c r="E22" s="27">
        <f>[13]Паспорт!$E$32</f>
        <v>2251092</v>
      </c>
      <c r="F22" s="27">
        <f>[13]Паспорт!$F$32</f>
        <v>2430801</v>
      </c>
      <c r="G22" s="12">
        <f>100%-F22/[13]Паспорт!$A$21</f>
        <v>0.86643950549450555</v>
      </c>
      <c r="H22" s="13">
        <f>[13]Паспорт!$A$21-F22</f>
        <v>15769199</v>
      </c>
      <c r="I22" s="26">
        <f>E22/F22</f>
        <v>0.92607004851487229</v>
      </c>
      <c r="J22" s="11"/>
      <c r="K22" s="14"/>
    </row>
    <row r="23" spans="1:11" s="14" customFormat="1" ht="40.15" customHeight="1" x14ac:dyDescent="0.2">
      <c r="A23" s="23">
        <f>A22+1</f>
        <v>19</v>
      </c>
      <c r="B23" s="46" t="s">
        <v>72</v>
      </c>
      <c r="C23" s="10" t="s">
        <v>10</v>
      </c>
      <c r="D23" s="15" t="s">
        <v>11</v>
      </c>
      <c r="E23" s="37">
        <f>[12]Паспорт!$E$32</f>
        <v>2282400</v>
      </c>
      <c r="F23" s="27">
        <f>[12]Паспорт!$F$32</f>
        <v>2374283</v>
      </c>
      <c r="G23" s="12">
        <f>[12]Паспорт!$I$32</f>
        <v>0.85867363095238092</v>
      </c>
      <c r="H23" s="13">
        <f>[12]Паспорт!$H$32</f>
        <v>14425717</v>
      </c>
      <c r="I23" s="26">
        <f>E23/F23</f>
        <v>0.96130073794909876</v>
      </c>
      <c r="J23" s="11"/>
    </row>
    <row r="24" spans="1:11" s="14" customFormat="1" ht="40.15" customHeight="1" x14ac:dyDescent="0.2">
      <c r="A24" s="23">
        <f>A23+1</f>
        <v>20</v>
      </c>
      <c r="B24" s="46" t="s">
        <v>60</v>
      </c>
      <c r="C24" s="10" t="s">
        <v>10</v>
      </c>
      <c r="D24" s="15" t="s">
        <v>64</v>
      </c>
      <c r="E24" s="27">
        <f>[14]Паспорт!$E$31</f>
        <v>2379828</v>
      </c>
      <c r="F24" s="27">
        <f>[14]Паспорт!$F$31</f>
        <v>2473246</v>
      </c>
      <c r="G24" s="12">
        <f>100%-F24/[14]Паспорт!$A$20</f>
        <v>0.85278297619047616</v>
      </c>
      <c r="H24" s="13">
        <f>[14]Паспорт!$A$20-F24</f>
        <v>14326754</v>
      </c>
      <c r="I24" s="26">
        <f>E24/F24</f>
        <v>0.96222858542983591</v>
      </c>
      <c r="J24" s="11"/>
    </row>
    <row r="25" spans="1:11" s="14" customFormat="1" ht="40.15" customHeight="1" x14ac:dyDescent="0.2">
      <c r="A25" s="23">
        <f>A24+1</f>
        <v>21</v>
      </c>
      <c r="B25" s="46" t="s">
        <v>52</v>
      </c>
      <c r="C25" s="10" t="s">
        <v>10</v>
      </c>
      <c r="D25" s="15" t="s">
        <v>11</v>
      </c>
      <c r="E25" s="27">
        <f>[17]Паспорт!$E$32</f>
        <v>2853648</v>
      </c>
      <c r="F25" s="27">
        <f>[17]Паспорт!$F$32</f>
        <v>3021559</v>
      </c>
      <c r="G25" s="12">
        <f>100%-F25/[17]Паспорт!$A$21</f>
        <v>0.82014529761904764</v>
      </c>
      <c r="H25" s="13">
        <f>[17]Паспорт!$A$21-F25</f>
        <v>13778441</v>
      </c>
      <c r="I25" s="26">
        <f>E25/F25</f>
        <v>0.94442901826507442</v>
      </c>
      <c r="J25" s="11"/>
    </row>
    <row r="26" spans="1:11" s="14" customFormat="1" ht="40.15" customHeight="1" x14ac:dyDescent="0.2">
      <c r="A26" s="23">
        <f>A25+1</f>
        <v>22</v>
      </c>
      <c r="B26" s="49" t="s">
        <v>46</v>
      </c>
      <c r="C26" s="50"/>
      <c r="D26" s="21"/>
      <c r="E26" s="51">
        <f>[18]Лист1!$E$33</f>
        <v>2880934</v>
      </c>
      <c r="F26" s="51">
        <f>[18]Лист1!$F$33</f>
        <v>3213050</v>
      </c>
      <c r="G26" s="72">
        <f>100%-F26/[18]Лист1!$A$22</f>
        <v>0.80874702380952379</v>
      </c>
      <c r="H26" s="73">
        <f>[18]Лист1!$A$22-F26</f>
        <v>13586950</v>
      </c>
      <c r="I26" s="53">
        <f>E26/F26</f>
        <v>0.89663528423149341</v>
      </c>
      <c r="J26" s="54"/>
      <c r="K26" s="18"/>
    </row>
    <row r="27" spans="1:11" s="14" customFormat="1" ht="40.15" customHeight="1" x14ac:dyDescent="0.2">
      <c r="A27" s="23">
        <f>A26+1</f>
        <v>23</v>
      </c>
      <c r="B27" s="46" t="s">
        <v>44</v>
      </c>
      <c r="C27" s="10"/>
      <c r="D27" s="15"/>
      <c r="E27" s="33">
        <f>[19]Паспорт!$E$31</f>
        <v>2673204</v>
      </c>
      <c r="F27" s="24">
        <f>[19]Паспорт!$F$31</f>
        <v>3078104</v>
      </c>
      <c r="G27" s="29">
        <f>100%-F27/[19]Паспорт!$A$20</f>
        <v>0.80012311688311688</v>
      </c>
      <c r="H27" s="30">
        <f>[19]Паспорт!$A$20-F27</f>
        <v>12321896</v>
      </c>
      <c r="I27" s="26">
        <f>E27/F27</f>
        <v>0.8684579858250403</v>
      </c>
      <c r="J27" s="11"/>
      <c r="K27" s="18"/>
    </row>
    <row r="28" spans="1:11" s="14" customFormat="1" ht="40.15" customHeight="1" x14ac:dyDescent="0.2">
      <c r="A28" s="23">
        <f>A27+1</f>
        <v>24</v>
      </c>
      <c r="B28" s="46" t="s">
        <v>41</v>
      </c>
      <c r="C28" s="10"/>
      <c r="D28" s="15"/>
      <c r="E28" s="33">
        <f>[20]Паспорт!$E$32</f>
        <v>2939946</v>
      </c>
      <c r="F28" s="24">
        <f>[20]Паспорт!$F$32</f>
        <v>3219779</v>
      </c>
      <c r="G28" s="29">
        <f>100%-F28/[20]Паспорт!$A$21</f>
        <v>0.79092344155844152</v>
      </c>
      <c r="H28" s="30">
        <f>[20]Паспорт!$A$21-F28</f>
        <v>12180221</v>
      </c>
      <c r="I28" s="26">
        <f>E28/F28</f>
        <v>0.91308937663112899</v>
      </c>
      <c r="J28" s="11"/>
      <c r="K28" s="18"/>
    </row>
    <row r="29" spans="1:11" s="14" customFormat="1" ht="40.15" customHeight="1" x14ac:dyDescent="0.2">
      <c r="A29" s="23">
        <f>A28+1</f>
        <v>25</v>
      </c>
      <c r="B29" s="46" t="s">
        <v>24</v>
      </c>
      <c r="C29" s="10" t="s">
        <v>10</v>
      </c>
      <c r="D29" s="15" t="s">
        <v>11</v>
      </c>
      <c r="E29" s="27"/>
      <c r="F29" s="27">
        <v>3080000</v>
      </c>
      <c r="G29" s="12">
        <f>100%-F29/14000000</f>
        <v>0.78</v>
      </c>
      <c r="H29" s="13">
        <f>14000000-F29</f>
        <v>10920000</v>
      </c>
      <c r="I29" s="26">
        <f>E29/F29</f>
        <v>0</v>
      </c>
      <c r="J29" s="11"/>
    </row>
    <row r="30" spans="1:11" s="14" customFormat="1" ht="40.15" customHeight="1" x14ac:dyDescent="0.2">
      <c r="A30" s="23">
        <f>A29+1</f>
        <v>26</v>
      </c>
      <c r="B30" s="47" t="s">
        <v>48</v>
      </c>
      <c r="C30" s="36" t="s">
        <v>49</v>
      </c>
      <c r="D30" s="35" t="s">
        <v>50</v>
      </c>
      <c r="E30" s="33">
        <f>[21]Паспорт!$E$32</f>
        <v>3401284</v>
      </c>
      <c r="F30" s="33">
        <f>[21]Паспорт!$F$32</f>
        <v>3627561</v>
      </c>
      <c r="G30" s="44">
        <f>100%-F30/[21]Паспорт!$A$21</f>
        <v>0.76444409090909093</v>
      </c>
      <c r="H30" s="34">
        <f>[21]Паспорт!$A$21-F30</f>
        <v>11772439</v>
      </c>
      <c r="I30" s="39">
        <f>E30/F30</f>
        <v>0.93762282701793298</v>
      </c>
      <c r="J30" s="40"/>
      <c r="K30" s="42"/>
    </row>
    <row r="31" spans="1:11" s="14" customFormat="1" ht="40.15" customHeight="1" x14ac:dyDescent="0.2">
      <c r="A31" s="23">
        <f>A30+1</f>
        <v>27</v>
      </c>
      <c r="B31" s="46" t="s">
        <v>16</v>
      </c>
      <c r="C31" s="10" t="s">
        <v>10</v>
      </c>
      <c r="D31" s="15" t="s">
        <v>11</v>
      </c>
      <c r="E31" s="28">
        <f>[22]Лист1!$E$32</f>
        <v>1841664</v>
      </c>
      <c r="F31" s="24">
        <f>[22]Лист1!$F$32</f>
        <v>4196198</v>
      </c>
      <c r="G31" s="29">
        <f>100%-F31/[22]Лист1!$A$21</f>
        <v>0.75022630952380953</v>
      </c>
      <c r="H31" s="30">
        <f>[22]Лист1!$A$21-F31</f>
        <v>12603802</v>
      </c>
      <c r="I31" s="26">
        <f>E31/F31</f>
        <v>0.43888872736701173</v>
      </c>
      <c r="J31" s="11"/>
      <c r="K31" s="16"/>
    </row>
    <row r="32" spans="1:11" s="14" customFormat="1" ht="40.15" customHeight="1" x14ac:dyDescent="0.2">
      <c r="A32" s="23">
        <f>A31+1</f>
        <v>28</v>
      </c>
      <c r="B32" s="46" t="s">
        <v>33</v>
      </c>
      <c r="C32" s="10" t="s">
        <v>10</v>
      </c>
      <c r="D32" s="15" t="s">
        <v>11</v>
      </c>
      <c r="E32" s="27">
        <f>[23]Лист1!$E$30</f>
        <v>4109952</v>
      </c>
      <c r="F32" s="27">
        <f>[23]Лист1!$F$30</f>
        <v>4708790</v>
      </c>
      <c r="G32" s="12">
        <f>100%-F32/[23]Лист1!$A$19</f>
        <v>0.74127527472527466</v>
      </c>
      <c r="H32" s="13">
        <f>[23]Лист1!$A$19-F32</f>
        <v>13491210</v>
      </c>
      <c r="I32" s="26">
        <f>E32/F32</f>
        <v>0.87282550294236949</v>
      </c>
      <c r="J32" s="11"/>
      <c r="K32"/>
    </row>
    <row r="33" spans="1:11" s="14" customFormat="1" ht="40.15" customHeight="1" x14ac:dyDescent="0.2">
      <c r="A33" s="23">
        <f>A32+1</f>
        <v>29</v>
      </c>
      <c r="B33" s="46" t="s">
        <v>20</v>
      </c>
      <c r="C33" s="10" t="s">
        <v>10</v>
      </c>
      <c r="D33" s="15" t="s">
        <v>11</v>
      </c>
      <c r="E33" s="28">
        <f>[24]Лист1!$E$31</f>
        <v>2529144</v>
      </c>
      <c r="F33" s="24">
        <f>[24]Лист1!$F$31</f>
        <v>3332388</v>
      </c>
      <c r="G33" s="29">
        <f>100%-F33/[24]Лист1!$A$20</f>
        <v>0.7355247619047619</v>
      </c>
      <c r="H33" s="30">
        <f>[24]Лист1!$A$20-F33</f>
        <v>9267612</v>
      </c>
      <c r="I33" s="26">
        <f>E33/F33</f>
        <v>0.75895844061375806</v>
      </c>
      <c r="J33" s="11"/>
      <c r="K33" s="16"/>
    </row>
    <row r="34" spans="1:11" s="14" customFormat="1" ht="40.15" customHeight="1" x14ac:dyDescent="0.2">
      <c r="A34" s="23">
        <f>A33+1</f>
        <v>30</v>
      </c>
      <c r="B34" s="46" t="s">
        <v>21</v>
      </c>
      <c r="C34" s="10" t="s">
        <v>10</v>
      </c>
      <c r="D34" s="15" t="s">
        <v>11</v>
      </c>
      <c r="E34" s="28">
        <f>[25]Лист1!$E$31</f>
        <v>1361360</v>
      </c>
      <c r="F34" s="24">
        <f>[25]Лист1!$F$31</f>
        <v>4846035</v>
      </c>
      <c r="G34" s="29">
        <f>[25]Лист1!$I$31</f>
        <v>0.71154553571428569</v>
      </c>
      <c r="H34" s="30">
        <f>[25]Лист1!$H$31</f>
        <v>11953965</v>
      </c>
      <c r="I34" s="26">
        <f>E34/F34</f>
        <v>0.28092244484408385</v>
      </c>
      <c r="J34" s="11"/>
    </row>
    <row r="35" spans="1:11" ht="40.15" customHeight="1" x14ac:dyDescent="0.2">
      <c r="A35" s="23">
        <f>A34+1</f>
        <v>31</v>
      </c>
      <c r="B35" s="46" t="s">
        <v>66</v>
      </c>
      <c r="C35" s="10" t="s">
        <v>10</v>
      </c>
      <c r="D35" s="15" t="s">
        <v>11</v>
      </c>
      <c r="E35" s="37">
        <f>[26]Паспорт!$E$32</f>
        <v>4859136</v>
      </c>
      <c r="F35" s="27">
        <f>[26]Паспорт!$F$32</f>
        <v>5068528</v>
      </c>
      <c r="G35" s="12">
        <f>[26]Паспорт!$I$32</f>
        <v>0.69830190476190479</v>
      </c>
      <c r="H35" s="13">
        <f>[26]Паспорт!$H$32</f>
        <v>11731472</v>
      </c>
      <c r="I35" s="26">
        <f>E35/F35</f>
        <v>0.95868780837355538</v>
      </c>
      <c r="J35" s="11"/>
      <c r="K35" s="14"/>
    </row>
    <row r="36" spans="1:11" ht="40.15" customHeight="1" x14ac:dyDescent="0.2">
      <c r="A36" s="23">
        <f>A35+1</f>
        <v>32</v>
      </c>
      <c r="B36" s="47" t="s">
        <v>38</v>
      </c>
      <c r="C36" s="36"/>
      <c r="D36" s="35"/>
      <c r="E36" s="37">
        <f>[27]Лист1!$E$33</f>
        <v>6044050</v>
      </c>
      <c r="F36" s="32">
        <f>[27]Лист1!$F$33</f>
        <v>6475979</v>
      </c>
      <c r="G36" s="69">
        <f>[27]Лист1!$I$33</f>
        <v>0.64417697802197804</v>
      </c>
      <c r="H36" s="70">
        <f>[27]Лист1!$H$33</f>
        <v>11724021</v>
      </c>
      <c r="I36" s="39">
        <f>E36/F36</f>
        <v>0.93330290292788165</v>
      </c>
      <c r="J36" s="40"/>
      <c r="K36" s="14"/>
    </row>
    <row r="37" spans="1:11" ht="40.15" customHeight="1" x14ac:dyDescent="0.2">
      <c r="A37" s="23">
        <f>A36+1</f>
        <v>33</v>
      </c>
      <c r="B37" s="46" t="s">
        <v>30</v>
      </c>
      <c r="C37" s="10" t="s">
        <v>10</v>
      </c>
      <c r="D37" s="15" t="s">
        <v>11</v>
      </c>
      <c r="E37" s="27">
        <f>[28]Лист1!$E$30</f>
        <v>7698145</v>
      </c>
      <c r="F37" s="27">
        <f>[28]Лист1!$F$30</f>
        <v>8363755</v>
      </c>
      <c r="G37" s="12">
        <f>100%-F37/[28]Лист1!$A$19</f>
        <v>0.55747328042328048</v>
      </c>
      <c r="H37" s="13">
        <f>[28]Лист1!$A$19-F37</f>
        <v>10536245</v>
      </c>
      <c r="I37" s="26">
        <f>E37/F37</f>
        <v>0.92041732451512503</v>
      </c>
      <c r="J37" s="11"/>
      <c r="K37" s="14"/>
    </row>
    <row r="38" spans="1:11" s="41" customFormat="1" ht="40.15" customHeight="1" x14ac:dyDescent="0.2">
      <c r="A38" s="23">
        <f>A37+1</f>
        <v>34</v>
      </c>
      <c r="B38" s="46" t="s">
        <v>29</v>
      </c>
      <c r="C38" s="10" t="s">
        <v>12</v>
      </c>
      <c r="D38" s="15" t="s">
        <v>13</v>
      </c>
      <c r="E38" s="27">
        <f>[29]Лист1!$E$32</f>
        <v>6515718</v>
      </c>
      <c r="F38" s="27">
        <f>[29]Лист1!$F$32</f>
        <v>6867053</v>
      </c>
      <c r="G38" s="12">
        <f>100%-F38/[29]Лист1!$A$21</f>
        <v>0.55408746753246751</v>
      </c>
      <c r="H38" s="13">
        <f>[29]Лист1!$A$21-F38</f>
        <v>8532947</v>
      </c>
      <c r="I38" s="26">
        <f>E38/F38</f>
        <v>0.94883758724448464</v>
      </c>
      <c r="J38" s="11"/>
      <c r="K38" s="14"/>
    </row>
    <row r="39" spans="1:11" ht="40.15" customHeight="1" x14ac:dyDescent="0.2">
      <c r="A39" s="23">
        <f>A38+1</f>
        <v>35</v>
      </c>
      <c r="B39" s="47" t="s">
        <v>26</v>
      </c>
      <c r="C39" s="36" t="s">
        <v>10</v>
      </c>
      <c r="D39" s="35" t="s">
        <v>11</v>
      </c>
      <c r="E39" s="37">
        <f>[30]Паспорт!$E$31</f>
        <v>7401744</v>
      </c>
      <c r="F39" s="37">
        <f>[30]Паспорт!$F$31</f>
        <v>7685939</v>
      </c>
      <c r="G39" s="69">
        <f>[30]Паспорт!$I$31</f>
        <v>0.54250363095238097</v>
      </c>
      <c r="H39" s="70">
        <f>[30]Паспорт!$H$31</f>
        <v>9114061</v>
      </c>
      <c r="I39" s="26">
        <f>E39/F39</f>
        <v>0.96302403649053159</v>
      </c>
      <c r="J39" s="40"/>
      <c r="K39" s="14"/>
    </row>
    <row r="40" spans="1:11" ht="40.15" customHeight="1" x14ac:dyDescent="0.2">
      <c r="A40" s="23">
        <f>A39+1</f>
        <v>36</v>
      </c>
      <c r="B40" s="46" t="s">
        <v>42</v>
      </c>
      <c r="C40" s="36" t="s">
        <v>10</v>
      </c>
      <c r="D40" s="35" t="s">
        <v>11</v>
      </c>
      <c r="E40" s="33">
        <f>[31]Паспорт!$E$32</f>
        <v>7189065</v>
      </c>
      <c r="F40" s="33">
        <f>[31]Паспорт!$F$32</f>
        <v>7718319</v>
      </c>
      <c r="G40" s="31">
        <f>100%-F40/[31]Паспорт!$A$21</f>
        <v>0.54057624999999998</v>
      </c>
      <c r="H40" s="30">
        <f>[31]Паспорт!$A$21-F40</f>
        <v>9081681</v>
      </c>
      <c r="I40" s="26">
        <f>E40/F40</f>
        <v>0.93142885128225461</v>
      </c>
      <c r="J40" s="11"/>
      <c r="K40" s="16"/>
    </row>
    <row r="41" spans="1:11" ht="40.15" customHeight="1" x14ac:dyDescent="0.2">
      <c r="A41" s="23">
        <f>A40+1</f>
        <v>37</v>
      </c>
      <c r="B41" s="46" t="s">
        <v>53</v>
      </c>
      <c r="C41" s="10" t="s">
        <v>56</v>
      </c>
      <c r="D41" s="15"/>
      <c r="E41" s="27">
        <f>[32]Паспорт!$E$32</f>
        <v>7801200</v>
      </c>
      <c r="F41" s="27">
        <f>[32]Паспорт!$F$32</f>
        <v>8210574</v>
      </c>
      <c r="G41" s="12">
        <f>100%-F41/[32]Паспорт!$A$21</f>
        <v>0.51127535714285721</v>
      </c>
      <c r="H41" s="13">
        <f>[32]Паспорт!$A$21-F41</f>
        <v>8589426</v>
      </c>
      <c r="I41" s="26">
        <f>E41/F41</f>
        <v>0.95014063572169249</v>
      </c>
      <c r="J41" s="11"/>
      <c r="K41" s="14"/>
    </row>
    <row r="42" spans="1:11" ht="40.15" customHeight="1" x14ac:dyDescent="0.2">
      <c r="A42" s="23">
        <f>A41+1</f>
        <v>38</v>
      </c>
      <c r="B42" s="46" t="s">
        <v>15</v>
      </c>
      <c r="C42" s="10" t="s">
        <v>10</v>
      </c>
      <c r="D42" s="15" t="s">
        <v>11</v>
      </c>
      <c r="E42" s="33">
        <f>[34]Паспорт!$E$32</f>
        <v>9890430</v>
      </c>
      <c r="F42" s="24">
        <f>[34]Паспорт!$F$32</f>
        <v>10532265</v>
      </c>
      <c r="G42" s="29">
        <f>[34]Паспорт!$I$32</f>
        <v>0.37307946428571426</v>
      </c>
      <c r="H42" s="30">
        <f>[34]Паспорт!$H$32</f>
        <v>6267735</v>
      </c>
      <c r="I42" s="26">
        <f>E42/F42</f>
        <v>0.93906011669854494</v>
      </c>
      <c r="J42" s="11"/>
      <c r="K42" s="16"/>
    </row>
    <row r="43" spans="1:11" ht="40.15" customHeight="1" x14ac:dyDescent="0.2">
      <c r="A43" s="23">
        <f>A42+1</f>
        <v>39</v>
      </c>
      <c r="B43" s="46" t="s">
        <v>32</v>
      </c>
      <c r="C43" s="10" t="s">
        <v>10</v>
      </c>
      <c r="D43" s="15" t="s">
        <v>11</v>
      </c>
      <c r="E43" s="24">
        <f>[35]Лист1!$E$39</f>
        <v>11248736</v>
      </c>
      <c r="F43" s="24">
        <f>[35]Лист1!$F$39</f>
        <v>12230442</v>
      </c>
      <c r="G43" s="25">
        <f>100%-F43/[35]Лист1!$A$25</f>
        <v>0.32799769230769227</v>
      </c>
      <c r="H43" s="24">
        <f>[35]Лист1!$A$25-F43</f>
        <v>5969558</v>
      </c>
      <c r="I43" s="26">
        <f>E43/F43</f>
        <v>0.91973258202769781</v>
      </c>
      <c r="J43" s="11"/>
      <c r="K43" s="16"/>
    </row>
    <row r="44" spans="1:11" ht="40.15" customHeight="1" x14ac:dyDescent="0.2">
      <c r="A44" s="23">
        <f>A43+1</f>
        <v>40</v>
      </c>
      <c r="B44" s="46" t="s">
        <v>14</v>
      </c>
      <c r="C44" s="10" t="s">
        <v>10</v>
      </c>
      <c r="D44" s="15" t="s">
        <v>11</v>
      </c>
      <c r="E44" s="28">
        <f>[36]Лист1!$E$35</f>
        <v>5961565</v>
      </c>
      <c r="F44" s="24">
        <f>[36]Лист1!$F$35</f>
        <v>9807693</v>
      </c>
      <c r="G44" s="26">
        <f>100%-F44/[36]Лист1!$A$24</f>
        <v>0.29945049999999995</v>
      </c>
      <c r="H44" s="24">
        <f>[36]Лист1!$A$24-F44</f>
        <v>4192307</v>
      </c>
      <c r="I44" s="26">
        <f>E44/F44</f>
        <v>0.60784580023049251</v>
      </c>
      <c r="J44" s="11"/>
      <c r="K44" s="16"/>
    </row>
    <row r="45" spans="1:11" ht="40.15" customHeight="1" x14ac:dyDescent="0.2">
      <c r="A45" s="23">
        <f>A44+1</f>
        <v>41</v>
      </c>
      <c r="B45" s="46" t="s">
        <v>36</v>
      </c>
      <c r="C45" s="10" t="s">
        <v>10</v>
      </c>
      <c r="D45" s="15" t="s">
        <v>11</v>
      </c>
      <c r="E45" s="32">
        <f>[37]Лист1!$E$31</f>
        <v>6585300</v>
      </c>
      <c r="F45" s="27">
        <f>[37]Лист1!$F$31</f>
        <v>10601261</v>
      </c>
      <c r="G45" s="19">
        <f>100%-F45/[37]Лист1!$A$20</f>
        <v>0.24276707142857146</v>
      </c>
      <c r="H45" s="20">
        <f>[37]Лист1!$A$20-F45</f>
        <v>3398739</v>
      </c>
      <c r="I45" s="26">
        <f>E45/F45</f>
        <v>0.62118081990434915</v>
      </c>
      <c r="J45" s="11"/>
      <c r="K45" s="14"/>
    </row>
    <row r="46" spans="1:11" ht="40.15" customHeight="1" x14ac:dyDescent="0.2">
      <c r="A46" s="23">
        <f>A45+1</f>
        <v>42</v>
      </c>
      <c r="B46" s="46" t="s">
        <v>35</v>
      </c>
      <c r="C46" s="10" t="s">
        <v>10</v>
      </c>
      <c r="D46" s="15" t="s">
        <v>11</v>
      </c>
      <c r="E46" s="37">
        <f>[33]Паспорт!$E$32</f>
        <v>13283472</v>
      </c>
      <c r="F46" s="27">
        <f>[33]Паспорт!$F$32</f>
        <v>13862300</v>
      </c>
      <c r="G46" s="19">
        <f>[33]Паспорт!$I$32</f>
        <v>0.17486309523809518</v>
      </c>
      <c r="H46" s="20">
        <f>[33]Паспорт!$H$32</f>
        <v>2937700</v>
      </c>
      <c r="I46" s="26">
        <f>E46/F46</f>
        <v>0.95824444716966162</v>
      </c>
      <c r="J46" s="11"/>
      <c r="K46" s="14"/>
    </row>
    <row r="47" spans="1:11" ht="40.15" customHeight="1" x14ac:dyDescent="0.2">
      <c r="A47" s="23">
        <f>A46+1</f>
        <v>43</v>
      </c>
      <c r="B47" s="46" t="s">
        <v>62</v>
      </c>
      <c r="C47" s="10" t="s">
        <v>10</v>
      </c>
      <c r="D47" s="15" t="s">
        <v>11</v>
      </c>
      <c r="E47" s="37">
        <f>[39]Паспорт!$E$38</f>
        <v>13806936</v>
      </c>
      <c r="F47" s="27">
        <f>[39]Паспорт!$F$38</f>
        <v>14281531</v>
      </c>
      <c r="G47" s="19">
        <f>[39]Паспорт!$I$38</f>
        <v>0.14990886904761902</v>
      </c>
      <c r="H47" s="20">
        <f>[39]Паспорт!$H$38</f>
        <v>2518469</v>
      </c>
      <c r="I47" s="26">
        <f>E47/F47</f>
        <v>0.96676861885465926</v>
      </c>
      <c r="J47" s="11"/>
      <c r="K47" s="14"/>
    </row>
    <row r="48" spans="1:11" ht="40.15" customHeight="1" x14ac:dyDescent="0.2">
      <c r="A48" s="23">
        <f>A47+1</f>
        <v>44</v>
      </c>
      <c r="B48" s="46" t="s">
        <v>31</v>
      </c>
      <c r="C48" s="10" t="s">
        <v>10</v>
      </c>
      <c r="D48" s="15" t="s">
        <v>11</v>
      </c>
      <c r="E48" s="27">
        <f>[41]Лист1!$E$50</f>
        <v>16268914</v>
      </c>
      <c r="F48" s="27">
        <f>[41]Лист1!$F$50</f>
        <v>17588921</v>
      </c>
      <c r="G48" s="19">
        <f>100%-F48/[41]Лист1!$A$25</f>
        <v>6.9369259259259297E-2</v>
      </c>
      <c r="H48" s="20">
        <f>[41]Лист1!$A$25-F48</f>
        <v>1311079</v>
      </c>
      <c r="I48" s="26">
        <f>E48/F48</f>
        <v>0.92495236063656205</v>
      </c>
      <c r="J48" s="11"/>
      <c r="K48" s="14"/>
    </row>
    <row r="49" spans="1:11" ht="40.15" customHeight="1" x14ac:dyDescent="0.2">
      <c r="A49" s="23">
        <f>A48+1</f>
        <v>45</v>
      </c>
      <c r="B49" s="46" t="s">
        <v>61</v>
      </c>
      <c r="C49" s="10" t="s">
        <v>57</v>
      </c>
      <c r="D49" s="15"/>
      <c r="E49" s="27">
        <f>[42]Лист1!$E$31</f>
        <v>15138400</v>
      </c>
      <c r="F49" s="27">
        <f>[42]Лист1!$F$31</f>
        <v>15759091</v>
      </c>
      <c r="G49" s="19">
        <f>100%-F49/[42]Лист1!$A$20</f>
        <v>6.1958869047619047E-2</v>
      </c>
      <c r="H49" s="20">
        <f>[42]Лист1!$A$20-F49</f>
        <v>1040909</v>
      </c>
      <c r="I49" s="26">
        <f>E49/F49</f>
        <v>0.9606137815943826</v>
      </c>
      <c r="J49" s="11"/>
      <c r="K49" s="14"/>
    </row>
    <row r="50" spans="1:11" ht="40.15" customHeight="1" x14ac:dyDescent="0.2">
      <c r="A50" s="23">
        <f>A49+1</f>
        <v>46</v>
      </c>
      <c r="B50" s="47" t="s">
        <v>70</v>
      </c>
      <c r="C50" s="36" t="s">
        <v>10</v>
      </c>
      <c r="D50" s="35" t="s">
        <v>11</v>
      </c>
      <c r="E50" s="33">
        <f>[38]Лист1!$E$32</f>
        <v>15466990</v>
      </c>
      <c r="F50" s="33">
        <f>[38]Лист1!$F$32</f>
        <v>15915971</v>
      </c>
      <c r="G50" s="78">
        <f>[38]Лист1!$I$32</f>
        <v>5.2620773809523791E-2</v>
      </c>
      <c r="H50" s="33">
        <f>[38]Лист1!$H$32</f>
        <v>884029</v>
      </c>
      <c r="I50" s="39">
        <f>E50/F50</f>
        <v>0.97179053668795956</v>
      </c>
      <c r="J50" s="40"/>
      <c r="K50" s="16"/>
    </row>
    <row r="51" spans="1:11" ht="40.15" customHeight="1" x14ac:dyDescent="0.2">
      <c r="A51" s="23">
        <f>A50+1</f>
        <v>47</v>
      </c>
      <c r="B51" s="101" t="s">
        <v>25</v>
      </c>
      <c r="C51" s="102" t="s">
        <v>10</v>
      </c>
      <c r="D51" s="103" t="s">
        <v>11</v>
      </c>
      <c r="E51" s="32">
        <f>[40]Лист1!$E$35</f>
        <v>12037830</v>
      </c>
      <c r="F51" s="32">
        <f>[40]Лист1!$F$35</f>
        <v>16823645</v>
      </c>
      <c r="G51" s="104">
        <f>100%-F51/[40]Лист1!$A$21</f>
        <v>-1.407440476190569E-3</v>
      </c>
      <c r="H51" s="105">
        <f>[40]Лист1!$A$21-F51</f>
        <v>-23645</v>
      </c>
      <c r="I51" s="106">
        <f>E51/F51</f>
        <v>0.71553043350593759</v>
      </c>
      <c r="J51" s="107"/>
      <c r="K51" s="14"/>
    </row>
    <row r="52" spans="1:11" ht="40.15" customHeight="1" x14ac:dyDescent="0.2">
      <c r="A52" s="23">
        <f>A51+1</f>
        <v>48</v>
      </c>
      <c r="B52" s="59" t="s">
        <v>43</v>
      </c>
      <c r="C52" s="60" t="s">
        <v>10</v>
      </c>
      <c r="D52" s="61" t="s">
        <v>11</v>
      </c>
      <c r="E52" s="62">
        <f>[43]Паспорт!$E$31</f>
        <v>16584750</v>
      </c>
      <c r="F52" s="62">
        <f>[43]Паспорт!$F$31</f>
        <v>17141946</v>
      </c>
      <c r="G52" s="63">
        <f>[43]Паспорт!$I$31</f>
        <v>-2.0353928571428481E-2</v>
      </c>
      <c r="H52" s="66">
        <f>[43]Паспорт!$H$31</f>
        <v>-341946</v>
      </c>
      <c r="I52" s="64">
        <f>E52/F52</f>
        <v>0.96749517236841143</v>
      </c>
      <c r="J52" s="65"/>
      <c r="K52" s="16"/>
    </row>
    <row r="53" spans="1:11" ht="40.15" customHeight="1" x14ac:dyDescent="0.2">
      <c r="A53" s="23">
        <f>A52+1</f>
        <v>49</v>
      </c>
      <c r="B53" s="59" t="s">
        <v>39</v>
      </c>
      <c r="C53" s="60" t="s">
        <v>10</v>
      </c>
      <c r="D53" s="61" t="s">
        <v>11</v>
      </c>
      <c r="E53" s="67">
        <f>[44]Лист1!$E$36</f>
        <v>14320272</v>
      </c>
      <c r="F53" s="67">
        <f>[44]Лист1!$F$36</f>
        <v>17268245</v>
      </c>
      <c r="G53" s="68">
        <f>100%-F53/[44]Лист1!$A$19</f>
        <v>-2.7871726190476176E-2</v>
      </c>
      <c r="H53" s="66">
        <f>[44]Лист1!$A$19-F53</f>
        <v>-468245</v>
      </c>
      <c r="I53" s="64">
        <f>E53/F53</f>
        <v>0.82928357803586872</v>
      </c>
      <c r="J53" s="65"/>
      <c r="K53" s="14"/>
    </row>
    <row r="54" spans="1:11" ht="40.15" customHeight="1" x14ac:dyDescent="0.2">
      <c r="A54" s="23">
        <f>A53+1</f>
        <v>50</v>
      </c>
      <c r="B54" s="59" t="s">
        <v>22</v>
      </c>
      <c r="C54" s="60" t="s">
        <v>10</v>
      </c>
      <c r="D54" s="61" t="s">
        <v>11</v>
      </c>
      <c r="E54" s="67">
        <f>[45]Лист1!$E$33</f>
        <v>9121896</v>
      </c>
      <c r="F54" s="67">
        <f>[45]Лист1!$F$33</f>
        <v>17665467</v>
      </c>
      <c r="G54" s="68">
        <f>[45]Лист1!$I$33</f>
        <v>-5.1515892857142864E-2</v>
      </c>
      <c r="H54" s="66">
        <f>[45]Лист1!$H$33</f>
        <v>-865467</v>
      </c>
      <c r="I54" s="64">
        <f>E54/F54</f>
        <v>0.51636880021343334</v>
      </c>
      <c r="J54" s="65"/>
      <c r="K54" s="14"/>
    </row>
    <row r="55" spans="1:11" ht="40.15" customHeight="1" x14ac:dyDescent="0.2">
      <c r="A55" s="23">
        <f>A54+1</f>
        <v>51</v>
      </c>
      <c r="B55" s="59" t="s">
        <v>67</v>
      </c>
      <c r="C55" s="60" t="s">
        <v>10</v>
      </c>
      <c r="D55" s="61" t="s">
        <v>11</v>
      </c>
      <c r="E55" s="67">
        <f>[46]Паспорт!$E$35</f>
        <v>48337963</v>
      </c>
      <c r="F55" s="67">
        <f>[46]Паспорт!$F$35</f>
        <v>49959239</v>
      </c>
      <c r="G55" s="68">
        <f>[46]Паспорт!$I$35</f>
        <v>-0.30102184895833339</v>
      </c>
      <c r="H55" s="66">
        <f>[46]Паспорт!$H$35</f>
        <v>-11559239</v>
      </c>
      <c r="I55" s="64">
        <f>E55/F55</f>
        <v>0.96754802450053334</v>
      </c>
      <c r="J55" s="65"/>
      <c r="K55" s="14"/>
    </row>
    <row r="57" spans="1:11" x14ac:dyDescent="0.2">
      <c r="B57" s="58" t="s">
        <v>63</v>
      </c>
      <c r="E57" s="45" t="s">
        <v>54</v>
      </c>
      <c r="F57" s="45"/>
      <c r="G57" s="45"/>
      <c r="H57" s="45"/>
    </row>
  </sheetData>
  <autoFilter ref="A3:K21" xr:uid="{00000000-0009-0000-0000-000000000000}">
    <filterColumn colId="6" showButton="0"/>
    <sortState ref="A6:K55">
      <sortCondition descending="1" ref="G3:G21"/>
    </sortState>
  </autoFilter>
  <mergeCells count="9">
    <mergeCell ref="J3:J4"/>
    <mergeCell ref="D2:E2"/>
    <mergeCell ref="A1:J1"/>
    <mergeCell ref="B3:B4"/>
    <mergeCell ref="A3:A4"/>
    <mergeCell ref="G3:H3"/>
    <mergeCell ref="D3:D4"/>
    <mergeCell ref="I3:I4"/>
    <mergeCell ref="C3:C4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3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CD56-DDE6-46AA-88B6-268DE5663730}">
  <dimension ref="A1:I4"/>
  <sheetViews>
    <sheetView workbookViewId="0">
      <selection activeCell="E10" sqref="E10"/>
    </sheetView>
  </sheetViews>
  <sheetFormatPr defaultRowHeight="12.75" x14ac:dyDescent="0.2"/>
  <cols>
    <col min="1" max="1" width="5.85546875" bestFit="1" customWidth="1"/>
    <col min="2" max="2" width="25.5703125" customWidth="1"/>
    <col min="3" max="3" width="20.85546875" customWidth="1"/>
    <col min="4" max="4" width="21.5703125" customWidth="1"/>
    <col min="5" max="5" width="15.7109375" customWidth="1"/>
    <col min="6" max="6" width="17.7109375" customWidth="1"/>
    <col min="7" max="7" width="13" customWidth="1"/>
    <col min="8" max="8" width="21.140625" customWidth="1"/>
    <col min="9" max="9" width="25.5703125" customWidth="1"/>
  </cols>
  <sheetData>
    <row r="1" spans="1:9" ht="51" x14ac:dyDescent="0.2">
      <c r="A1" s="86" t="s">
        <v>0</v>
      </c>
      <c r="B1" s="84" t="s">
        <v>5</v>
      </c>
      <c r="C1" s="94" t="s">
        <v>8</v>
      </c>
      <c r="D1" s="90" t="s">
        <v>9</v>
      </c>
      <c r="E1" s="6" t="s">
        <v>40</v>
      </c>
      <c r="F1" s="3" t="s">
        <v>6</v>
      </c>
      <c r="G1" s="88" t="s">
        <v>1</v>
      </c>
      <c r="H1" s="89"/>
      <c r="I1" s="92" t="s">
        <v>7</v>
      </c>
    </row>
    <row r="2" spans="1:9" ht="13.5" thickBot="1" x14ac:dyDescent="0.25">
      <c r="A2" s="87"/>
      <c r="B2" s="85"/>
      <c r="C2" s="95"/>
      <c r="D2" s="91"/>
      <c r="E2" s="7" t="s">
        <v>2</v>
      </c>
      <c r="F2" s="4" t="s">
        <v>2</v>
      </c>
      <c r="G2" s="4" t="s">
        <v>3</v>
      </c>
      <c r="H2" s="5" t="s">
        <v>2</v>
      </c>
      <c r="I2" s="93"/>
    </row>
    <row r="3" spans="1:9" ht="42.75" x14ac:dyDescent="0.2">
      <c r="A3" s="71">
        <v>1</v>
      </c>
      <c r="B3" s="59" t="s">
        <v>43</v>
      </c>
      <c r="C3" s="60" t="s">
        <v>10</v>
      </c>
      <c r="D3" s="61" t="s">
        <v>11</v>
      </c>
      <c r="E3" s="62">
        <f>[43]Паспорт!$E$31</f>
        <v>16584750</v>
      </c>
      <c r="F3" s="62">
        <f>[43]Паспорт!$F$31</f>
        <v>17141946</v>
      </c>
      <c r="G3" s="63">
        <f>[43]Паспорт!$I$31</f>
        <v>-2.0353928571428481E-2</v>
      </c>
      <c r="H3" s="66">
        <f>[43]Паспорт!$H$31</f>
        <v>-341946</v>
      </c>
      <c r="I3" s="64">
        <f>E3/F3</f>
        <v>0.96749517236841143</v>
      </c>
    </row>
    <row r="4" spans="1:9" ht="42.75" x14ac:dyDescent="0.2">
      <c r="A4" s="71">
        <f>A3+1</f>
        <v>2</v>
      </c>
      <c r="B4" s="59" t="s">
        <v>39</v>
      </c>
      <c r="C4" s="60" t="s">
        <v>10</v>
      </c>
      <c r="D4" s="61" t="s">
        <v>11</v>
      </c>
      <c r="E4" s="67">
        <f>[44]Лист1!$E$36</f>
        <v>14320272</v>
      </c>
      <c r="F4" s="67">
        <f>[44]Лист1!$F$36</f>
        <v>17268245</v>
      </c>
      <c r="G4" s="68">
        <f>100%-F4/[44]Лист1!$A$19</f>
        <v>-2.7871726190476176E-2</v>
      </c>
      <c r="H4" s="66">
        <f>[44]Лист1!$A$19-F4</f>
        <v>-468245</v>
      </c>
      <c r="I4" s="64">
        <f t="shared" ref="I4" si="0">E4/F4</f>
        <v>0.82928357803586872</v>
      </c>
    </row>
  </sheetData>
  <mergeCells count="6">
    <mergeCell ref="I1:I2"/>
    <mergeCell ref="A1:A2"/>
    <mergeCell ref="B1:B2"/>
    <mergeCell ref="C1:C2"/>
    <mergeCell ref="D1:D2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zoomScale="80" zoomScaleNormal="80" workbookViewId="0">
      <selection activeCell="B5" sqref="B5:I5"/>
    </sheetView>
  </sheetViews>
  <sheetFormatPr defaultRowHeight="12.75" x14ac:dyDescent="0.2"/>
  <cols>
    <col min="1" max="1" width="7.140625" customWidth="1"/>
    <col min="2" max="2" width="66.28515625" customWidth="1"/>
    <col min="3" max="3" width="15.140625" style="9" customWidth="1"/>
    <col min="4" max="4" width="28.140625" style="8" customWidth="1"/>
    <col min="5" max="5" width="13.85546875" customWidth="1"/>
    <col min="6" max="6" width="13.28515625" customWidth="1"/>
    <col min="7" max="7" width="11.85546875" customWidth="1"/>
    <col min="8" max="8" width="16.28515625" customWidth="1"/>
    <col min="9" max="9" width="15.5703125" customWidth="1"/>
    <col min="10" max="10" width="26.7109375" customWidth="1"/>
    <col min="11" max="11" width="13.140625" customWidth="1"/>
    <col min="12" max="12" width="10.140625" bestFit="1" customWidth="1"/>
  </cols>
  <sheetData>
    <row r="1" spans="1:12" ht="71.45" customHeight="1" x14ac:dyDescent="0.2">
      <c r="A1" s="86" t="s">
        <v>0</v>
      </c>
      <c r="B1" s="84" t="s">
        <v>5</v>
      </c>
      <c r="C1" s="94" t="s">
        <v>8</v>
      </c>
      <c r="D1" s="90" t="s">
        <v>9</v>
      </c>
      <c r="E1" s="6" t="s">
        <v>40</v>
      </c>
      <c r="F1" s="3" t="s">
        <v>6</v>
      </c>
      <c r="G1" s="88" t="s">
        <v>1</v>
      </c>
      <c r="H1" s="89"/>
      <c r="I1" s="96" t="s">
        <v>7</v>
      </c>
      <c r="J1" s="98"/>
      <c r="K1" s="99"/>
      <c r="L1" s="2"/>
    </row>
    <row r="2" spans="1:12" ht="13.5" thickBot="1" x14ac:dyDescent="0.25">
      <c r="A2" s="87"/>
      <c r="B2" s="85"/>
      <c r="C2" s="95"/>
      <c r="D2" s="91"/>
      <c r="E2" s="7" t="s">
        <v>2</v>
      </c>
      <c r="F2" s="4" t="s">
        <v>2</v>
      </c>
      <c r="G2" s="4" t="s">
        <v>3</v>
      </c>
      <c r="H2" s="5" t="s">
        <v>2</v>
      </c>
      <c r="I2" s="97"/>
      <c r="J2" s="98"/>
      <c r="K2" s="99"/>
      <c r="L2" s="1"/>
    </row>
    <row r="3" spans="1:12" ht="42.75" x14ac:dyDescent="0.2">
      <c r="A3" s="71">
        <v>1</v>
      </c>
      <c r="B3" s="21" t="s">
        <v>17</v>
      </c>
      <c r="C3" s="50" t="s">
        <v>10</v>
      </c>
      <c r="D3" s="21" t="s">
        <v>11</v>
      </c>
      <c r="E3" s="51">
        <f>[47]Лист1!$E$32</f>
        <v>8848812</v>
      </c>
      <c r="F3" s="51">
        <f>[47]Лист1!$F$32</f>
        <v>18119313</v>
      </c>
      <c r="G3" s="72">
        <f>100%-F3/18200000</f>
        <v>4.4333516483516799E-3</v>
      </c>
      <c r="H3" s="73">
        <f>18200000-F3</f>
        <v>80687</v>
      </c>
      <c r="I3" s="74">
        <f t="shared" ref="I3" si="0">E3/F3</f>
        <v>0.4883635488828964</v>
      </c>
      <c r="J3" s="77"/>
      <c r="K3" s="75"/>
      <c r="L3" s="18"/>
    </row>
    <row r="4" spans="1:12" ht="42.75" x14ac:dyDescent="0.2">
      <c r="A4" s="71">
        <f>A3+1</f>
        <v>2</v>
      </c>
      <c r="B4" s="49" t="s">
        <v>37</v>
      </c>
      <c r="C4" s="50" t="s">
        <v>10</v>
      </c>
      <c r="D4" s="21" t="s">
        <v>11</v>
      </c>
      <c r="E4" s="51">
        <f>[48]Лист1!$E$36</f>
        <v>20298152</v>
      </c>
      <c r="F4" s="51">
        <f>[48]Лист1!$F$36</f>
        <v>21209022</v>
      </c>
      <c r="G4" s="52">
        <f>100%-F4/[48]Лист1!$A$20</f>
        <v>-0.26244178571428578</v>
      </c>
      <c r="H4" s="51">
        <f>[48]Лист1!$A$20-F4</f>
        <v>-4409022</v>
      </c>
      <c r="I4" s="74">
        <f>E4/F4</f>
        <v>0.95705271086993071</v>
      </c>
      <c r="J4" s="77"/>
      <c r="K4" s="76"/>
    </row>
    <row r="5" spans="1:12" ht="42.75" x14ac:dyDescent="0.2">
      <c r="A5" s="71">
        <f>A4+1</f>
        <v>3</v>
      </c>
      <c r="B5" s="49" t="s">
        <v>26</v>
      </c>
      <c r="C5" s="50" t="s">
        <v>10</v>
      </c>
      <c r="D5" s="21" t="s">
        <v>11</v>
      </c>
      <c r="E5" s="55">
        <f>[49]Лист1!$E$39</f>
        <v>13948077</v>
      </c>
      <c r="F5" s="55">
        <f>[49]Лист1!$F$39</f>
        <v>19061212</v>
      </c>
      <c r="G5" s="56">
        <f>100%-F5/[49]Лист1!$A$20</f>
        <v>-0.13459595238095234</v>
      </c>
      <c r="H5" s="57">
        <f>[49]Лист1!$A$20-F5</f>
        <v>-2261212</v>
      </c>
      <c r="I5" s="53">
        <f>E5/F5</f>
        <v>0.73175184243268476</v>
      </c>
    </row>
    <row r="6" spans="1:12" ht="42.75" x14ac:dyDescent="0.2">
      <c r="A6" s="71">
        <f>A5+1</f>
        <v>4</v>
      </c>
      <c r="B6" s="49" t="s">
        <v>19</v>
      </c>
      <c r="C6" s="50" t="s">
        <v>10</v>
      </c>
      <c r="D6" s="21" t="s">
        <v>11</v>
      </c>
      <c r="E6" s="51">
        <f>[50]Лист1!$E$37</f>
        <v>14802518</v>
      </c>
      <c r="F6" s="51">
        <f>[50]Лист1!$F$37</f>
        <v>16166846</v>
      </c>
      <c r="G6" s="52">
        <f>[50]Лист1!$I$37</f>
        <v>3.7687738095237955E-2</v>
      </c>
      <c r="H6" s="51">
        <f>[50]Лист1!$H$37</f>
        <v>633154</v>
      </c>
      <c r="I6" s="53">
        <f t="shared" ref="I6" si="1">E6/F6</f>
        <v>0.91560951344498487</v>
      </c>
    </row>
  </sheetData>
  <mergeCells count="8">
    <mergeCell ref="I1:I2"/>
    <mergeCell ref="J1:J2"/>
    <mergeCell ref="K1:K2"/>
    <mergeCell ref="A1:A2"/>
    <mergeCell ref="B1:B2"/>
    <mergeCell ref="C1:C2"/>
    <mergeCell ref="D1:D2"/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Выработка формокомплектов</vt:lpstr>
      <vt:lpstr>На списание</vt:lpstr>
      <vt:lpstr>Списанные формокомплекты</vt:lpstr>
      <vt:lpstr>'Выработка формокомплектов'!Область_печати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i.yanuchkovskaya</cp:lastModifiedBy>
  <cp:lastPrinted>2021-05-03T11:54:21Z</cp:lastPrinted>
  <dcterms:created xsi:type="dcterms:W3CDTF">2005-06-28T07:56:17Z</dcterms:created>
  <dcterms:modified xsi:type="dcterms:W3CDTF">2021-06-02T07:43:48Z</dcterms:modified>
</cp:coreProperties>
</file>