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Таблица выработки  ф-тов\"/>
    </mc:Choice>
  </mc:AlternateContent>
  <bookViews>
    <workbookView xWindow="240" yWindow="288" windowWidth="14952" windowHeight="8700"/>
  </bookViews>
  <sheets>
    <sheet name="Выработка формокомплектов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0" hidden="1">'Выработка формокомплектов'!$A$3:$L$21</definedName>
    <definedName name="_xlnm.Print_Area" localSheetId="0">'Выработка формокомплектов'!$A$1:$K$34</definedName>
  </definedNames>
  <calcPr calcId="152511"/>
</workbook>
</file>

<file path=xl/calcChain.xml><?xml version="1.0" encoding="utf-8"?>
<calcChain xmlns="http://schemas.openxmlformats.org/spreadsheetml/2006/main">
  <c r="F13" i="1" l="1"/>
  <c r="E13" i="1"/>
  <c r="F32" i="1" l="1"/>
  <c r="E32" i="1"/>
  <c r="F34" i="1" l="1"/>
  <c r="E34" i="1"/>
  <c r="F9" i="1" l="1"/>
  <c r="H9" i="1" s="1"/>
  <c r="F10" i="1"/>
  <c r="E10" i="1"/>
  <c r="G9" i="1" l="1"/>
  <c r="E9" i="1"/>
  <c r="I9" i="1" s="1"/>
  <c r="A10" i="1"/>
  <c r="A9" i="1"/>
  <c r="H10" i="1" l="1"/>
  <c r="I10" i="1"/>
  <c r="G10" i="1" l="1"/>
  <c r="F33" i="1" l="1"/>
  <c r="E33" i="1"/>
  <c r="F18" i="1" l="1"/>
  <c r="H18" i="1" s="1"/>
  <c r="E18" i="1"/>
  <c r="F16" i="1" l="1"/>
  <c r="H16" i="1" s="1"/>
  <c r="E16" i="1"/>
  <c r="G16" i="1" l="1"/>
  <c r="F27" i="1"/>
  <c r="E27" i="1"/>
  <c r="F26" i="1" l="1"/>
  <c r="E26" i="1"/>
  <c r="F17" i="1" l="1"/>
  <c r="H17" i="1" s="1"/>
  <c r="E17" i="1"/>
  <c r="I17" i="1" s="1"/>
  <c r="G17" i="1" l="1"/>
  <c r="F30" i="1" l="1"/>
  <c r="E30" i="1"/>
  <c r="F19" i="1" l="1"/>
  <c r="E19" i="1"/>
  <c r="F31" i="1" l="1"/>
  <c r="E31" i="1"/>
  <c r="H19" i="1" l="1"/>
  <c r="G19" i="1"/>
  <c r="G6" i="1"/>
  <c r="H6" i="1"/>
  <c r="I6" i="1"/>
  <c r="H30" i="1"/>
  <c r="G7" i="1"/>
  <c r="G12" i="1"/>
  <c r="G13" i="1"/>
  <c r="I7" i="1"/>
  <c r="H7" i="1"/>
  <c r="I12" i="1"/>
  <c r="H12" i="1"/>
  <c r="H13" i="1"/>
  <c r="I13" i="1"/>
  <c r="H31" i="1"/>
  <c r="H27" i="1"/>
  <c r="H34" i="1"/>
  <c r="H5" i="1"/>
  <c r="G5" i="1"/>
  <c r="H32" i="1"/>
  <c r="H24" i="1"/>
  <c r="H15" i="1"/>
  <c r="H33" i="1"/>
  <c r="H23" i="1"/>
  <c r="I16" i="1"/>
  <c r="G11" i="1"/>
  <c r="H11" i="1"/>
  <c r="I11" i="1"/>
  <c r="I19" i="1"/>
  <c r="G30" i="1"/>
  <c r="G31" i="1"/>
  <c r="G32" i="1"/>
  <c r="G27" i="1"/>
  <c r="G34" i="1"/>
  <c r="G22" i="1"/>
  <c r="G24" i="1"/>
  <c r="G21" i="1"/>
  <c r="G29" i="1"/>
  <c r="G18" i="1"/>
  <c r="G23" i="1"/>
  <c r="G33" i="1"/>
  <c r="I27" i="1"/>
  <c r="I32" i="1"/>
  <c r="I34" i="1"/>
  <c r="H22" i="1"/>
  <c r="I22" i="1"/>
  <c r="H26" i="1"/>
  <c r="G26" i="1"/>
  <c r="H20" i="1"/>
  <c r="G20" i="1"/>
  <c r="I26" i="1"/>
  <c r="I20" i="1"/>
  <c r="H14" i="1"/>
  <c r="G14" i="1"/>
  <c r="I14" i="1"/>
  <c r="I24" i="1"/>
  <c r="I23" i="1"/>
  <c r="H29" i="1"/>
  <c r="I29" i="1"/>
  <c r="H21" i="1"/>
  <c r="I21" i="1"/>
  <c r="G15" i="1"/>
  <c r="I15" i="1"/>
  <c r="G28" i="1"/>
  <c r="H28" i="1"/>
  <c r="I28" i="1"/>
  <c r="I33" i="1"/>
  <c r="I18" i="1"/>
  <c r="I30" i="1"/>
  <c r="I31" i="1"/>
  <c r="E25" i="1" l="1"/>
  <c r="F25" i="1"/>
  <c r="G25" i="1" l="1"/>
  <c r="H25" i="1"/>
  <c r="I25" i="1"/>
  <c r="A5" i="1" l="1"/>
  <c r="A6" i="1" l="1"/>
  <c r="A7" i="1" s="1"/>
  <c r="A11" i="1" l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<sst xmlns="http://schemas.openxmlformats.org/spreadsheetml/2006/main" count="125" uniqueCount="48">
  <si>
    <t>№п/п</t>
  </si>
  <si>
    <t>Количество выпущеной продукции</t>
  </si>
  <si>
    <t>Остаточный ресурс относительно поставленной задачи</t>
  </si>
  <si>
    <t>шт</t>
  </si>
  <si>
    <t>%</t>
  </si>
  <si>
    <t>Проблемные позиции на данный момент</t>
  </si>
  <si>
    <t>Наименование формокомплекта</t>
  </si>
  <si>
    <t>Количество капель прошедших через формы</t>
  </si>
  <si>
    <t>Коэф. полезного использования</t>
  </si>
  <si>
    <t>Место нахождения</t>
  </si>
  <si>
    <t>Владелец</t>
  </si>
  <si>
    <t>Номер и дата договора аренды, покупки</t>
  </si>
  <si>
    <t>ООО "Стеклозавод Ведатранзит"</t>
  </si>
  <si>
    <t>ООО "ВЕДАТРАНЗИТ"</t>
  </si>
  <si>
    <t>ООО "Стеклозавод "ВЕДАТРАНЗИТ"</t>
  </si>
  <si>
    <t>Договор аренды имущества №3 от 23.01.2019 г.</t>
  </si>
  <si>
    <t>Радомир</t>
  </si>
  <si>
    <t>Договор БПИ №396 от 04.06.2019 г.</t>
  </si>
  <si>
    <t>«KEPIL 0,5» тип XХI-B-28-2-500-29</t>
  </si>
  <si>
    <t>«АВС»  тип III-3-53-160-2</t>
  </si>
  <si>
    <t>«Беларуская калекцыя» тип XXI-П-25-500-1</t>
  </si>
  <si>
    <t>«Брест Колоски 0,5» тип XХ-B-28-2.1-500-14</t>
  </si>
  <si>
    <t>«ГОСТ»  НОВЫЙ ФОРМОКОМПЛЕКТ тип ХХI-В-28-1-500-13</t>
  </si>
  <si>
    <t>«Евроторг 0,5» тип XXI-В-28-2-500-27</t>
  </si>
  <si>
    <t>«Иван Купала» тип XXI-B-30-4-500-3</t>
  </si>
  <si>
    <t>«Каласы» тип XXI-КПМ-26-3-500</t>
  </si>
  <si>
    <t>«Калина 0,5» тип XХI-В-28-2-500-28</t>
  </si>
  <si>
    <t>«Кристалл Фирменная 2» тип XXI-B-28-2.1в-500-1</t>
  </si>
  <si>
    <t>«Раковщик 0,2» тип XХI-B-28-1.1-200</t>
  </si>
  <si>
    <t>«Сябры» тип XXI-В-28-2,1-500-16</t>
  </si>
  <si>
    <t>«Фляга 0,2 л» тип XIII-В-28-2.1в-200-1</t>
  </si>
  <si>
    <t>«Фляга 0,2 л»  НОВЫЙ ФОРМОКОМПЛЕКТ тип XIII-В-28-2.1в-200-2</t>
  </si>
  <si>
    <t>«Фляга 0,5» тип XIII-B-28-2-500-4</t>
  </si>
  <si>
    <t>"Медофф 0,5 л" тип ХХI-КПМ-30-1-500-2</t>
  </si>
  <si>
    <t>"Мерная 0,5 л" тип ХХI-КПА-30-500-6</t>
  </si>
  <si>
    <t>"Дрозды 0,5 л" тип ХХI-В-28-2.1в-500-3</t>
  </si>
  <si>
    <t>I-82-500</t>
  </si>
  <si>
    <t>I-82-1500-1, III-2-82-1500-1</t>
  </si>
  <si>
    <t>I-82-1000-3, III-2-82-1000-3</t>
  </si>
  <si>
    <t>III-4-66-1-300-1</t>
  </si>
  <si>
    <t>III-2-82-900-1</t>
  </si>
  <si>
    <t>III-2-82-450-1</t>
  </si>
  <si>
    <t>«Кристалл 0,7» тип XXI-B-28-2.1в-700</t>
  </si>
  <si>
    <t>«Сваяк 0,7» тип XXI-КПМ-30-1-700</t>
  </si>
  <si>
    <t>«Калина 0,35» тип XХI-В-28-2-350-1 Часть 1</t>
  </si>
  <si>
    <t>"Франкония 0,75 л." X-28MCA-750</t>
  </si>
  <si>
    <t>"Франкония 0,5 л." X-A-26-1-500 (Чистовые формы</t>
  </si>
  <si>
    <t>Таблица выработки формокомплектов, находящихся на ООО "Стеклозавод Ведатранзит" по состоянию на 01.10.2019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</si>
</sst>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i/>
      <sz val="10"/>
      <name val="Arial Cyr"/>
      <charset val="204"/>
    </font>
    <font>
      <b/>
      <sz val="8"/>
      <name val="Arial"/>
      <family val="2"/>
      <charset val="204"/>
    </font>
    <font>
      <sz val="11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2" borderId="1">
      <alignment horizontal="center" vertical="center" wrapText="1"/>
    </xf>
    <xf numFmtId="0" fontId="5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3" fontId="8" fillId="2" borderId="1" xfId="2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9" fontId="5" fillId="2" borderId="1" xfId="3" applyFont="1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wrapText="1"/>
    </xf>
    <xf numFmtId="9" fontId="11" fillId="2" borderId="1" xfId="0" applyNumberFormat="1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3" fontId="8" fillId="3" borderId="1" xfId="2" applyNumberFormat="1" applyFont="1" applyFill="1" applyBorder="1" applyAlignment="1">
      <alignment horizontal="center" vertical="center" wrapText="1"/>
    </xf>
    <xf numFmtId="9" fontId="5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9" fontId="11" fillId="3" borderId="7" xfId="0" applyNumberFormat="1" applyFont="1" applyFill="1" applyBorder="1" applyAlignment="1">
      <alignment horizontal="center" vertical="center" wrapText="1"/>
    </xf>
    <xf numFmtId="3" fontId="11" fillId="3" borderId="7" xfId="0" applyNumberFormat="1" applyFont="1" applyFill="1" applyBorder="1" applyAlignment="1">
      <alignment horizontal="center" vertical="center" wrapText="1"/>
    </xf>
    <xf numFmtId="3" fontId="8" fillId="2" borderId="21" xfId="2" applyNumberFormat="1" applyFont="1" applyFill="1" applyBorder="1" applyAlignment="1">
      <alignment horizontal="center" vertical="center" wrapText="1"/>
    </xf>
    <xf numFmtId="9" fontId="0" fillId="2" borderId="7" xfId="0" applyNumberFormat="1" applyFill="1" applyBorder="1" applyAlignment="1">
      <alignment horizontal="center" vertical="center" wrapText="1"/>
    </xf>
    <xf numFmtId="3" fontId="0" fillId="2" borderId="7" xfId="0" applyNumberFormat="1" applyFill="1" applyBorder="1" applyAlignment="1">
      <alignment horizontal="center" vertical="center" wrapText="1"/>
    </xf>
    <xf numFmtId="9" fontId="5" fillId="2" borderId="7" xfId="3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</cellXfs>
  <cellStyles count="4">
    <cellStyle name="Мой стиль" xfId="1"/>
    <cellStyle name="Обычный" xfId="0" builtinId="0"/>
    <cellStyle name="Обычный 7" xfId="2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A-26-1-500%20(&#1060;&#1088;&#1072;&#1085;&#1082;&#1086;&#1085;&#1080;&#1103;%200,5%20&#1083;.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III-3-53-160-2%20ABC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%20&#1083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4.%20XXI-&#1042;-28-2.1-500-14%20(&#1041;&#1088;&#1077;&#1089;&#1090;%20&#1082;&#1086;&#1083;&#1086;&#1089;&#1082;&#1080;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III-&#1042;-28-2-200-3%20(&#1060;&#1083;&#1103;&#1075;&#1072;%20%200,2%20&#1083;.)/&#8470;1%20XIII-&#1042;-28-2-200-3%20(&#1060;&#1083;&#1103;&#1075;&#1072;%20%200,2%20&#1083;.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III-2-82-450-1%20(&#1073;&#1072;&#1085;&#1082;&#1072;%200,45%20twist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3.%20XXI-&#1042;-28-2.1&#1073;-500-3%20(&#1044;&#1088;&#1086;&#1079;&#1076;&#1099;%200,5%20&#1083;.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28MCA-750%20(&#1060;&#1088;&#1072;&#1085;&#1082;&#1086;&#1085;&#1080;&#1103;%200,75%20&#1083;.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5.%20XXI-&#1050;&#1055;&#1040;-30-500-5%20(&#1052;&#1077;&#1088;&#1085;&#1072;&#1103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5;-25-500-1%20(&#1041;&#1077;&#1083;.%20&#1082;&#1072;&#1083;&#1077;&#1082;&#1094;&#1099;&#1103;%200,5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5%20&#1083;.%20&#1057;&#1050;&#1054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,5%20&#1083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0;&#1055;&#1052;-30-1-700%20(&#1057;&#1074;&#1072;&#1103;&#1082;%20%200,7%20&#1083;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4.%20XIII-&#1042;-28-2-500-4%20(&#1060;&#1083;&#1103;&#1075;&#1072;%20%200,5%20&#1083;.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613088</v>
          </cell>
          <cell r="F31">
            <v>721402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6849070</v>
          </cell>
          <cell r="F30">
            <v>14503171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9">
          <cell r="E39">
            <v>11248736</v>
          </cell>
          <cell r="F39">
            <v>12230442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6615167</v>
          </cell>
          <cell r="F32">
            <v>15776459</v>
          </cell>
        </row>
      </sheetData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3">
          <cell r="E33">
            <v>24278204</v>
          </cell>
          <cell r="F33">
            <v>26782614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13190994</v>
          </cell>
          <cell r="F30">
            <v>16642877</v>
          </cell>
        </row>
      </sheetData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1810428</v>
          </cell>
          <cell r="F32">
            <v>1922742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449036</v>
          </cell>
          <cell r="F31">
            <v>524968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645420</v>
          </cell>
          <cell r="F32">
            <v>851238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1820497</v>
          </cell>
          <cell r="F31">
            <v>1923608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629376</v>
          </cell>
          <cell r="F31">
            <v>2858476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4126964</v>
          </cell>
          <cell r="F30">
            <v>4454263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7">
          <cell r="E37">
            <v>8320286</v>
          </cell>
          <cell r="F37">
            <v>9174267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3143070</v>
          </cell>
          <cell r="F31">
            <v>6932011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4294048</v>
          </cell>
          <cell r="F31">
            <v>8845677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view="pageBreakPreview" zoomScale="80" zoomScaleNormal="90" zoomScaleSheetLayoutView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4" sqref="F14"/>
    </sheetView>
  </sheetViews>
  <sheetFormatPr defaultRowHeight="13.2"/>
  <cols>
    <col min="1" max="1" width="7.109375" customWidth="1"/>
    <col min="2" max="2" width="66.21875" bestFit="1" customWidth="1"/>
    <col min="3" max="3" width="15.109375" style="9" customWidth="1"/>
    <col min="4" max="4" width="28.109375" style="8" customWidth="1"/>
    <col min="5" max="5" width="13.88671875" customWidth="1"/>
    <col min="6" max="6" width="13.33203125" customWidth="1"/>
    <col min="7" max="7" width="11.88671875" customWidth="1"/>
    <col min="8" max="8" width="16.33203125" customWidth="1"/>
    <col min="9" max="9" width="15.5546875" customWidth="1"/>
    <col min="10" max="10" width="26.6640625" customWidth="1"/>
    <col min="11" max="11" width="13.109375" customWidth="1"/>
    <col min="12" max="12" width="10.109375" bestFit="1" customWidth="1"/>
  </cols>
  <sheetData>
    <row r="1" spans="1:12" ht="13.8" thickBot="1">
      <c r="A1" s="48" t="s">
        <v>47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1"/>
    </row>
    <row r="2" spans="1:12" ht="13.8" thickBot="1">
      <c r="D2" s="46"/>
      <c r="E2" s="47"/>
      <c r="I2" s="1"/>
      <c r="J2" s="1"/>
      <c r="K2" s="1"/>
      <c r="L2" s="1"/>
    </row>
    <row r="3" spans="1:12" ht="63.75" customHeight="1">
      <c r="A3" s="51" t="s">
        <v>0</v>
      </c>
      <c r="B3" s="49" t="s">
        <v>6</v>
      </c>
      <c r="C3" s="59" t="s">
        <v>10</v>
      </c>
      <c r="D3" s="55" t="s">
        <v>11</v>
      </c>
      <c r="E3" s="6" t="s">
        <v>1</v>
      </c>
      <c r="F3" s="3" t="s">
        <v>7</v>
      </c>
      <c r="G3" s="53" t="s">
        <v>2</v>
      </c>
      <c r="H3" s="54"/>
      <c r="I3" s="57" t="s">
        <v>8</v>
      </c>
      <c r="J3" s="42" t="s">
        <v>5</v>
      </c>
      <c r="K3" s="44" t="s">
        <v>9</v>
      </c>
      <c r="L3" s="2"/>
    </row>
    <row r="4" spans="1:12" ht="13.8" thickBot="1">
      <c r="A4" s="52"/>
      <c r="B4" s="50"/>
      <c r="C4" s="60"/>
      <c r="D4" s="56"/>
      <c r="E4" s="7" t="s">
        <v>3</v>
      </c>
      <c r="F4" s="4" t="s">
        <v>3</v>
      </c>
      <c r="G4" s="4" t="s">
        <v>4</v>
      </c>
      <c r="H4" s="5" t="s">
        <v>3</v>
      </c>
      <c r="I4" s="58"/>
      <c r="J4" s="43"/>
      <c r="K4" s="45"/>
      <c r="L4" s="1"/>
    </row>
    <row r="5" spans="1:12" s="22" customFormat="1" ht="30.6">
      <c r="A5" s="10">
        <f>A4+1</f>
        <v>1</v>
      </c>
      <c r="B5" s="20" t="s">
        <v>22</v>
      </c>
      <c r="C5" s="11" t="s">
        <v>13</v>
      </c>
      <c r="D5" s="20" t="s">
        <v>15</v>
      </c>
      <c r="E5" s="12"/>
      <c r="F5" s="12"/>
      <c r="G5" s="13">
        <f>100%-F5/16800000</f>
        <v>1</v>
      </c>
      <c r="H5" s="14">
        <f>18200000-F5</f>
        <v>18200000</v>
      </c>
      <c r="I5" s="23"/>
      <c r="J5" s="15"/>
      <c r="K5" s="11" t="s">
        <v>12</v>
      </c>
      <c r="L5" s="24"/>
    </row>
    <row r="6" spans="1:12" s="22" customFormat="1" ht="30.6">
      <c r="A6" s="10">
        <f>A5+1</f>
        <v>2</v>
      </c>
      <c r="B6" s="20" t="s">
        <v>31</v>
      </c>
      <c r="C6" s="11" t="s">
        <v>13</v>
      </c>
      <c r="D6" s="20" t="s">
        <v>15</v>
      </c>
      <c r="E6" s="16">
        <v>0</v>
      </c>
      <c r="F6" s="16">
        <v>0</v>
      </c>
      <c r="G6" s="25">
        <f>100%-F6/16800000</f>
        <v>1</v>
      </c>
      <c r="H6" s="26">
        <f>16800000-F6</f>
        <v>16800000</v>
      </c>
      <c r="I6" s="23" t="e">
        <f>E6/F6</f>
        <v>#DIV/0!</v>
      </c>
      <c r="J6" s="15"/>
      <c r="K6" s="11" t="s">
        <v>12</v>
      </c>
      <c r="L6" s="19"/>
    </row>
    <row r="7" spans="1:12" s="22" customFormat="1" ht="30.6">
      <c r="A7" s="10">
        <f>A6+1</f>
        <v>3</v>
      </c>
      <c r="B7" s="20" t="s">
        <v>40</v>
      </c>
      <c r="C7" s="11" t="s">
        <v>13</v>
      </c>
      <c r="D7" s="20" t="s">
        <v>15</v>
      </c>
      <c r="E7" s="16">
        <v>0</v>
      </c>
      <c r="F7" s="16">
        <v>0</v>
      </c>
      <c r="G7" s="25">
        <f>100%-F7/19600000</f>
        <v>1</v>
      </c>
      <c r="H7" s="26">
        <f>18900000-F7</f>
        <v>18900000</v>
      </c>
      <c r="I7" s="23" t="e">
        <f>E7/F7</f>
        <v>#DIV/0!</v>
      </c>
      <c r="J7" s="15"/>
      <c r="K7" s="11" t="s">
        <v>14</v>
      </c>
      <c r="L7"/>
    </row>
    <row r="8" spans="1:12" s="22" customFormat="1" ht="13.8">
      <c r="A8" s="10"/>
      <c r="B8" s="20" t="s">
        <v>46</v>
      </c>
      <c r="C8" s="11"/>
      <c r="D8" s="20"/>
      <c r="E8" s="16"/>
      <c r="F8" s="16"/>
      <c r="G8" s="25"/>
      <c r="H8" s="26"/>
      <c r="I8" s="23"/>
      <c r="J8" s="15"/>
      <c r="K8" s="11"/>
      <c r="L8"/>
    </row>
    <row r="9" spans="1:12" s="22" customFormat="1" ht="13.8">
      <c r="A9" s="10">
        <f>A7+1</f>
        <v>4</v>
      </c>
      <c r="B9" s="20" t="s">
        <v>46</v>
      </c>
      <c r="C9" s="11"/>
      <c r="D9" s="20"/>
      <c r="E9" s="16">
        <f>[1]Лист1!$E$31</f>
        <v>613088</v>
      </c>
      <c r="F9" s="16">
        <f>[1]Лист1!$F$31</f>
        <v>721402</v>
      </c>
      <c r="G9" s="25">
        <f>100%-F9/19600000</f>
        <v>0.96319377551020413</v>
      </c>
      <c r="H9" s="26">
        <f>18900000-F9</f>
        <v>18178598</v>
      </c>
      <c r="I9" s="23">
        <f t="shared" ref="I9:I34" si="0">E9/F9</f>
        <v>0.84985625213126659</v>
      </c>
      <c r="J9" s="15"/>
      <c r="K9" s="11"/>
      <c r="L9"/>
    </row>
    <row r="10" spans="1:12" s="22" customFormat="1" ht="13.8">
      <c r="A10" s="40">
        <f t="shared" ref="A10:A34" si="1">A9+1</f>
        <v>5</v>
      </c>
      <c r="B10" s="20" t="s">
        <v>45</v>
      </c>
      <c r="C10" s="11"/>
      <c r="D10" s="20"/>
      <c r="E10" s="16">
        <f>[2]Лист1!$E$31</f>
        <v>449036</v>
      </c>
      <c r="F10" s="16">
        <f>[2]Лист1!$F$31</f>
        <v>524968</v>
      </c>
      <c r="G10" s="25">
        <f>100%-F10/15400000</f>
        <v>0.96591116883116879</v>
      </c>
      <c r="H10" s="26">
        <f>15400000-F10</f>
        <v>14875032</v>
      </c>
      <c r="I10" s="23">
        <f t="shared" si="0"/>
        <v>0.85535880282226728</v>
      </c>
      <c r="J10" s="15"/>
      <c r="K10" s="11"/>
      <c r="L10" s="19"/>
    </row>
    <row r="11" spans="1:12" s="22" customFormat="1" ht="30.6">
      <c r="A11" s="10">
        <f t="shared" si="1"/>
        <v>6</v>
      </c>
      <c r="B11" s="20" t="s">
        <v>33</v>
      </c>
      <c r="C11" s="11" t="s">
        <v>13</v>
      </c>
      <c r="D11" s="20" t="s">
        <v>15</v>
      </c>
      <c r="E11" s="16">
        <v>557856</v>
      </c>
      <c r="F11" s="16">
        <v>668458</v>
      </c>
      <c r="G11" s="25">
        <f>100%-F11/18900000</f>
        <v>0.96463185185185185</v>
      </c>
      <c r="H11" s="26">
        <f>12600000-F11</f>
        <v>11931542</v>
      </c>
      <c r="I11" s="23">
        <f t="shared" si="0"/>
        <v>0.83454158675638557</v>
      </c>
      <c r="J11" s="15"/>
      <c r="K11" s="11" t="s">
        <v>14</v>
      </c>
      <c r="L11" s="19"/>
    </row>
    <row r="12" spans="1:12" s="22" customFormat="1" ht="30.6">
      <c r="A12" s="10">
        <f t="shared" si="1"/>
        <v>7</v>
      </c>
      <c r="B12" s="20" t="s">
        <v>39</v>
      </c>
      <c r="C12" s="11" t="s">
        <v>13</v>
      </c>
      <c r="D12" s="20" t="s">
        <v>15</v>
      </c>
      <c r="E12" s="16">
        <v>515328</v>
      </c>
      <c r="F12" s="16">
        <v>670208</v>
      </c>
      <c r="G12" s="25">
        <f>100%-F12/18200000</f>
        <v>0.96317538461538466</v>
      </c>
      <c r="H12" s="26">
        <f>12600000-F12</f>
        <v>11929792</v>
      </c>
      <c r="I12" s="23">
        <f t="shared" si="0"/>
        <v>0.76890756302521013</v>
      </c>
      <c r="J12" s="15"/>
      <c r="K12" s="11" t="s">
        <v>14</v>
      </c>
      <c r="L12"/>
    </row>
    <row r="13" spans="1:12" s="22" customFormat="1" ht="30.6">
      <c r="A13" s="10">
        <f t="shared" si="1"/>
        <v>8</v>
      </c>
      <c r="B13" s="20" t="s">
        <v>35</v>
      </c>
      <c r="C13" s="11" t="s">
        <v>16</v>
      </c>
      <c r="D13" s="20" t="s">
        <v>17</v>
      </c>
      <c r="E13" s="16">
        <f>[15]Лист1!$E$32</f>
        <v>1810428</v>
      </c>
      <c r="F13" s="16">
        <f>[15]Лист1!$F$32</f>
        <v>1922742</v>
      </c>
      <c r="G13" s="25">
        <f>100%-F13/15400000</f>
        <v>0.87514662337662341</v>
      </c>
      <c r="H13" s="26">
        <f>12600000-F13</f>
        <v>10677258</v>
      </c>
      <c r="I13" s="23">
        <f t="shared" si="0"/>
        <v>0.94158654671297548</v>
      </c>
      <c r="J13" s="15"/>
      <c r="K13" s="11" t="s">
        <v>14</v>
      </c>
      <c r="L13" s="19"/>
    </row>
    <row r="14" spans="1:12" s="19" customFormat="1" ht="30.6">
      <c r="A14" s="10">
        <f t="shared" si="1"/>
        <v>9</v>
      </c>
      <c r="B14" s="20" t="s">
        <v>27</v>
      </c>
      <c r="C14" s="11" t="s">
        <v>13</v>
      </c>
      <c r="D14" s="20" t="s">
        <v>15</v>
      </c>
      <c r="E14" s="16">
        <v>763476</v>
      </c>
      <c r="F14" s="16">
        <v>975569</v>
      </c>
      <c r="G14" s="25">
        <f>100%-F14/16800000</f>
        <v>0.94193041666666666</v>
      </c>
      <c r="H14" s="26">
        <f>16800000-F14</f>
        <v>15824431</v>
      </c>
      <c r="I14" s="23">
        <f t="shared" si="0"/>
        <v>0.78259559293089465</v>
      </c>
      <c r="J14" s="15"/>
      <c r="K14" s="11" t="s">
        <v>12</v>
      </c>
    </row>
    <row r="15" spans="1:12" s="19" customFormat="1" ht="30.6">
      <c r="A15" s="10">
        <f t="shared" si="1"/>
        <v>10</v>
      </c>
      <c r="B15" s="20" t="s">
        <v>24</v>
      </c>
      <c r="C15" s="11" t="s">
        <v>13</v>
      </c>
      <c r="D15" s="20" t="s">
        <v>15</v>
      </c>
      <c r="E15" s="12">
        <v>386370</v>
      </c>
      <c r="F15" s="12">
        <v>996472</v>
      </c>
      <c r="G15" s="13">
        <f>100%-F15/16800000</f>
        <v>0.94068619047619051</v>
      </c>
      <c r="H15" s="14">
        <f>12600000-F15</f>
        <v>11603528</v>
      </c>
      <c r="I15" s="23">
        <f t="shared" si="0"/>
        <v>0.38773793945038093</v>
      </c>
      <c r="J15" s="15"/>
      <c r="K15" s="11" t="s">
        <v>12</v>
      </c>
      <c r="L15" s="21"/>
    </row>
    <row r="16" spans="1:12" s="19" customFormat="1" ht="30.6">
      <c r="A16" s="40">
        <f t="shared" si="1"/>
        <v>11</v>
      </c>
      <c r="B16" s="20" t="s">
        <v>34</v>
      </c>
      <c r="C16" s="11" t="s">
        <v>13</v>
      </c>
      <c r="D16" s="20" t="s">
        <v>15</v>
      </c>
      <c r="E16" s="16">
        <f>[3]Лист1!$E$32</f>
        <v>645420</v>
      </c>
      <c r="F16" s="16">
        <f>[3]Лист1!$F$32</f>
        <v>851238</v>
      </c>
      <c r="G16" s="25">
        <f>100%-F16/14000000</f>
        <v>0.93919728571428573</v>
      </c>
      <c r="H16" s="26">
        <f>14000000-F16</f>
        <v>13148762</v>
      </c>
      <c r="I16" s="23">
        <f t="shared" si="0"/>
        <v>0.75821333164167948</v>
      </c>
      <c r="J16" s="15"/>
      <c r="K16" s="11" t="s">
        <v>14</v>
      </c>
    </row>
    <row r="17" spans="1:12" s="19" customFormat="1" ht="27.6">
      <c r="A17" s="40">
        <f t="shared" si="1"/>
        <v>12</v>
      </c>
      <c r="B17" s="20" t="s">
        <v>44</v>
      </c>
      <c r="C17" s="11" t="s">
        <v>13</v>
      </c>
      <c r="D17" s="20" t="s">
        <v>15</v>
      </c>
      <c r="E17" s="12">
        <f>[4]Лист1!$E$31</f>
        <v>1820497</v>
      </c>
      <c r="F17" s="12">
        <f>[4]Лист1!$F$31</f>
        <v>1923608</v>
      </c>
      <c r="G17" s="37">
        <f>100%-F17/16800000</f>
        <v>0.88549952380952379</v>
      </c>
      <c r="H17" s="38">
        <f>16800000-F17</f>
        <v>14876392</v>
      </c>
      <c r="I17" s="23">
        <f t="shared" si="0"/>
        <v>0.94639708298156378</v>
      </c>
      <c r="J17" s="15"/>
      <c r="K17" s="11"/>
      <c r="L17" s="21"/>
    </row>
    <row r="18" spans="1:12" s="19" customFormat="1" ht="31.2" thickBot="1">
      <c r="A18" s="40">
        <f t="shared" si="1"/>
        <v>13</v>
      </c>
      <c r="B18" s="20" t="s">
        <v>20</v>
      </c>
      <c r="C18" s="11" t="s">
        <v>13</v>
      </c>
      <c r="D18" s="20" t="s">
        <v>15</v>
      </c>
      <c r="E18" s="41">
        <f>[5]Лист1!$E$31</f>
        <v>629376</v>
      </c>
      <c r="F18" s="41">
        <f>[5]Лист1!$F$31</f>
        <v>2858476</v>
      </c>
      <c r="G18" s="37">
        <f>100%-F18/16800000</f>
        <v>0.82985261904761909</v>
      </c>
      <c r="H18" s="38">
        <f>16800000-F18</f>
        <v>13941524</v>
      </c>
      <c r="I18" s="23">
        <f t="shared" si="0"/>
        <v>0.2201788645418048</v>
      </c>
      <c r="J18" s="15"/>
      <c r="K18" s="11" t="s">
        <v>12</v>
      </c>
      <c r="L18" s="21"/>
    </row>
    <row r="19" spans="1:12" s="19" customFormat="1" ht="30.6">
      <c r="A19" s="40">
        <f t="shared" si="1"/>
        <v>14</v>
      </c>
      <c r="B19" s="20" t="s">
        <v>36</v>
      </c>
      <c r="C19" s="11" t="s">
        <v>13</v>
      </c>
      <c r="D19" s="20" t="s">
        <v>15</v>
      </c>
      <c r="E19" s="36">
        <f>[6]Лист1!$E$30</f>
        <v>4126964</v>
      </c>
      <c r="F19" s="36">
        <f>[6]Лист1!$F$30</f>
        <v>4454263</v>
      </c>
      <c r="G19" s="17">
        <f>100%-F19/18900000</f>
        <v>0.76432470899470895</v>
      </c>
      <c r="H19" s="18">
        <f>18900000-F19</f>
        <v>14445737</v>
      </c>
      <c r="I19" s="23">
        <f t="shared" si="0"/>
        <v>0.92652005505736867</v>
      </c>
      <c r="J19" s="15"/>
      <c r="K19" s="11" t="s">
        <v>14</v>
      </c>
    </row>
    <row r="20" spans="1:12" s="19" customFormat="1" ht="30.6">
      <c r="A20" s="10">
        <f t="shared" si="1"/>
        <v>15</v>
      </c>
      <c r="B20" s="20" t="s">
        <v>28</v>
      </c>
      <c r="C20" s="11" t="s">
        <v>13</v>
      </c>
      <c r="D20" s="20" t="s">
        <v>15</v>
      </c>
      <c r="E20" s="16"/>
      <c r="F20" s="16">
        <v>3080000</v>
      </c>
      <c r="G20" s="17">
        <f>100%-F20/14000000</f>
        <v>0.78</v>
      </c>
      <c r="H20" s="18">
        <f>14000000-F20</f>
        <v>10920000</v>
      </c>
      <c r="I20" s="23">
        <f t="shared" si="0"/>
        <v>0</v>
      </c>
      <c r="J20" s="15"/>
      <c r="K20" s="11" t="s">
        <v>12</v>
      </c>
    </row>
    <row r="21" spans="1:12" s="19" customFormat="1" ht="30.6">
      <c r="A21" s="10">
        <f t="shared" si="1"/>
        <v>16</v>
      </c>
      <c r="B21" s="20" t="s">
        <v>25</v>
      </c>
      <c r="C21" s="11" t="s">
        <v>13</v>
      </c>
      <c r="D21" s="20" t="s">
        <v>15</v>
      </c>
      <c r="E21" s="12"/>
      <c r="F21" s="14">
        <v>4055359</v>
      </c>
      <c r="G21" s="37">
        <f>100%-F21/16800000</f>
        <v>0.75860958333333328</v>
      </c>
      <c r="H21" s="38">
        <f>18900000-F21</f>
        <v>14844641</v>
      </c>
      <c r="I21" s="23">
        <f t="shared" si="0"/>
        <v>0</v>
      </c>
      <c r="J21" s="15"/>
      <c r="K21" s="11" t="s">
        <v>12</v>
      </c>
    </row>
    <row r="22" spans="1:12" s="33" customFormat="1" ht="30.6">
      <c r="A22" s="10">
        <f t="shared" si="1"/>
        <v>17</v>
      </c>
      <c r="B22" s="20" t="s">
        <v>29</v>
      </c>
      <c r="C22" s="11" t="s">
        <v>13</v>
      </c>
      <c r="D22" s="20" t="s">
        <v>15</v>
      </c>
      <c r="E22" s="16"/>
      <c r="F22" s="16">
        <v>5511547</v>
      </c>
      <c r="G22" s="17">
        <f>100%-F22/16800000</f>
        <v>0.67193172619047625</v>
      </c>
      <c r="H22" s="18">
        <f>12000000-F22</f>
        <v>6488453</v>
      </c>
      <c r="I22" s="23">
        <f t="shared" si="0"/>
        <v>0</v>
      </c>
      <c r="J22" s="15"/>
      <c r="K22" s="11" t="s">
        <v>12</v>
      </c>
      <c r="L22" s="19"/>
    </row>
    <row r="23" spans="1:12" s="19" customFormat="1" ht="30.6">
      <c r="A23" s="10">
        <f t="shared" si="1"/>
        <v>18</v>
      </c>
      <c r="B23" s="20" t="s">
        <v>18</v>
      </c>
      <c r="C23" s="11" t="s">
        <v>13</v>
      </c>
      <c r="D23" s="20" t="s">
        <v>15</v>
      </c>
      <c r="E23" s="12">
        <v>2131080</v>
      </c>
      <c r="F23" s="14">
        <v>5638494</v>
      </c>
      <c r="G23" s="39">
        <f>100%-F23/16800000</f>
        <v>0.66437535714285723</v>
      </c>
      <c r="H23" s="38">
        <f>16800000-F23</f>
        <v>11161506</v>
      </c>
      <c r="I23" s="23">
        <f t="shared" si="0"/>
        <v>0.37795198505132754</v>
      </c>
      <c r="J23" s="15"/>
      <c r="K23" s="11" t="s">
        <v>12</v>
      </c>
      <c r="L23" s="21"/>
    </row>
    <row r="24" spans="1:12" s="19" customFormat="1" ht="30.6">
      <c r="A24" s="10">
        <f t="shared" si="1"/>
        <v>19</v>
      </c>
      <c r="B24" s="20" t="s">
        <v>42</v>
      </c>
      <c r="C24" s="11" t="s">
        <v>13</v>
      </c>
      <c r="D24" s="20" t="s">
        <v>15</v>
      </c>
      <c r="E24" s="16">
        <v>6000000</v>
      </c>
      <c r="F24" s="16">
        <v>6336598</v>
      </c>
      <c r="G24" s="17">
        <f>100%-F24/16800000</f>
        <v>0.62282154761904762</v>
      </c>
      <c r="H24" s="18">
        <f>16800000-F24</f>
        <v>10463402</v>
      </c>
      <c r="I24" s="23">
        <f t="shared" si="0"/>
        <v>0.94688032916085252</v>
      </c>
      <c r="J24" s="15"/>
      <c r="K24" s="11" t="s">
        <v>12</v>
      </c>
    </row>
    <row r="25" spans="1:12" s="19" customFormat="1" ht="30.6">
      <c r="A25" s="40">
        <f t="shared" si="1"/>
        <v>20</v>
      </c>
      <c r="B25" s="20" t="s">
        <v>37</v>
      </c>
      <c r="C25" s="11" t="s">
        <v>13</v>
      </c>
      <c r="D25" s="20" t="s">
        <v>15</v>
      </c>
      <c r="E25" s="16">
        <f>[7]Лист1!$E$37</f>
        <v>8320286</v>
      </c>
      <c r="F25" s="16">
        <f>[7]Лист1!$F$37</f>
        <v>9174267</v>
      </c>
      <c r="G25" s="17">
        <f>100%-F25/18900000</f>
        <v>0.51458904761904756</v>
      </c>
      <c r="H25" s="18">
        <f>18900000-F25</f>
        <v>9725733</v>
      </c>
      <c r="I25" s="23">
        <f t="shared" si="0"/>
        <v>0.90691561516576746</v>
      </c>
      <c r="J25" s="15"/>
      <c r="K25" s="11" t="s">
        <v>14</v>
      </c>
    </row>
    <row r="26" spans="1:12" s="19" customFormat="1" ht="30.6">
      <c r="A26" s="40">
        <f t="shared" si="1"/>
        <v>21</v>
      </c>
      <c r="B26" s="20" t="s">
        <v>43</v>
      </c>
      <c r="C26" s="11" t="s">
        <v>13</v>
      </c>
      <c r="D26" s="20" t="s">
        <v>15</v>
      </c>
      <c r="E26" s="16">
        <f>[8]Лист1!$E$31</f>
        <v>3143070</v>
      </c>
      <c r="F26" s="16">
        <f>[8]Лист1!$F$31</f>
        <v>6932011</v>
      </c>
      <c r="G26" s="17">
        <f>100%-F26/14000000</f>
        <v>0.50485635714285715</v>
      </c>
      <c r="H26" s="18">
        <f>14000000-F26</f>
        <v>7067989</v>
      </c>
      <c r="I26" s="23">
        <f t="shared" si="0"/>
        <v>0.45341387946441514</v>
      </c>
      <c r="J26" s="15"/>
      <c r="K26" s="11" t="s">
        <v>12</v>
      </c>
    </row>
    <row r="27" spans="1:12" s="19" customFormat="1" ht="30.6">
      <c r="A27" s="40">
        <f t="shared" si="1"/>
        <v>22</v>
      </c>
      <c r="B27" s="20" t="s">
        <v>32</v>
      </c>
      <c r="C27" s="11" t="s">
        <v>13</v>
      </c>
      <c r="D27" s="20" t="s">
        <v>15</v>
      </c>
      <c r="E27" s="16">
        <f>[9]Лист1!$E$31</f>
        <v>4294048</v>
      </c>
      <c r="F27" s="16">
        <f>[9]Лист1!$F$31</f>
        <v>8845677</v>
      </c>
      <c r="G27" s="17">
        <f>100%-F27/16800000</f>
        <v>0.47347160714285719</v>
      </c>
      <c r="H27" s="18">
        <f>16800000-F27</f>
        <v>7954323</v>
      </c>
      <c r="I27" s="23">
        <f t="shared" si="0"/>
        <v>0.48544028908132186</v>
      </c>
      <c r="J27" s="15"/>
      <c r="K27" s="11" t="s">
        <v>12</v>
      </c>
    </row>
    <row r="28" spans="1:12" s="19" customFormat="1" ht="30.6">
      <c r="A28" s="10">
        <f t="shared" si="1"/>
        <v>23</v>
      </c>
      <c r="B28" s="20" t="s">
        <v>23</v>
      </c>
      <c r="C28" s="11" t="s">
        <v>13</v>
      </c>
      <c r="D28" s="20" t="s">
        <v>15</v>
      </c>
      <c r="E28" s="12">
        <v>8343654</v>
      </c>
      <c r="F28" s="12">
        <v>9257311</v>
      </c>
      <c r="G28" s="37">
        <f>100%-F28/16800000</f>
        <v>0.44896958333333337</v>
      </c>
      <c r="H28" s="38">
        <f>16800000-F28</f>
        <v>7542689</v>
      </c>
      <c r="I28" s="23">
        <f t="shared" si="0"/>
        <v>0.90130427723558171</v>
      </c>
      <c r="J28" s="15"/>
      <c r="K28" s="11" t="s">
        <v>12</v>
      </c>
      <c r="L28" s="21"/>
    </row>
    <row r="29" spans="1:12" s="19" customFormat="1" ht="30.6">
      <c r="A29" s="10">
        <f t="shared" si="1"/>
        <v>24</v>
      </c>
      <c r="B29" s="20" t="s">
        <v>26</v>
      </c>
      <c r="C29" s="11" t="s">
        <v>13</v>
      </c>
      <c r="D29" s="20" t="s">
        <v>15</v>
      </c>
      <c r="E29" s="16"/>
      <c r="F29" s="16">
        <v>10659414</v>
      </c>
      <c r="G29" s="17">
        <f>100%-F29/16800000</f>
        <v>0.36551107142857142</v>
      </c>
      <c r="H29" s="18">
        <f>24000000-F29</f>
        <v>13340586</v>
      </c>
      <c r="I29" s="23">
        <f t="shared" si="0"/>
        <v>0</v>
      </c>
      <c r="J29" s="15"/>
      <c r="K29" s="11" t="s">
        <v>12</v>
      </c>
    </row>
    <row r="30" spans="1:12" s="19" customFormat="1" ht="30.6">
      <c r="A30" s="40">
        <f t="shared" si="1"/>
        <v>25</v>
      </c>
      <c r="B30" s="20" t="s">
        <v>19</v>
      </c>
      <c r="C30" s="11" t="s">
        <v>13</v>
      </c>
      <c r="D30" s="20" t="s">
        <v>15</v>
      </c>
      <c r="E30" s="12">
        <f>[10]Лист1!$E$30</f>
        <v>6849070</v>
      </c>
      <c r="F30" s="12">
        <f>[10]Лист1!$F$30</f>
        <v>14503171</v>
      </c>
      <c r="G30" s="37">
        <f>100%-F30/19600000</f>
        <v>0.26004229591836736</v>
      </c>
      <c r="H30" s="38">
        <f>19600000-F30</f>
        <v>5096829</v>
      </c>
      <c r="I30" s="23">
        <f t="shared" si="0"/>
        <v>0.47224637977446449</v>
      </c>
      <c r="J30" s="15"/>
      <c r="K30" s="11" t="s">
        <v>12</v>
      </c>
      <c r="L30" s="21"/>
    </row>
    <row r="31" spans="1:12" s="19" customFormat="1" ht="30.6">
      <c r="A31" s="40">
        <f t="shared" si="1"/>
        <v>26</v>
      </c>
      <c r="B31" s="20" t="s">
        <v>38</v>
      </c>
      <c r="C31" s="11" t="s">
        <v>13</v>
      </c>
      <c r="D31" s="20" t="s">
        <v>15</v>
      </c>
      <c r="E31" s="12">
        <f>[11]Лист1!$E$39</f>
        <v>11248736</v>
      </c>
      <c r="F31" s="12">
        <f>[11]Лист1!$F$39</f>
        <v>12230442</v>
      </c>
      <c r="G31" s="37">
        <f>100%-F31/18200000</f>
        <v>0.32799769230769227</v>
      </c>
      <c r="H31" s="38">
        <f>18200000-F31</f>
        <v>5969558</v>
      </c>
      <c r="I31" s="23">
        <f t="shared" si="0"/>
        <v>0.91973258202769781</v>
      </c>
      <c r="J31" s="15"/>
      <c r="K31" s="11" t="s">
        <v>12</v>
      </c>
      <c r="L31" s="21"/>
    </row>
    <row r="32" spans="1:12" s="19" customFormat="1" ht="30.6">
      <c r="A32" s="40">
        <f t="shared" si="1"/>
        <v>27</v>
      </c>
      <c r="B32" s="20" t="s">
        <v>41</v>
      </c>
      <c r="C32" s="11" t="s">
        <v>13</v>
      </c>
      <c r="D32" s="20" t="s">
        <v>15</v>
      </c>
      <c r="E32" s="16">
        <f>[14]Лист1!$E$30</f>
        <v>13190994</v>
      </c>
      <c r="F32" s="16">
        <f>[14]Лист1!$F$30</f>
        <v>16642877</v>
      </c>
      <c r="G32" s="17">
        <f>100%-F32/21000000</f>
        <v>0.20748204761904765</v>
      </c>
      <c r="H32" s="18">
        <f>21000000-F32</f>
        <v>4357123</v>
      </c>
      <c r="I32" s="23">
        <f t="shared" si="0"/>
        <v>0.7925909684966127</v>
      </c>
      <c r="J32" s="15"/>
      <c r="K32" s="11" t="s">
        <v>14</v>
      </c>
    </row>
    <row r="33" spans="1:12" ht="30.6">
      <c r="A33" s="40">
        <f t="shared" si="1"/>
        <v>28</v>
      </c>
      <c r="B33" s="20" t="s">
        <v>21</v>
      </c>
      <c r="C33" s="11" t="s">
        <v>13</v>
      </c>
      <c r="D33" s="20" t="s">
        <v>15</v>
      </c>
      <c r="E33" s="12">
        <f>[12]Лист1!$E$32</f>
        <v>6615167</v>
      </c>
      <c r="F33" s="12">
        <f>[12]Лист1!$F$32</f>
        <v>15776459</v>
      </c>
      <c r="G33" s="37">
        <f>100%-F33/18200000</f>
        <v>0.13316159340659339</v>
      </c>
      <c r="H33" s="38">
        <f>18200000-F33</f>
        <v>2423541</v>
      </c>
      <c r="I33" s="23">
        <f t="shared" si="0"/>
        <v>0.4193061953889653</v>
      </c>
      <c r="J33" s="15"/>
      <c r="K33" s="11" t="s">
        <v>12</v>
      </c>
      <c r="L33" s="24"/>
    </row>
    <row r="34" spans="1:12" ht="30.6">
      <c r="A34" s="27">
        <f t="shared" si="1"/>
        <v>29</v>
      </c>
      <c r="B34" s="29" t="s">
        <v>30</v>
      </c>
      <c r="C34" s="28" t="s">
        <v>13</v>
      </c>
      <c r="D34" s="29" t="s">
        <v>15</v>
      </c>
      <c r="E34" s="30">
        <f>[13]Лист1!$E$33</f>
        <v>24278204</v>
      </c>
      <c r="F34" s="30">
        <f>[13]Лист1!$F$33</f>
        <v>26782614</v>
      </c>
      <c r="G34" s="34">
        <f>100%-F34/16800000</f>
        <v>-0.59420321428571432</v>
      </c>
      <c r="H34" s="35">
        <f>16800000-F34</f>
        <v>-9982614</v>
      </c>
      <c r="I34" s="31">
        <f t="shared" si="0"/>
        <v>0.90649120358453439</v>
      </c>
      <c r="J34" s="32"/>
      <c r="K34" s="28" t="s">
        <v>12</v>
      </c>
      <c r="L34" s="33"/>
    </row>
  </sheetData>
  <autoFilter ref="A3:L21">
    <filterColumn colId="6" showButton="0"/>
    <sortState ref="A6:L32">
      <sortCondition descending="1" ref="G3:G19"/>
    </sortState>
  </autoFilter>
  <mergeCells count="10">
    <mergeCell ref="J3:J4"/>
    <mergeCell ref="K3:K4"/>
    <mergeCell ref="D2:E2"/>
    <mergeCell ref="A1:K1"/>
    <mergeCell ref="B3:B4"/>
    <mergeCell ref="A3:A4"/>
    <mergeCell ref="G3:H3"/>
    <mergeCell ref="D3:D4"/>
    <mergeCell ref="I3:I4"/>
    <mergeCell ref="C3:C4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6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Выработка формокомплектов</vt:lpstr>
      <vt:lpstr>'Выработка формокомплектов'!Область_печати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Base</cp:lastModifiedBy>
  <cp:lastPrinted>2019-08-06T06:34:28Z</cp:lastPrinted>
  <dcterms:created xsi:type="dcterms:W3CDTF">2005-06-28T07:56:17Z</dcterms:created>
  <dcterms:modified xsi:type="dcterms:W3CDTF">2019-09-17T10:42:14Z</dcterms:modified>
</cp:coreProperties>
</file>