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YandexDisk\Документы учеба\ПГС-171\7 семестр\Организация\Мое\"/>
    </mc:Choice>
  </mc:AlternateContent>
  <bookViews>
    <workbookView minimized="1" xWindow="0" yWindow="7800" windowWidth="24000" windowHeight="96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0" i="1" l="1"/>
  <c r="F381" i="1"/>
  <c r="H381" i="1" s="1"/>
  <c r="L381" i="1" s="1"/>
  <c r="N381" i="1" s="1"/>
  <c r="P381" i="1" s="1"/>
  <c r="H382" i="1"/>
  <c r="L382" i="1" s="1"/>
  <c r="N382" i="1" s="1"/>
  <c r="P382" i="1" s="1"/>
  <c r="L375" i="1"/>
  <c r="N375" i="1" s="1"/>
  <c r="P375" i="1" s="1"/>
  <c r="L376" i="1"/>
  <c r="N376" i="1" s="1"/>
  <c r="P376" i="1" s="1"/>
  <c r="L379" i="1"/>
  <c r="N379" i="1" s="1"/>
  <c r="P379" i="1" s="1"/>
  <c r="H375" i="1"/>
  <c r="H376" i="1"/>
  <c r="H377" i="1"/>
  <c r="L377" i="1" s="1"/>
  <c r="N377" i="1" s="1"/>
  <c r="P377" i="1" s="1"/>
  <c r="H379" i="1"/>
  <c r="H380" i="1"/>
  <c r="L380" i="1" s="1"/>
  <c r="N380" i="1" s="1"/>
  <c r="P380" i="1" s="1"/>
  <c r="H371" i="1"/>
  <c r="N371" i="1" l="1"/>
  <c r="P371" i="1" s="1"/>
  <c r="H373" i="1"/>
  <c r="L373" i="1" s="1"/>
  <c r="N373" i="1" s="1"/>
  <c r="P373" i="1" s="1"/>
  <c r="L371" i="1"/>
  <c r="L343" i="1"/>
  <c r="L339" i="1"/>
  <c r="L338" i="1"/>
  <c r="L336" i="1"/>
  <c r="L335" i="1"/>
  <c r="E336" i="1"/>
  <c r="G336" i="1" s="1"/>
  <c r="I310" i="1" l="1"/>
  <c r="I308" i="1"/>
  <c r="I306" i="1"/>
  <c r="N330" i="1" s="1"/>
  <c r="I300" i="1"/>
  <c r="I305" i="1" s="1"/>
  <c r="M283" i="1"/>
  <c r="N277" i="1"/>
  <c r="K243" i="1"/>
  <c r="K244" i="1"/>
  <c r="K246" i="1" s="1"/>
  <c r="L246" i="1"/>
  <c r="L245" i="1"/>
  <c r="G244" i="1"/>
  <c r="E248" i="1"/>
  <c r="E249" i="1" s="1"/>
  <c r="E250" i="1" s="1"/>
  <c r="E251" i="1" s="1"/>
  <c r="I312" i="1" l="1"/>
  <c r="N326" i="1" s="1"/>
  <c r="I325" i="1"/>
  <c r="N320" i="1"/>
  <c r="N312" i="1"/>
  <c r="E351" i="1" s="1"/>
  <c r="G351" i="1" s="1"/>
  <c r="N316" i="1"/>
  <c r="E341" i="1" s="1"/>
  <c r="N306" i="1"/>
  <c r="E339" i="1" s="1"/>
  <c r="G339" i="1" s="1"/>
  <c r="I326" i="1"/>
  <c r="N318" i="1"/>
  <c r="E343" i="1" s="1"/>
  <c r="N308" i="1"/>
  <c r="N322" i="1"/>
  <c r="N324" i="1" s="1"/>
  <c r="E355" i="1" s="1"/>
  <c r="N314" i="1"/>
  <c r="E353" i="1" s="1"/>
  <c r="G353" i="1" s="1"/>
  <c r="L248" i="1"/>
  <c r="I301" i="1"/>
  <c r="I303" i="1"/>
  <c r="H153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2" i="1"/>
  <c r="H191" i="1"/>
  <c r="H190" i="1"/>
  <c r="H189" i="1"/>
  <c r="H187" i="1"/>
  <c r="H186" i="1"/>
  <c r="H185" i="1"/>
  <c r="H184" i="1"/>
  <c r="H183" i="1"/>
  <c r="H182" i="1"/>
  <c r="H181" i="1"/>
  <c r="H180" i="1"/>
  <c r="H179" i="1"/>
  <c r="H178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2" i="1"/>
  <c r="H160" i="1"/>
  <c r="H159" i="1"/>
  <c r="H158" i="1"/>
  <c r="H157" i="1"/>
  <c r="H156" i="1"/>
  <c r="H155" i="1"/>
  <c r="H154" i="1"/>
  <c r="H152" i="1"/>
  <c r="H151" i="1"/>
  <c r="H150" i="1"/>
  <c r="H149" i="1"/>
  <c r="H147" i="1"/>
  <c r="H146" i="1"/>
  <c r="H145" i="1"/>
  <c r="H144" i="1"/>
  <c r="H143" i="1"/>
  <c r="H142" i="1"/>
  <c r="H141" i="1"/>
  <c r="H140" i="1"/>
  <c r="H139" i="1"/>
  <c r="H138" i="1"/>
  <c r="H136" i="1"/>
  <c r="H135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7" i="1"/>
  <c r="H116" i="1"/>
  <c r="H115" i="1"/>
  <c r="H114" i="1"/>
  <c r="H112" i="1"/>
  <c r="H111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4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8" i="1"/>
  <c r="H77" i="1"/>
  <c r="H76" i="1"/>
  <c r="H75" i="1"/>
  <c r="H74" i="1"/>
  <c r="H73" i="1"/>
  <c r="H71" i="1"/>
  <c r="H70" i="1"/>
  <c r="H69" i="1"/>
  <c r="H68" i="1"/>
  <c r="H67" i="1"/>
  <c r="H66" i="1"/>
  <c r="H64" i="1"/>
  <c r="H63" i="1"/>
  <c r="F251" i="1" s="1"/>
  <c r="I251" i="1" s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E242" i="1" s="1"/>
  <c r="F242" i="1" s="1"/>
  <c r="I242" i="1" s="1"/>
  <c r="H20" i="1"/>
  <c r="H18" i="1"/>
  <c r="H17" i="1"/>
  <c r="H16" i="1"/>
  <c r="H15" i="1"/>
  <c r="H14" i="1"/>
  <c r="H13" i="1"/>
  <c r="H12" i="1"/>
  <c r="H11" i="1"/>
  <c r="H10" i="1"/>
  <c r="H9" i="1"/>
  <c r="H8" i="1"/>
  <c r="F245" i="1"/>
  <c r="I245" i="1" s="1"/>
  <c r="H7" i="1"/>
  <c r="E357" i="1" l="1"/>
  <c r="G357" i="1" s="1"/>
  <c r="G355" i="1"/>
  <c r="E345" i="1"/>
  <c r="G345" i="1" s="1"/>
  <c r="G343" i="1"/>
  <c r="E359" i="1"/>
  <c r="G359" i="1" s="1"/>
  <c r="G341" i="1"/>
  <c r="N327" i="1"/>
  <c r="N328" i="1" s="1"/>
  <c r="E347" i="1" s="1"/>
  <c r="E364" i="1"/>
  <c r="G364" i="1" s="1"/>
  <c r="E241" i="1"/>
  <c r="F241" i="1" s="1"/>
  <c r="I241" i="1" s="1"/>
  <c r="E252" i="1"/>
  <c r="F252" i="1" s="1"/>
  <c r="I252" i="1" s="1"/>
  <c r="E255" i="1"/>
  <c r="E256" i="1" s="1"/>
  <c r="E257" i="1" s="1"/>
  <c r="E258" i="1" s="1"/>
  <c r="E259" i="1" s="1"/>
  <c r="F259" i="1" s="1"/>
  <c r="I259" i="1" s="1"/>
  <c r="E265" i="1"/>
  <c r="E266" i="1" s="1"/>
  <c r="E267" i="1" s="1"/>
  <c r="E268" i="1" s="1"/>
  <c r="E269" i="1" s="1"/>
  <c r="F269" i="1" s="1"/>
  <c r="I269" i="1" s="1"/>
  <c r="I318" i="1"/>
  <c r="F248" i="1"/>
  <c r="I248" i="1" s="1"/>
  <c r="E254" i="1"/>
  <c r="F254" i="1" s="1"/>
  <c r="I254" i="1" s="1"/>
  <c r="E239" i="1"/>
  <c r="F239" i="1" s="1"/>
  <c r="I239" i="1" s="1"/>
  <c r="F250" i="1"/>
  <c r="I250" i="1" s="1"/>
  <c r="E280" i="1"/>
  <c r="E253" i="1"/>
  <c r="F253" i="1" s="1"/>
  <c r="I253" i="1" s="1"/>
  <c r="E270" i="1"/>
  <c r="E260" i="1"/>
  <c r="E275" i="1"/>
  <c r="E246" i="1"/>
  <c r="F246" i="1" s="1"/>
  <c r="I246" i="1" s="1"/>
  <c r="F247" i="1"/>
  <c r="I247" i="1" s="1"/>
  <c r="E243" i="1"/>
  <c r="F243" i="1" s="1"/>
  <c r="I243" i="1" s="1"/>
  <c r="E244" i="1"/>
  <c r="F244" i="1" s="1"/>
  <c r="I244" i="1" s="1"/>
  <c r="F249" i="1"/>
  <c r="I249" i="1" s="1"/>
  <c r="H209" i="1"/>
  <c r="H208" i="1"/>
  <c r="K273" i="1"/>
  <c r="E349" i="1" l="1"/>
  <c r="G349" i="1" s="1"/>
  <c r="G347" i="1"/>
  <c r="I320" i="1"/>
  <c r="N329" i="1" s="1"/>
  <c r="E363" i="1" s="1"/>
  <c r="G363" i="1" s="1"/>
  <c r="N300" i="1"/>
  <c r="E335" i="1" s="1"/>
  <c r="G335" i="1" s="1"/>
  <c r="E337" i="1"/>
  <c r="G337" i="1" s="1"/>
  <c r="F267" i="1"/>
  <c r="I267" i="1" s="1"/>
  <c r="F258" i="1"/>
  <c r="I258" i="1" s="1"/>
  <c r="F257" i="1"/>
  <c r="I257" i="1" s="1"/>
  <c r="F256" i="1"/>
  <c r="I256" i="1" s="1"/>
  <c r="F255" i="1"/>
  <c r="I255" i="1" s="1"/>
  <c r="F266" i="1"/>
  <c r="I266" i="1" s="1"/>
  <c r="F268" i="1"/>
  <c r="I268" i="1" s="1"/>
  <c r="F265" i="1"/>
  <c r="I265" i="1" s="1"/>
  <c r="I328" i="1"/>
  <c r="I327" i="1"/>
  <c r="E261" i="1"/>
  <c r="F260" i="1"/>
  <c r="I260" i="1" s="1"/>
  <c r="E276" i="1"/>
  <c r="F275" i="1"/>
  <c r="I275" i="1" s="1"/>
  <c r="E271" i="1"/>
  <c r="F270" i="1"/>
  <c r="I270" i="1" s="1"/>
  <c r="E281" i="1"/>
  <c r="F280" i="1"/>
  <c r="I280" i="1" s="1"/>
  <c r="H212" i="1"/>
  <c r="H211" i="1"/>
  <c r="M6" i="1" s="1"/>
  <c r="H210" i="1"/>
  <c r="N310" i="1" l="1"/>
  <c r="N303" i="1"/>
  <c r="E338" i="1" s="1"/>
  <c r="E361" i="1"/>
  <c r="G361" i="1" s="1"/>
  <c r="G338" i="1"/>
  <c r="E282" i="1"/>
  <c r="F281" i="1"/>
  <c r="I281" i="1" s="1"/>
  <c r="E277" i="1"/>
  <c r="F276" i="1"/>
  <c r="I276" i="1" s="1"/>
  <c r="E288" i="1"/>
  <c r="F288" i="1" s="1"/>
  <c r="I288" i="1" s="1"/>
  <c r="E285" i="1"/>
  <c r="F285" i="1" s="1"/>
  <c r="I285" i="1" s="1"/>
  <c r="E286" i="1"/>
  <c r="F286" i="1" s="1"/>
  <c r="I286" i="1" s="1"/>
  <c r="E289" i="1"/>
  <c r="F289" i="1" s="1"/>
  <c r="I289" i="1" s="1"/>
  <c r="E290" i="1"/>
  <c r="F290" i="1" s="1"/>
  <c r="I290" i="1" s="1"/>
  <c r="E287" i="1"/>
  <c r="F287" i="1" s="1"/>
  <c r="I287" i="1" s="1"/>
  <c r="E272" i="1"/>
  <c r="F271" i="1"/>
  <c r="I271" i="1" s="1"/>
  <c r="E262" i="1"/>
  <c r="F261" i="1"/>
  <c r="I261" i="1" s="1"/>
  <c r="H213" i="1"/>
  <c r="H216" i="1" s="1"/>
  <c r="E291" i="1" s="1"/>
  <c r="F291" i="1" s="1"/>
  <c r="I291" i="1" s="1"/>
  <c r="M5" i="1"/>
  <c r="E273" i="1" l="1"/>
  <c r="F272" i="1"/>
  <c r="I272" i="1" s="1"/>
  <c r="E278" i="1"/>
  <c r="F277" i="1"/>
  <c r="I277" i="1" s="1"/>
  <c r="E263" i="1"/>
  <c r="F262" i="1"/>
  <c r="I262" i="1" s="1"/>
  <c r="E283" i="1"/>
  <c r="F282" i="1"/>
  <c r="I282" i="1" s="1"/>
  <c r="H217" i="1"/>
  <c r="H218" i="1" s="1"/>
  <c r="E284" i="1" l="1"/>
  <c r="F284" i="1" s="1"/>
  <c r="I284" i="1" s="1"/>
  <c r="F283" i="1"/>
  <c r="I283" i="1" s="1"/>
  <c r="E279" i="1"/>
  <c r="F279" i="1" s="1"/>
  <c r="I279" i="1" s="1"/>
  <c r="F278" i="1"/>
  <c r="I278" i="1" s="1"/>
  <c r="E264" i="1"/>
  <c r="F264" i="1" s="1"/>
  <c r="I264" i="1" s="1"/>
  <c r="F263" i="1"/>
  <c r="I263" i="1" s="1"/>
  <c r="E274" i="1"/>
  <c r="F274" i="1" s="1"/>
  <c r="I274" i="1" s="1"/>
  <c r="F273" i="1"/>
  <c r="I273" i="1" s="1"/>
  <c r="H219" i="1"/>
  <c r="E240" i="1"/>
  <c r="F240" i="1" s="1"/>
  <c r="I240" i="1" s="1"/>
  <c r="H221" i="1" l="1"/>
  <c r="E292" i="1" s="1"/>
  <c r="F292" i="1" s="1"/>
  <c r="I292" i="1" s="1"/>
  <c r="H220" i="1"/>
  <c r="E238" i="1" s="1"/>
  <c r="F238" i="1" s="1"/>
  <c r="H222" i="1" l="1"/>
  <c r="F293" i="1"/>
  <c r="I238" i="1"/>
</calcChain>
</file>

<file path=xl/sharedStrings.xml><?xml version="1.0" encoding="utf-8"?>
<sst xmlns="http://schemas.openxmlformats.org/spreadsheetml/2006/main" count="774" uniqueCount="517">
  <si>
    <t>№</t>
  </si>
  <si>
    <t>Обоснование</t>
  </si>
  <si>
    <t>Наименование видов работ</t>
  </si>
  <si>
    <t>Ед.изм.</t>
  </si>
  <si>
    <t>Количество</t>
  </si>
  <si>
    <t>на ед.</t>
  </si>
  <si>
    <t>Подземная часть</t>
  </si>
  <si>
    <t>Е1-24-5</t>
  </si>
  <si>
    <t>1000 м3</t>
  </si>
  <si>
    <t>Е1-24-13</t>
  </si>
  <si>
    <t>Е1-30-2</t>
  </si>
  <si>
    <t>Планировка площадей бульдозерами мощностью 79 (108) кВт (л.с.)</t>
  </si>
  <si>
    <t>Е1-12-13</t>
  </si>
  <si>
    <t>Е1-17-13</t>
  </si>
  <si>
    <t>Е1-163-7</t>
  </si>
  <si>
    <t>100 м3</t>
  </si>
  <si>
    <t>Фундаменты</t>
  </si>
  <si>
    <t>Е5-1-4</t>
  </si>
  <si>
    <t>м3</t>
  </si>
  <si>
    <t>Е6-57-1</t>
  </si>
  <si>
    <t>Установка арматуры</t>
  </si>
  <si>
    <t>Т</t>
  </si>
  <si>
    <t>Е6-1-15</t>
  </si>
  <si>
    <t>Е6-100-1</t>
  </si>
  <si>
    <t>100м3</t>
  </si>
  <si>
    <t>Е8-4-3</t>
  </si>
  <si>
    <t>100 м2</t>
  </si>
  <si>
    <t>Е6-14-16</t>
  </si>
  <si>
    <t>Е6-22-3</t>
  </si>
  <si>
    <t>Е1-27-4</t>
  </si>
  <si>
    <t>Е1-166-1</t>
  </si>
  <si>
    <t>Е1-134-1</t>
  </si>
  <si>
    <t>Надземная часть</t>
  </si>
  <si>
    <t>Несущие конструкции</t>
  </si>
  <si>
    <t xml:space="preserve"> 100 м3</t>
  </si>
  <si>
    <t>Е6-105-1</t>
  </si>
  <si>
    <t>Устройство монолитных железобетонных лестничных площадок и маршей в опалубке импортного производства типа "модостр"</t>
  </si>
  <si>
    <t>Стены и перегородки</t>
  </si>
  <si>
    <t>Е8-52-1</t>
  </si>
  <si>
    <t>Возведение трехслойных стен из газосиликатных блоков на клею толщиной 500 мм</t>
  </si>
  <si>
    <t>Е26-12-3</t>
  </si>
  <si>
    <t>Изоляция поверхностей плоских изделиями минераловатными с гофрированной структурой</t>
  </si>
  <si>
    <t>10м2</t>
  </si>
  <si>
    <t>Е8-7-502</t>
  </si>
  <si>
    <t>Кладка перегородок неармированных толщиной в 1 2 кирпича при высоте этажа до 4 м из кирпича силикатного утолщенного</t>
  </si>
  <si>
    <t>100м2</t>
  </si>
  <si>
    <t>Е6-18-9</t>
  </si>
  <si>
    <t>Устройство перемычек железобетонных из бетона класса с12/15</t>
  </si>
  <si>
    <t>Е6-103-1</t>
  </si>
  <si>
    <t>Устройство монолитного железобетонного лифтового блока в опалубке импортного производства типа "модостр"</t>
  </si>
  <si>
    <t>Кровля</t>
  </si>
  <si>
    <t>Е 12-91-1</t>
  </si>
  <si>
    <t>Устройство выравнивающих стяжек под кровлю без армирования толщиной 30 мм</t>
  </si>
  <si>
    <t>Е12-13-3</t>
  </si>
  <si>
    <t xml:space="preserve">Утепление покрытий плитами из минеральной ваты или перлита на битумной мастике </t>
  </si>
  <si>
    <t>Е12-115-1</t>
  </si>
  <si>
    <t>Огрунтовка оснований кровли механизированным способом</t>
  </si>
  <si>
    <t>Е12-15-1</t>
  </si>
  <si>
    <t>Устройство пароизоляции оклеечной в один слой</t>
  </si>
  <si>
    <t>Е12-104-1</t>
  </si>
  <si>
    <t>Устройство двухслойных кровель из наплавляемых рулонных материалов при механическом закреплении нижнего слоя водоизоляционного ковра</t>
  </si>
  <si>
    <t>Е16-21-1</t>
  </si>
  <si>
    <t>Установка воронок водосточных</t>
  </si>
  <si>
    <t>Шт</t>
  </si>
  <si>
    <t>Е12-112-1</t>
  </si>
  <si>
    <t>Устройство примыканий кровли из наплавляемых рулонных материалов к воронке внутреннего водостока</t>
  </si>
  <si>
    <t>100шт</t>
  </si>
  <si>
    <t>Е12-9-1</t>
  </si>
  <si>
    <t>Устройство желобов настенных</t>
  </si>
  <si>
    <t>100мжел.</t>
  </si>
  <si>
    <t>Е12-22-1</t>
  </si>
  <si>
    <t>Устройство примыканий к парапетам и другим выступающим частям здания при устройстве покрытия кровли из рулонных материалов</t>
  </si>
  <si>
    <t>100м</t>
  </si>
  <si>
    <t>Е15-379-1</t>
  </si>
  <si>
    <t>Облицовка парапета фасадными панелями</t>
  </si>
  <si>
    <t>100м пара</t>
  </si>
  <si>
    <t>Окна</t>
  </si>
  <si>
    <t>Е10-101-2</t>
  </si>
  <si>
    <t>Установка окон из ПВХ со стеклопакетами в проемы кирпичных стен с креплением поворотными анкерами при площади изделия до 2 м2</t>
  </si>
  <si>
    <t>Е10-101-3</t>
  </si>
  <si>
    <t>поворотными анкерами при площади изделия до 3 м2</t>
  </si>
  <si>
    <t>Е10-101-4</t>
  </si>
  <si>
    <t>Установка окон из пвх со стеклопакетами в проемы кирпичных стен с креплением поворотными анкерами при площади изделия свыше 3 м2</t>
  </si>
  <si>
    <t>Е10-102-2</t>
  </si>
  <si>
    <t>Установка блоков окно-балконная дверь из ПВХ со стеклопакетами в проемы кирпичных стен при площади изделия свыше 3 м2</t>
  </si>
  <si>
    <t>Е10-107-1</t>
  </si>
  <si>
    <t>Соединение окна и балконной рамы при помощи подставочного профиля</t>
  </si>
  <si>
    <t>100 м</t>
  </si>
  <si>
    <t>Е10-104-1</t>
  </si>
  <si>
    <t>Установка подоконных досок из ДСП</t>
  </si>
  <si>
    <t>Е10-103-1</t>
  </si>
  <si>
    <t>Двери</t>
  </si>
  <si>
    <t>Е10-23-1</t>
  </si>
  <si>
    <t>проема до 3 м2</t>
  </si>
  <si>
    <t>Е10-23-3</t>
  </si>
  <si>
    <t>Е10-23-5</t>
  </si>
  <si>
    <t>Установка блоков для люков в перекрытиях</t>
  </si>
  <si>
    <t>Внутренние отделочные работы</t>
  </si>
  <si>
    <t>Е15-69-2</t>
  </si>
  <si>
    <t>Отделка поверхностей стен и перегородок из блоков и плит под окраску или оклейку обоями</t>
  </si>
  <si>
    <t>100М2</t>
  </si>
  <si>
    <t>Е15-315-1</t>
  </si>
  <si>
    <t>Е15-326-2</t>
  </si>
  <si>
    <t>пов</t>
  </si>
  <si>
    <t>Е15-65-1</t>
  </si>
  <si>
    <t>Штукатурка плоских поверхностей оконных и дверных откосов по камню</t>
  </si>
  <si>
    <t>Е15-18-1</t>
  </si>
  <si>
    <t>Е15-314-1</t>
  </si>
  <si>
    <t>Высококачественная окраска стен внутри помещений акриловыми составами с полной подготовкой поверхности по штукатурке</t>
  </si>
  <si>
    <t>Е15-267-1</t>
  </si>
  <si>
    <t>Оклейка стен и перегородок обоями со сплошным шпатлеванием простыми и средней плотности с подбором рисунка</t>
  </si>
  <si>
    <t>Полы</t>
  </si>
  <si>
    <t>Тип 1(пол подвала)</t>
  </si>
  <si>
    <t>Е11-11-3</t>
  </si>
  <si>
    <t>Устройство стяжек цементных толщиной 20 мм</t>
  </si>
  <si>
    <t>Тип 2(пол 1го этажа коридоры)</t>
  </si>
  <si>
    <t>Утепление покрытий плитами из легких бетонов</t>
  </si>
  <si>
    <t>Е11-9-2</t>
  </si>
  <si>
    <t>Устройство звукоизоляции сплошной из плит древесноволокнистых</t>
  </si>
  <si>
    <t>Е11-34-1</t>
  </si>
  <si>
    <t>Устройство покрытий из досок паркетных</t>
  </si>
  <si>
    <t>Е11-39-1</t>
  </si>
  <si>
    <t>Устройство плинтусов деревянных</t>
  </si>
  <si>
    <t>Тип 3(пол 1го этажа сан. помещения)</t>
  </si>
  <si>
    <t>Е12-13-5</t>
  </si>
  <si>
    <t>Е11-4-5</t>
  </si>
  <si>
    <t>Устройство гидроизоляции обмазочной в один слой толщиной 2 мм</t>
  </si>
  <si>
    <t>Е11-11-5</t>
  </si>
  <si>
    <t>Устройство стяжек легкобетонных толщиной 20 мм</t>
  </si>
  <si>
    <t>Е11-47-3</t>
  </si>
  <si>
    <t>Устройство покрытий пола плиткой "ГРЕС" на клею по цементной стяжке</t>
  </si>
  <si>
    <t>Е11-49-1</t>
  </si>
  <si>
    <t>Укладка плинтуса из плитки "ГРЕС" на клею</t>
  </si>
  <si>
    <t>Тип 4(пол 1го этажа в комнатах)</t>
  </si>
  <si>
    <t>Е11-36-3</t>
  </si>
  <si>
    <t>Устройство покрытий из линолеума на клее БУСТИЛАТ</t>
  </si>
  <si>
    <t>Тип 5(пол типового этажа коридоры)</t>
  </si>
  <si>
    <t>Тип 6(пол типового этажа сан. помещения)</t>
  </si>
  <si>
    <t>Тип 7(пол типового этажа в помещениях)</t>
  </si>
  <si>
    <t>Отмостка и крыльца</t>
  </si>
  <si>
    <t>Е1-164-1</t>
  </si>
  <si>
    <t>Е11-2-1</t>
  </si>
  <si>
    <t>Устройство уплотняемых трамбовками подстилающих слоев гравийных</t>
  </si>
  <si>
    <t>Е11-2-4</t>
  </si>
  <si>
    <t>Устройство уплотняемых трамбовками подстилающих слоев щебеночных</t>
  </si>
  <si>
    <t>Е11-19-3</t>
  </si>
  <si>
    <t>Устройство покрытий асфальтобетонных жестких толщиной 25 мм</t>
  </si>
  <si>
    <t>Е8-27-1</t>
  </si>
  <si>
    <t>Устройство крылец с входной площадкой</t>
  </si>
  <si>
    <t>м2</t>
  </si>
  <si>
    <t>Устройство пароизоляции оклеечной в один слой рубероида</t>
  </si>
  <si>
    <t>Е12-4-1</t>
  </si>
  <si>
    <t>Устройство примыканий из рубероида  к стенам высотой до 600 мм без фартуков</t>
  </si>
  <si>
    <t>на весь объем</t>
  </si>
  <si>
    <t xml:space="preserve">всего </t>
  </si>
  <si>
    <t>чел часы</t>
  </si>
  <si>
    <t>маш часы</t>
  </si>
  <si>
    <t>электромонтаж (8%)</t>
  </si>
  <si>
    <t>сантехника (10%)</t>
  </si>
  <si>
    <t>слаботочечные (2%)</t>
  </si>
  <si>
    <t>итого</t>
  </si>
  <si>
    <t>монтаж оборуд (20%)</t>
  </si>
  <si>
    <t>пусконалад (5%)</t>
  </si>
  <si>
    <t>благоустройство (3%)</t>
  </si>
  <si>
    <t>Сдача объекта (1%)</t>
  </si>
  <si>
    <t>подготовительный период (6%)</t>
  </si>
  <si>
    <t>Неучтенные работы (12%)</t>
  </si>
  <si>
    <t>Наружная отделка фасадов</t>
  </si>
  <si>
    <t>Е15-380-1</t>
  </si>
  <si>
    <t>Устройство навесных вентилируемых фасадов из алюминиевого профиля с облицовкой керамогранитными плитами размером 600х1200 мм со скрытым креплением на аграфах на междуэтажную систему</t>
  </si>
  <si>
    <t>Итого</t>
  </si>
  <si>
    <t>Сантехнические работы (10%)</t>
  </si>
  <si>
    <t>Электромонтажные работы (8%)</t>
  </si>
  <si>
    <t>Слаботочные работы (2%)</t>
  </si>
  <si>
    <t>ИТОГО</t>
  </si>
  <si>
    <t>Монтаж оборудования (20%)</t>
  </si>
  <si>
    <t>Пусконаладочные работы (5%)</t>
  </si>
  <si>
    <t>Благоустройство территории (3%)</t>
  </si>
  <si>
    <t>Подготовительный период (6%)</t>
  </si>
  <si>
    <t>Затраты  труда. чел-ч / маш-ч</t>
  </si>
  <si>
    <t>Разработка грунта бульдозером мощностью 79 (108) кВт (л.с.) при перемещении грунта до 10 м. грунт 1 группы</t>
  </si>
  <si>
    <t>Разработка грунта бульдозерами мощностью 79 (108) кВт (л.с.) добавлять на каждые последующие 10 м. грунт 1 группы</t>
  </si>
  <si>
    <t>Разработка грунта в отвал экскаватором  "ОБРАТНАЯ ЛОПАТА" с ковшом вместимостью 0.5 м3. грунт 1 группы</t>
  </si>
  <si>
    <t>Разработка грунта с погрузкой на автомобили-самосвалы экскаваторами с ковшом вместимостью 0.5 м3. грунт 1 группы</t>
  </si>
  <si>
    <t>Разработка грунта вручную в траншеях шириной более 2 м и котлованах площадью сечения до 5 м2 с креплениями. глубиной траншей и котлованов до 3 м. грунт 1 группы</t>
  </si>
  <si>
    <t>Погружение дизель-молотом копровой установки на базе трактора железобетонных свай длиной до 10 м. в грунты 1 группы</t>
  </si>
  <si>
    <t>Устройство фундаментных плит бетонных плоских из бетона класса В7.5</t>
  </si>
  <si>
    <t>Устройство монолитных железобетонных наружных стен высотой до 4 м. толщиной 400 мм в опалубке импортного производства типа "модостр"</t>
  </si>
  <si>
    <t>Гидроизоляция стен. фундаментов горизонтальная оклеечная в 2 слоя из рубероида</t>
  </si>
  <si>
    <t>Устройство колонн в деревянной опалубке со стальными сердечниками (жесткой арматурой) из бетона класса с12/15. периметром до 4 м. при отношении объема сердечника или жесткой арматуры к об ему колонн до 25 процентов</t>
  </si>
  <si>
    <t>Устройство перекрытий безбалочных из бетона класса С12/15. толщиной более 200 мм на высоте от опорной площади до 6 м</t>
  </si>
  <si>
    <t>Засыпка траншей и котлованов бульдозерами мощностью 79 (108) кВт (л.с.) при перемещении грунта до 5 м. грунт 1 группы</t>
  </si>
  <si>
    <t>Засыпка вручную траншей. пазух котлованов и ям. грунт 1 группы</t>
  </si>
  <si>
    <t>Уплотнение грунта пневматическими трамбовками. грунт 1 группы</t>
  </si>
  <si>
    <t>Устройство колонн в деревянной опалубке со стальными сердечниками (жесткой арматурой) из бетона класса с12/15. периметром до 4 м. при отношении об ема сердечника или жесткой арматуры к об ему колонн до 25 процентов</t>
  </si>
  <si>
    <t>Герметизация мест примыкания оконных и балконных блоков из пвх к стенам толщиной зазора 0.03 м</t>
  </si>
  <si>
    <t>Установка блоков в наружных и внутренних дверных проемах в перегородках и деревянных нерубленых стенах. площадь проема до 3 м2</t>
  </si>
  <si>
    <t>Улучшенная окраска потолков акриловыми составами по монолитным конструкциям. подготовленным под окраску</t>
  </si>
  <si>
    <t>Декоративная штукатурка типа "байрамикс" внутренних поверхностей стен средней фракции 1.0 мм</t>
  </si>
  <si>
    <t>Разработка грунта вручную в траншеях глубиной до 2 м без креплений с откосами. грунт 1 группы</t>
  </si>
  <si>
    <t>п/п</t>
  </si>
  <si>
    <t>Шифр</t>
  </si>
  <si>
    <t>работы</t>
  </si>
  <si>
    <t>Наименование работ</t>
  </si>
  <si>
    <t>Трудоем-кость</t>
  </si>
  <si>
    <t>работ</t>
  </si>
  <si>
    <t>чел-ч</t>
  </si>
  <si>
    <t>чел-дн</t>
  </si>
  <si>
    <t>Кол. рабочих в смену</t>
  </si>
  <si>
    <t>Кол-во</t>
  </si>
  <si>
    <t>смен</t>
  </si>
  <si>
    <t>Продол-житель-ность</t>
  </si>
  <si>
    <t>-</t>
  </si>
  <si>
    <t>Подготовительный период</t>
  </si>
  <si>
    <t>Срезка растительного слоя и планировка площадки</t>
  </si>
  <si>
    <t>Неучтенные работы</t>
  </si>
  <si>
    <t>Разработка грунта экскаватором</t>
  </si>
  <si>
    <t>Забивка свай</t>
  </si>
  <si>
    <t>Устройство монолитной фундаментной плиты</t>
  </si>
  <si>
    <t xml:space="preserve">Ввод инженерных сетей </t>
  </si>
  <si>
    <t>Устройство кровли</t>
  </si>
  <si>
    <t>Устройство отмостки и крылец</t>
  </si>
  <si>
    <t>Благоустройство территории</t>
  </si>
  <si>
    <t>Сдача объекта</t>
  </si>
  <si>
    <t>Состав звена</t>
  </si>
  <si>
    <t>Машинист</t>
  </si>
  <si>
    <t>Землекоп – 2ч</t>
  </si>
  <si>
    <t>Машинист -2ч</t>
  </si>
  <si>
    <t>Монтажник – 4ч</t>
  </si>
  <si>
    <t>Арматурщик – 6ч</t>
  </si>
  <si>
    <t>Бетонщик – 4ч</t>
  </si>
  <si>
    <t>Каменщик – 4ч</t>
  </si>
  <si>
    <t>Бетонщик – 6ч</t>
  </si>
  <si>
    <t>Машинист – 1ч</t>
  </si>
  <si>
    <t>Бетонщик 6ч</t>
  </si>
  <si>
    <t>Каменщик – 8ч</t>
  </si>
  <si>
    <t>Монтажник - 4ч</t>
  </si>
  <si>
    <t>Бетонщик - 2ч</t>
  </si>
  <si>
    <t>Арматурщик - 2ч</t>
  </si>
  <si>
    <t>Бетонщик 4ч</t>
  </si>
  <si>
    <t>Арматурщик – 2ч</t>
  </si>
  <si>
    <r>
      <t>100м</t>
    </r>
    <r>
      <rPr>
        <vertAlign val="superscript"/>
        <sz val="10"/>
        <color theme="1"/>
        <rFont val="Times New Roman"/>
        <family val="1"/>
        <charset val="204"/>
      </rPr>
      <t>2</t>
    </r>
  </si>
  <si>
    <t>Бетонщик - 4ч</t>
  </si>
  <si>
    <t>Кровельщик – 4ч</t>
  </si>
  <si>
    <r>
      <t>100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</si>
  <si>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100м</t>
    </r>
    <r>
      <rPr>
        <vertAlign val="superscript"/>
        <sz val="10"/>
        <color theme="1"/>
        <rFont val="Times New Roman"/>
        <family val="1"/>
        <charset val="204"/>
      </rPr>
      <t>3</t>
    </r>
  </si>
  <si>
    <t>Установка окон из ПВХ со стеклопакетами в проемы кирпичных стен с креплением</t>
  </si>
  <si>
    <t>Штукатурщик – 4ч</t>
  </si>
  <si>
    <t>Облицовка белыми керамическими глазурованными плитками поверхностей стен в жилых зданиях по кирпичу</t>
  </si>
  <si>
    <t>Плиточник – 8ч</t>
  </si>
  <si>
    <t>Маляр – 4ч</t>
  </si>
  <si>
    <t>Плотник – 4ч</t>
  </si>
  <si>
    <t>Плиточник – 4ч</t>
  </si>
  <si>
    <t>Землекоп – 4ч</t>
  </si>
  <si>
    <t>Установка блоков в наружных и внутренних дверных проемах в каменных стенах. площадь</t>
  </si>
  <si>
    <t>Устройство подвала+ГИ, обратная засыпка и уплотнение грунта</t>
  </si>
  <si>
    <t>19-24, 30</t>
  </si>
  <si>
    <t>Устройство монолитного каркаса здания</t>
  </si>
  <si>
    <t>Кладка перегородок и стен 10-9 этаж</t>
  </si>
  <si>
    <t>Кладка перегородок и стен 8-7 этаж</t>
  </si>
  <si>
    <t>Кладка перегородок и стен 6-5 этаж</t>
  </si>
  <si>
    <t>Кладка перегородок и стен 4-3 этаж</t>
  </si>
  <si>
    <t xml:space="preserve">Кладка перегородок и стен 2-1 этаж+подвал </t>
  </si>
  <si>
    <t>31-40</t>
  </si>
  <si>
    <t>84-90</t>
  </si>
  <si>
    <t>41-50</t>
  </si>
  <si>
    <t>Заполнение проемов 10-9 этаж</t>
  </si>
  <si>
    <t>Заполнение проемов 8-7 этаж</t>
  </si>
  <si>
    <t>Заполнение проемов 6-5 этаж</t>
  </si>
  <si>
    <t>Заполнение проемов 4-3 этаж</t>
  </si>
  <si>
    <t>Заполнение проемов 2-1этаж +подвал</t>
  </si>
  <si>
    <t>58,59-60,64-67,70-71,73, 77-79, 82</t>
  </si>
  <si>
    <t>Подготовка под полы 10-9 этаж</t>
  </si>
  <si>
    <t>Подготовка под полы 8-7 этаж</t>
  </si>
  <si>
    <t>Подготовка под полы 6-5 этаж</t>
  </si>
  <si>
    <t>Подготовка под полы 4-3 этаж</t>
  </si>
  <si>
    <t>Подготовка под полы 2-1 этаж +подвал</t>
  </si>
  <si>
    <t>53-55</t>
  </si>
  <si>
    <t>53,54, 55</t>
  </si>
  <si>
    <t>Штукатурка и плитка(стены) 10-9 этаж</t>
  </si>
  <si>
    <t>Штукатурка и плитка(стены) 8-7 этаж</t>
  </si>
  <si>
    <t>Штукатурка и плитка(стены) 6-5 этаж</t>
  </si>
  <si>
    <t>Штукатурка и плитка(стены) 4-3 этаж</t>
  </si>
  <si>
    <t>Штукатурка и плитка(стены) 2-1 этаж+подвал</t>
  </si>
  <si>
    <t>52,56</t>
  </si>
  <si>
    <t>Подготовка под окраску и окраска водными составами 10-9 этаж</t>
  </si>
  <si>
    <t>Подготовка под окраску и окраска водными составами 8-7 этаж</t>
  </si>
  <si>
    <t>Подготовка под окраску и окраска водными составами 6-5 этаж</t>
  </si>
  <si>
    <t>Подготовка под окраску и окраска водными составами 4-3 этаж</t>
  </si>
  <si>
    <t>Подготовка под окраску и окраска водными составами 2-1 этаж+подвал</t>
  </si>
  <si>
    <t>61-63, 68-69, 72, 74-76, 80-81, 83</t>
  </si>
  <si>
    <t>Чистые полы 10-9 этаж</t>
  </si>
  <si>
    <t>Чистые полы 8-7 этаж</t>
  </si>
  <si>
    <t>Чистые полы 6-5 этаж</t>
  </si>
  <si>
    <t>Чистые полы 4-3 этаж</t>
  </si>
  <si>
    <t>Чистые полы 2-1 этаж+подвал</t>
  </si>
  <si>
    <t>51,57</t>
  </si>
  <si>
    <t xml:space="preserve">Оклейка обоями 10-9 этаж </t>
  </si>
  <si>
    <t xml:space="preserve">Оклейка обоями 8-7 этаж </t>
  </si>
  <si>
    <t xml:space="preserve">Оклейка обоями 6-5 этаж </t>
  </si>
  <si>
    <t xml:space="preserve">Оклейка обоями 4-3 этаж </t>
  </si>
  <si>
    <t xml:space="preserve">Оклейка обоями 2-1 этаж </t>
  </si>
  <si>
    <t>Электротехнические работы 1 этап (60%)</t>
  </si>
  <si>
    <t>Сантехнические работы 1 этап (60%)</t>
  </si>
  <si>
    <t>Устройство слаботочных сетей 1 этап (60%)</t>
  </si>
  <si>
    <t>Электротехнические работы 2 этап (40%)</t>
  </si>
  <si>
    <t>Сантехнические работы 2 этап         (40%)</t>
  </si>
  <si>
    <t>Устройство слаботочных сетей 2 этап (40%)</t>
  </si>
  <si>
    <t>Отделка фасада</t>
  </si>
  <si>
    <t>26-27</t>
  </si>
  <si>
    <t xml:space="preserve">25,28-29 </t>
  </si>
  <si>
    <t>6,8,9</t>
  </si>
  <si>
    <t>Наименование катего- рии работающих</t>
  </si>
  <si>
    <t>Буквен- ное обо- значение</t>
  </si>
  <si>
    <t>Расчет</t>
  </si>
  <si>
    <t>Вели- чина</t>
  </si>
  <si>
    <t>пока- зателя</t>
  </si>
  <si>
    <t>Максимальная рас- четная численность рабочих в сутки</t>
  </si>
  <si>
    <r>
      <t>N</t>
    </r>
    <r>
      <rPr>
        <sz val="8.5"/>
        <color theme="1"/>
        <rFont val="Times New Roman"/>
        <family val="1"/>
        <charset val="204"/>
      </rPr>
      <t>раб</t>
    </r>
  </si>
  <si>
    <t>Принимается по графику движения рабочих кадров по объекту</t>
  </si>
  <si>
    <t>Общая численность ежедневно работа- ющих</t>
  </si>
  <si>
    <t>N</t>
  </si>
  <si>
    <r>
      <t>N = (N</t>
    </r>
    <r>
      <rPr>
        <sz val="8.5"/>
        <color theme="1"/>
        <rFont val="Times New Roman"/>
        <family val="1"/>
        <charset val="204"/>
      </rPr>
      <t xml:space="preserve">раб </t>
    </r>
    <r>
      <rPr>
        <sz val="12"/>
        <color theme="1"/>
        <rFont val="Times New Roman"/>
        <family val="1"/>
        <charset val="204"/>
      </rPr>
      <t>· 100) / К</t>
    </r>
    <r>
      <rPr>
        <vertAlign val="subscript"/>
        <sz val="12"/>
        <color theme="1"/>
        <rFont val="Times New Roman"/>
        <family val="1"/>
        <charset val="204"/>
      </rPr>
      <t>раб</t>
    </r>
    <r>
      <rPr>
        <sz val="12"/>
        <color theme="1"/>
        <rFont val="Times New Roman"/>
        <family val="1"/>
        <charset val="204"/>
      </rPr>
      <t xml:space="preserve"> = 134 ·100 / 83,9</t>
    </r>
    <r>
      <rPr>
        <sz val="12"/>
        <color theme="1"/>
        <rFont val="Trebuchet MS"/>
        <family val="2"/>
        <charset val="204"/>
      </rPr>
      <t xml:space="preserve">, </t>
    </r>
    <r>
      <rPr>
        <sz val="12"/>
        <color theme="1"/>
        <rFont val="Times New Roman"/>
        <family val="1"/>
        <charset val="204"/>
      </rPr>
      <t>где К</t>
    </r>
    <r>
      <rPr>
        <vertAlign val="subscript"/>
        <sz val="12"/>
        <color theme="1"/>
        <rFont val="Times New Roman"/>
        <family val="1"/>
        <charset val="204"/>
      </rPr>
      <t>раб</t>
    </r>
    <r>
      <rPr>
        <sz val="12"/>
        <color theme="1"/>
        <rFont val="Times New Roman"/>
        <family val="1"/>
        <charset val="204"/>
      </rPr>
      <t xml:space="preserve"> = 83,9 (см. таблицу А.1)</t>
    </r>
  </si>
  <si>
    <t>Максимальная рас- четная численность ИТР в сутки</t>
  </si>
  <si>
    <r>
      <t>N</t>
    </r>
    <r>
      <rPr>
        <sz val="8.5"/>
        <color theme="1"/>
        <rFont val="Times New Roman"/>
        <family val="1"/>
        <charset val="204"/>
      </rPr>
      <t>ИТР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</si>
  <si>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ИТР</t>
    </r>
    <r>
      <rPr>
        <sz val="12"/>
        <color theme="1"/>
        <rFont val="Times New Roman"/>
        <family val="1"/>
        <charset val="204"/>
      </rPr>
      <t xml:space="preserve"> = (N · </t>
    </r>
    <r>
      <rPr>
        <sz val="12"/>
        <color theme="1"/>
        <rFont val="Trebuchet MS"/>
        <family val="2"/>
        <charset val="204"/>
      </rPr>
      <t>К</t>
    </r>
    <r>
      <rPr>
        <vertAlign val="subscript"/>
        <sz val="12"/>
        <color theme="1"/>
        <rFont val="Trebuchet MS"/>
        <family val="2"/>
        <charset val="204"/>
      </rPr>
      <t>ИТР</t>
    </r>
    <r>
      <rPr>
        <sz val="12"/>
        <color theme="1"/>
        <rFont val="Times New Roman"/>
        <family val="1"/>
        <charset val="204"/>
      </rPr>
      <t>) / 100 = (160 · 11) / 100</t>
    </r>
    <r>
      <rPr>
        <sz val="12"/>
        <color theme="1"/>
        <rFont val="Trebuchet MS"/>
        <family val="2"/>
        <charset val="204"/>
      </rPr>
      <t>,</t>
    </r>
  </si>
  <si>
    <r>
      <t>где К</t>
    </r>
    <r>
      <rPr>
        <vertAlign val="subscript"/>
        <sz val="12"/>
        <color theme="1"/>
        <rFont val="Times New Roman"/>
        <family val="1"/>
        <charset val="204"/>
      </rPr>
      <t>ИТР</t>
    </r>
    <r>
      <rPr>
        <sz val="12"/>
        <color theme="1"/>
        <rFont val="Times New Roman"/>
        <family val="1"/>
        <charset val="204"/>
      </rPr>
      <t xml:space="preserve"> = 11 % (см. таблицу А.1)</t>
    </r>
  </si>
  <si>
    <t>Максимальная рас- четная численность МОП в сутки</t>
  </si>
  <si>
    <r>
      <t>N</t>
    </r>
    <r>
      <rPr>
        <sz val="8.5"/>
        <color theme="1"/>
        <rFont val="Times New Roman"/>
        <family val="1"/>
        <charset val="204"/>
      </rPr>
      <t>МОП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</si>
  <si>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МОП</t>
    </r>
    <r>
      <rPr>
        <sz val="12"/>
        <color theme="1"/>
        <rFont val="Times New Roman"/>
        <family val="1"/>
        <charset val="204"/>
      </rPr>
      <t xml:space="preserve"> = (N · </t>
    </r>
    <r>
      <rPr>
        <sz val="12"/>
        <color theme="1"/>
        <rFont val="Trebuchet MS"/>
        <family val="2"/>
        <charset val="204"/>
      </rPr>
      <t>К</t>
    </r>
    <r>
      <rPr>
        <vertAlign val="subscript"/>
        <sz val="12"/>
        <color theme="1"/>
        <rFont val="Trebuchet MS"/>
        <family val="2"/>
        <charset val="204"/>
      </rPr>
      <t>МОП</t>
    </r>
    <r>
      <rPr>
        <sz val="12"/>
        <color theme="1"/>
        <rFont val="Times New Roman"/>
        <family val="1"/>
        <charset val="204"/>
      </rPr>
      <t>) / 100 = (160· 1,5) / 100</t>
    </r>
    <r>
      <rPr>
        <sz val="12"/>
        <color theme="1"/>
        <rFont val="Trebuchet MS"/>
        <family val="2"/>
        <charset val="204"/>
      </rPr>
      <t>,</t>
    </r>
  </si>
  <si>
    <r>
      <t>где К</t>
    </r>
    <r>
      <rPr>
        <vertAlign val="subscript"/>
        <sz val="12"/>
        <color theme="1"/>
        <rFont val="Times New Roman"/>
        <family val="1"/>
        <charset val="204"/>
      </rPr>
      <t>МОП</t>
    </r>
    <r>
      <rPr>
        <sz val="12"/>
        <color theme="1"/>
        <rFont val="Times New Roman"/>
        <family val="1"/>
        <charset val="204"/>
      </rPr>
      <t xml:space="preserve"> = 1,5 % (см. таблицу А.1)</t>
    </r>
  </si>
  <si>
    <t>Максимальная рас- четная численность служащих в сутки</t>
  </si>
  <si>
    <r>
      <t>N</t>
    </r>
    <r>
      <rPr>
        <sz val="8.5"/>
        <color theme="1"/>
        <rFont val="Times New Roman"/>
        <family val="1"/>
        <charset val="204"/>
      </rPr>
      <t>служ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</si>
  <si>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 xml:space="preserve"> = (N · К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>) / 100 = (160 · 3,6) / 100</t>
    </r>
    <r>
      <rPr>
        <sz val="12"/>
        <color theme="1"/>
        <rFont val="Trebuchet MS"/>
        <family val="2"/>
        <charset val="204"/>
      </rPr>
      <t xml:space="preserve">, </t>
    </r>
    <r>
      <rPr>
        <sz val="12"/>
        <color theme="1"/>
        <rFont val="Times New Roman"/>
        <family val="1"/>
        <charset val="204"/>
      </rPr>
      <t>где К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 xml:space="preserve"> = 3,6 % (см. таблицу А.1)</t>
    </r>
  </si>
  <si>
    <t>Максимальный списочный состав</t>
  </si>
  <si>
    <t>рабочих в сутки</t>
  </si>
  <si>
    <r>
      <t>N</t>
    </r>
    <r>
      <rPr>
        <sz val="8.5"/>
        <color theme="1"/>
        <rFont val="Times New Roman"/>
        <family val="1"/>
        <charset val="204"/>
      </rPr>
      <t>раб.сут</t>
    </r>
  </si>
  <si>
    <r>
      <t>N</t>
    </r>
    <r>
      <rPr>
        <sz val="8.5"/>
        <color theme="1"/>
        <rFont val="Times New Roman"/>
        <family val="1"/>
        <charset val="204"/>
      </rPr>
      <t xml:space="preserve">раб.сут </t>
    </r>
    <r>
      <rPr>
        <sz val="12"/>
        <color theme="1"/>
        <rFont val="Times New Roman"/>
        <family val="1"/>
        <charset val="204"/>
      </rPr>
      <t>= N</t>
    </r>
    <r>
      <rPr>
        <sz val="8.5"/>
        <color theme="1"/>
        <rFont val="Times New Roman"/>
        <family val="1"/>
        <charset val="204"/>
      </rPr>
      <t xml:space="preserve">раб </t>
    </r>
    <r>
      <rPr>
        <sz val="12"/>
        <color theme="1"/>
        <rFont val="Times New Roman"/>
        <family val="1"/>
        <charset val="204"/>
      </rPr>
      <t>· k = 134 ·1,05</t>
    </r>
  </si>
  <si>
    <t>Списочный состав рабочих-мужчин в сутки</t>
  </si>
  <si>
    <r>
      <t>N</t>
    </r>
    <r>
      <rPr>
        <sz val="8.5"/>
        <color theme="1"/>
        <rFont val="Times New Roman"/>
        <family val="1"/>
        <charset val="204"/>
      </rPr>
      <t>м</t>
    </r>
  </si>
  <si>
    <t>раб.сут</t>
  </si>
  <si>
    <r>
      <t>N</t>
    </r>
    <r>
      <rPr>
        <vertAlign val="superscript"/>
        <sz val="12"/>
        <color theme="1"/>
        <rFont val="Times New Roman"/>
        <family val="1"/>
        <charset val="204"/>
      </rPr>
      <t>м</t>
    </r>
    <r>
      <rPr>
        <sz val="12"/>
        <color theme="1"/>
        <rFont val="Times New Roman"/>
        <family val="1"/>
        <charset val="204"/>
      </rPr>
      <t xml:space="preserve"> = 0,7 ·N = 0,7 · 141</t>
    </r>
  </si>
  <si>
    <t>раб.сут раб.сут</t>
  </si>
  <si>
    <t>Списочный состав рабочих-женщин в</t>
  </si>
  <si>
    <t>сутки</t>
  </si>
  <si>
    <r>
      <t>N</t>
    </r>
    <r>
      <rPr>
        <sz val="8.5"/>
        <color theme="1"/>
        <rFont val="Times New Roman"/>
        <family val="1"/>
        <charset val="204"/>
      </rPr>
      <t>ж</t>
    </r>
  </si>
  <si>
    <r>
      <t>N</t>
    </r>
    <r>
      <rPr>
        <vertAlign val="superscript"/>
        <sz val="12"/>
        <color theme="1"/>
        <rFont val="Times New Roman"/>
        <family val="1"/>
        <charset val="204"/>
      </rPr>
      <t>ж</t>
    </r>
    <r>
      <rPr>
        <sz val="12"/>
        <color theme="1"/>
        <rFont val="Times New Roman"/>
        <family val="1"/>
        <charset val="204"/>
      </rPr>
      <t xml:space="preserve"> = 0,3 ·N = 0,3 · 141</t>
    </r>
  </si>
  <si>
    <t xml:space="preserve">Максимальная рас- четная списочная численность рабо- чих в наиболее многочисленную смену </t>
  </si>
  <si>
    <r>
      <t>N</t>
    </r>
    <r>
      <rPr>
        <sz val="8.5"/>
        <color theme="1"/>
        <rFont val="Times New Roman"/>
        <family val="1"/>
        <charset val="204"/>
      </rPr>
      <t>раб.см</t>
    </r>
  </si>
  <si>
    <r>
      <t>N</t>
    </r>
    <r>
      <rPr>
        <sz val="8.5"/>
        <color theme="1"/>
        <rFont val="Times New Roman"/>
        <family val="1"/>
        <charset val="204"/>
      </rPr>
      <t xml:space="preserve">раб.см </t>
    </r>
    <r>
      <rPr>
        <sz val="12"/>
        <color theme="1"/>
        <rFont val="Times New Roman"/>
        <family val="1"/>
        <charset val="204"/>
      </rPr>
      <t>= 0,7 ·N</t>
    </r>
    <r>
      <rPr>
        <sz val="8.5"/>
        <color theme="1"/>
        <rFont val="Times New Roman"/>
        <family val="1"/>
        <charset val="204"/>
      </rPr>
      <t xml:space="preserve">раб.сут </t>
    </r>
    <r>
      <rPr>
        <sz val="12"/>
        <color theme="1"/>
        <rFont val="Times New Roman"/>
        <family val="1"/>
        <charset val="204"/>
      </rPr>
      <t>= 0,7 · 141</t>
    </r>
  </si>
  <si>
    <t>Максимальная спи- сочная численность ИТР, служащих, МОП в наиболее многочисленную</t>
  </si>
  <si>
    <t>смену</t>
  </si>
  <si>
    <r>
      <t>N</t>
    </r>
    <r>
      <rPr>
        <sz val="8.5"/>
        <color theme="1"/>
        <rFont val="Times New Roman"/>
        <family val="1"/>
        <charset val="204"/>
      </rPr>
      <t>лин.см</t>
    </r>
  </si>
  <si>
    <r>
      <t>N</t>
    </r>
    <r>
      <rPr>
        <vertAlign val="subscript"/>
        <sz val="12"/>
        <color theme="1"/>
        <rFont val="Times New Roman"/>
        <family val="1"/>
        <charset val="204"/>
      </rPr>
      <t>лин.см</t>
    </r>
    <r>
      <rPr>
        <sz val="12"/>
        <color theme="1"/>
        <rFont val="Times New Roman"/>
        <family val="1"/>
        <charset val="204"/>
      </rPr>
      <t>= k · [(N</t>
    </r>
    <r>
      <rPr>
        <vertAlign val="subscript"/>
        <sz val="12"/>
        <color theme="1"/>
        <rFont val="Times New Roman"/>
        <family val="1"/>
        <charset val="204"/>
      </rPr>
      <t>ИТР</t>
    </r>
    <r>
      <rPr>
        <sz val="12"/>
        <color theme="1"/>
        <rFont val="Times New Roman"/>
        <family val="1"/>
        <charset val="204"/>
      </rPr>
      <t xml:space="preserve"> + N</t>
    </r>
    <r>
      <rPr>
        <vertAlign val="subscript"/>
        <sz val="12"/>
        <color theme="1"/>
        <rFont val="Times New Roman"/>
        <family val="1"/>
        <charset val="204"/>
      </rPr>
      <t>служ</t>
    </r>
    <r>
      <rPr>
        <sz val="12"/>
        <color theme="1"/>
        <rFont val="Times New Roman"/>
        <family val="1"/>
        <charset val="204"/>
      </rPr>
      <t xml:space="preserve"> +N</t>
    </r>
    <r>
      <rPr>
        <sz val="8.5"/>
        <color theme="1"/>
        <rFont val="Times New Roman"/>
        <family val="1"/>
        <charset val="204"/>
      </rPr>
      <t xml:space="preserve">МОП </t>
    </r>
    <r>
      <rPr>
        <sz val="12"/>
        <color theme="1"/>
        <rFont val="Times New Roman"/>
        <family val="1"/>
        <charset val="204"/>
      </rPr>
      <t>) · 0,8 ·0,5] =</t>
    </r>
  </si>
  <si>
    <t>= 1,05 [(18 +6 + 3) · 0,8 · 0,5]</t>
  </si>
  <si>
    <t>Общая расчетная</t>
  </si>
  <si>
    <t>численность рабо-</t>
  </si>
  <si>
    <r>
      <t>N</t>
    </r>
    <r>
      <rPr>
        <sz val="8.5"/>
        <color theme="1"/>
        <rFont val="Times New Roman"/>
        <family val="1"/>
        <charset val="204"/>
      </rPr>
      <t>р</t>
    </r>
  </si>
  <si>
    <t>max</t>
  </si>
  <si>
    <r>
      <t xml:space="preserve">    N</t>
    </r>
    <r>
      <rPr>
        <vertAlign val="super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 xml:space="preserve"> = N</t>
    </r>
    <r>
      <rPr>
        <vertAlign val="subscript"/>
        <sz val="12"/>
        <color theme="1"/>
        <rFont val="Times New Roman"/>
        <family val="1"/>
        <charset val="204"/>
      </rPr>
      <t>раб</t>
    </r>
    <r>
      <rPr>
        <sz val="12"/>
        <color theme="1"/>
        <rFont val="Times New Roman"/>
        <family val="1"/>
        <charset val="204"/>
      </rPr>
      <t xml:space="preserve"> </t>
    </r>
  </si>
  <si>
    <r>
      <t xml:space="preserve">.см </t>
    </r>
    <r>
      <rPr>
        <sz val="12"/>
        <color theme="1"/>
        <rFont val="Times New Roman"/>
        <family val="1"/>
        <charset val="204"/>
      </rPr>
      <t>+ N</t>
    </r>
    <r>
      <rPr>
        <sz val="8.5"/>
        <color theme="1"/>
        <rFont val="Times New Roman"/>
        <family val="1"/>
        <charset val="204"/>
      </rPr>
      <t xml:space="preserve">лин.см </t>
    </r>
    <r>
      <rPr>
        <sz val="12"/>
        <color theme="1"/>
        <rFont val="Times New Roman"/>
        <family val="1"/>
        <charset val="204"/>
      </rPr>
      <t>= 99 + 12</t>
    </r>
  </si>
  <si>
    <t>тающих в наиболее</t>
  </si>
  <si>
    <t>многочисленную</t>
  </si>
  <si>
    <t xml:space="preserve">Максимальная рас- четная численность рабочих-мужчин в наиболее много- численную смену </t>
  </si>
  <si>
    <t>Максимальная рас- четная численность рабочих-женщин в наиболее много- численную смену</t>
  </si>
  <si>
    <t xml:space="preserve">Максимальная рас- четная численность работающих муж- чин в наиболее многочисленную смену </t>
  </si>
  <si>
    <t>Максимальная рас- четная численность работающих жен- щин в наиболее многочисленную</t>
  </si>
  <si>
    <t>раб.см</t>
  </si>
  <si>
    <t>см</t>
  </si>
  <si>
    <r>
      <t>N</t>
    </r>
    <r>
      <rPr>
        <sz val="8.5"/>
        <color theme="1"/>
        <rFont val="Times New Roman"/>
        <family val="1"/>
        <charset val="204"/>
      </rPr>
      <t>м раб.см</t>
    </r>
  </si>
  <si>
    <r>
      <t>N</t>
    </r>
    <r>
      <rPr>
        <sz val="8.5"/>
        <color theme="1"/>
        <rFont val="Times New Roman"/>
        <family val="1"/>
        <charset val="204"/>
      </rPr>
      <t>ж раб.см</t>
    </r>
  </si>
  <si>
    <r>
      <t xml:space="preserve">N </t>
    </r>
    <r>
      <rPr>
        <sz val="8.5"/>
        <color theme="1"/>
        <rFont val="Times New Roman"/>
        <family val="1"/>
        <charset val="204"/>
      </rPr>
      <t>м см</t>
    </r>
  </si>
  <si>
    <t>N ж</t>
  </si>
  <si>
    <t>N ж см</t>
  </si>
  <si>
    <r>
      <t>N</t>
    </r>
    <r>
      <rPr>
        <vertAlign val="superscript"/>
        <sz val="12"/>
        <color theme="1"/>
        <rFont val="Times New Roman"/>
        <family val="1"/>
        <charset val="204"/>
      </rPr>
      <t>м</t>
    </r>
  </si>
  <si>
    <r>
      <t>= 0,7 · N</t>
    </r>
    <r>
      <rPr>
        <vertAlign val="superscript"/>
        <sz val="12"/>
        <color theme="1"/>
        <rFont val="Times New Roman"/>
        <family val="1"/>
        <charset val="204"/>
      </rPr>
      <t>м</t>
    </r>
  </si>
  <si>
    <t>= 0,7 · 99</t>
  </si>
  <si>
    <t>Nм</t>
  </si>
  <si>
    <r>
      <t>N</t>
    </r>
    <r>
      <rPr>
        <vertAlign val="superscript"/>
        <sz val="12"/>
        <color theme="1"/>
        <rFont val="Times New Roman"/>
        <family val="1"/>
        <charset val="204"/>
      </rPr>
      <t>ж</t>
    </r>
  </si>
  <si>
    <r>
      <t>= 0,7 · N</t>
    </r>
    <r>
      <rPr>
        <vertAlign val="superscript"/>
        <sz val="12"/>
        <color theme="1"/>
        <rFont val="Times New Roman"/>
        <family val="1"/>
        <charset val="204"/>
      </rPr>
      <t>ж</t>
    </r>
  </si>
  <si>
    <t>= 0,7 · 42</t>
  </si>
  <si>
    <r>
      <t>N</t>
    </r>
    <r>
      <rPr>
        <vertAlign val="superscript"/>
        <sz val="12"/>
        <color theme="1"/>
        <rFont val="Times New Roman"/>
        <family val="1"/>
        <charset val="204"/>
      </rPr>
      <t>м</t>
    </r>
    <r>
      <rPr>
        <sz val="12"/>
        <color theme="1"/>
        <rFont val="Times New Roman"/>
        <family val="1"/>
        <charset val="204"/>
      </rPr>
      <t xml:space="preserve">  = 0,7 · N</t>
    </r>
    <r>
      <rPr>
        <vertAlign val="superscript"/>
        <sz val="12"/>
        <color theme="1"/>
        <rFont val="Times New Roman"/>
        <family val="1"/>
        <charset val="204"/>
      </rPr>
      <t>р</t>
    </r>
  </si>
  <si>
    <t>= 0,7 · 111</t>
  </si>
  <si>
    <r>
      <t>N</t>
    </r>
    <r>
      <rPr>
        <vertAlign val="superscript"/>
        <sz val="12"/>
        <color theme="1"/>
        <rFont val="Times New Roman"/>
        <family val="1"/>
        <charset val="204"/>
      </rPr>
      <t>ж</t>
    </r>
    <r>
      <rPr>
        <sz val="12"/>
        <color theme="1"/>
        <rFont val="Times New Roman"/>
        <family val="1"/>
        <charset val="204"/>
      </rPr>
      <t xml:space="preserve">  = 0,3 · N</t>
    </r>
    <r>
      <rPr>
        <vertAlign val="superscript"/>
        <sz val="12"/>
        <color theme="1"/>
        <rFont val="Times New Roman"/>
        <family val="1"/>
        <charset val="204"/>
      </rPr>
      <t>р</t>
    </r>
  </si>
  <si>
    <t>= 0,3 ·111</t>
  </si>
  <si>
    <t>Наименование временных зданий и сооружений</t>
  </si>
  <si>
    <t>Категория работающих</t>
  </si>
  <si>
    <t>Расчетная числен- ность работающих</t>
  </si>
  <si>
    <t>N1 , чел.</t>
  </si>
  <si>
    <t>Административные здания</t>
  </si>
  <si>
    <t>Контора начальника участка</t>
  </si>
  <si>
    <t>Nлин.см</t>
  </si>
  <si>
    <t>Помещения для проведения занятий по технике безопасности</t>
  </si>
  <si>
    <t>На максимальную численность рабочих одной специальности</t>
  </si>
  <si>
    <t>Диспетчерская</t>
  </si>
  <si>
    <t>Диспетчеры – 1 % от Nлин.см</t>
  </si>
  <si>
    <t>Красный уголок</t>
  </si>
  <si>
    <t>Nр</t>
  </si>
  <si>
    <t>Санитарно-бытовые помещения</t>
  </si>
  <si>
    <t>Гардероб мужской</t>
  </si>
  <si>
    <t>Гардероб женский</t>
  </si>
  <si>
    <t>Nж</t>
  </si>
  <si>
    <t>Помещение для отдыха</t>
  </si>
  <si>
    <t>Душевая с преддушевой мужская</t>
  </si>
  <si>
    <t>Душевая с преддушевой женская</t>
  </si>
  <si>
    <t>Умывальная мужская</t>
  </si>
  <si>
    <t>N м</t>
  </si>
  <si>
    <t>Умывальная женская</t>
  </si>
  <si>
    <t>Туалет мужской</t>
  </si>
  <si>
    <t>Туалет женский</t>
  </si>
  <si>
    <t>Помещение для личной гигиены женщин</t>
  </si>
  <si>
    <t>Помещение для обогрева</t>
  </si>
  <si>
    <t>Nраб.см</t>
  </si>
  <si>
    <t>Помещение для сушилки одежды и обуви</t>
  </si>
  <si>
    <t>Места для переодевания</t>
  </si>
  <si>
    <t>Столовая-раздаточная</t>
  </si>
  <si>
    <t>Медпункт</t>
  </si>
  <si>
    <t>Приня- тая по- лезная площадь здания S , м2</t>
  </si>
  <si>
    <t>Тип здания, его шифр</t>
  </si>
  <si>
    <t>420-04-10 к</t>
  </si>
  <si>
    <t>9,2</t>
  </si>
  <si>
    <t>3,7х3,5х3,1</t>
  </si>
  <si>
    <t>Гардеробные</t>
  </si>
  <si>
    <t>мужские</t>
  </si>
  <si>
    <t>20,7</t>
  </si>
  <si>
    <t>7,4х3,1х3,1</t>
  </si>
  <si>
    <t>Умывальные</t>
  </si>
  <si>
    <t>женские</t>
  </si>
  <si>
    <t>6,0x3,0x2,54</t>
  </si>
  <si>
    <t>Помещение для сушки</t>
  </si>
  <si>
    <t>одежды и обуви</t>
  </si>
  <si>
    <t>420-01-13 п</t>
  </si>
  <si>
    <t>9,0x2,7x2,6</t>
  </si>
  <si>
    <t>Место для</t>
  </si>
  <si>
    <t>переодевания</t>
  </si>
  <si>
    <t>Душевые</t>
  </si>
  <si>
    <t>Мужские с преддушевой</t>
  </si>
  <si>
    <t>24,4</t>
  </si>
  <si>
    <r>
      <t xml:space="preserve">СЦЦ-М </t>
    </r>
    <r>
      <rPr>
        <sz val="12"/>
        <color theme="1"/>
        <rFont val="Times New Roman"/>
        <family val="1"/>
        <charset val="204"/>
      </rPr>
      <t>к</t>
    </r>
  </si>
  <si>
    <t>9,0x3,0x2,6</t>
  </si>
  <si>
    <r>
      <t xml:space="preserve">     </t>
    </r>
    <r>
      <rPr>
        <sz val="12"/>
        <color theme="1"/>
        <rFont val="Times New Roman"/>
        <family val="1"/>
        <charset val="204"/>
      </rPr>
      <t>Душевые с преддушевой</t>
    </r>
  </si>
  <si>
    <t>Женские</t>
  </si>
  <si>
    <t>14,5</t>
  </si>
  <si>
    <t>420-04-22 к</t>
  </si>
  <si>
    <r>
      <t>6,0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Times New Roman"/>
        <family val="1"/>
        <charset val="204"/>
      </rPr>
      <t>2,7х3</t>
    </r>
  </si>
  <si>
    <t>Помещения для личной гигиены</t>
  </si>
  <si>
    <t>женщин</t>
  </si>
  <si>
    <t>4,3</t>
  </si>
  <si>
    <t>494-4-13к</t>
  </si>
  <si>
    <t>2,7х2х2,8</t>
  </si>
  <si>
    <t>Уборные</t>
  </si>
  <si>
    <t>для женщин</t>
  </si>
  <si>
    <t>для мужчин</t>
  </si>
  <si>
    <t>14,3</t>
  </si>
  <si>
    <r>
      <t>420-04-2</t>
    </r>
    <r>
      <rPr>
        <sz val="12"/>
        <color theme="1"/>
        <rFont val="Times New Roman"/>
        <family val="1"/>
        <charset val="204"/>
      </rPr>
      <t>к</t>
    </r>
  </si>
  <si>
    <t>6,0x2,7x2,68</t>
  </si>
  <si>
    <t>Комната от-</t>
  </si>
  <si>
    <t>дыха</t>
  </si>
  <si>
    <t>5055-18</t>
  </si>
  <si>
    <t>17,9</t>
  </si>
  <si>
    <t>ИС-303</t>
  </si>
  <si>
    <t>7,9х2,8х2,5</t>
  </si>
  <si>
    <t>Помещение</t>
  </si>
  <si>
    <t>для обогрева рабочих</t>
  </si>
  <si>
    <t>14,45</t>
  </si>
  <si>
    <t>420-04-9 к</t>
  </si>
  <si>
    <t>ИКТБ</t>
  </si>
  <si>
    <t>7,7х2,8х3,4</t>
  </si>
  <si>
    <t>Не менее 18 м2</t>
  </si>
  <si>
    <t>–</t>
  </si>
  <si>
    <t>24,3</t>
  </si>
  <si>
    <t>420-01-13к</t>
  </si>
  <si>
    <t>Габаритные размеры, м</t>
  </si>
  <si>
    <t>Количество зданий n, шт.</t>
  </si>
  <si>
    <t>Расчет- ная чис- лен- ность работа- ющих N1 , чел.</t>
  </si>
  <si>
    <t>Норма- тивный показа- тель площади зданий Sн, м2/чел.</t>
  </si>
  <si>
    <t>Расчет- ная по- требная площадь Smp, м2</t>
  </si>
  <si>
    <t>Наименование временных зданий</t>
  </si>
  <si>
    <r>
      <t>0,25 · N</t>
    </r>
    <r>
      <rPr>
        <vertAlign val="superscript"/>
        <sz val="12"/>
        <color theme="1"/>
        <rFont val="Times New Roman"/>
        <family val="1"/>
        <charset val="204"/>
      </rPr>
      <t>рmax</t>
    </r>
  </si>
  <si>
    <t>При Nраб.сут  более 150 чел. 18м2</t>
  </si>
  <si>
    <t>6.04x3.0x2.65</t>
  </si>
  <si>
    <t>8.5x3.1x2.7</t>
  </si>
  <si>
    <t>494-4-08</t>
  </si>
  <si>
    <t>494-4-9</t>
  </si>
  <si>
    <t>0Конструкции, изделия, материалы</t>
  </si>
  <si>
    <t>Единица измерения</t>
  </si>
  <si>
    <t>Общая потребность</t>
  </si>
  <si>
    <t>Продолжител. укл. мат. констр., дни</t>
  </si>
  <si>
    <t>Наибол. сут. расход</t>
  </si>
  <si>
    <t>Число дней запаса</t>
  </si>
  <si>
    <t>Коэффициент</t>
  </si>
  <si>
    <t>Запас на складе</t>
  </si>
  <si>
    <r>
      <t>Норма хранения на 1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пл. склада</t>
    </r>
  </si>
  <si>
    <r>
      <t>Полезная площадь склада,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</si>
  <si>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Коэффициент использования площади склада</t>
  </si>
  <si>
    <r>
      <t>Общая площадь склада, м</t>
    </r>
    <r>
      <rPr>
        <vertAlign val="superscript"/>
        <sz val="12"/>
        <color theme="1"/>
        <rFont val="Times New Roman"/>
        <family val="1"/>
        <charset val="204"/>
      </rPr>
      <t>2</t>
    </r>
  </si>
  <si>
    <t>Размер склада, м</t>
  </si>
  <si>
    <t>Характеристика склада</t>
  </si>
  <si>
    <t>пост.мат.</t>
  </si>
  <si>
    <t>потребления материалов</t>
  </si>
  <si>
    <t>т</t>
  </si>
  <si>
    <t>открытый</t>
  </si>
  <si>
    <r>
      <t>100м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</si>
  <si>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</si>
  <si>
    <t>Навес</t>
  </si>
  <si>
    <t>Закрытый отапливаемый</t>
  </si>
  <si>
    <t>Закрытый неотапливаемый</t>
  </si>
  <si>
    <t>Кирпич силикатный</t>
  </si>
  <si>
    <t>Арматура</t>
  </si>
  <si>
    <t>Штукатурка</t>
  </si>
  <si>
    <t>Минеральная вата</t>
  </si>
  <si>
    <t>Линолеум</t>
  </si>
  <si>
    <t>Краска водоэмульсионная</t>
  </si>
  <si>
    <t>Оконные блоки</t>
  </si>
  <si>
    <t>Дверные блоки</t>
  </si>
  <si>
    <t>Обои</t>
  </si>
  <si>
    <t>1000шт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</si>
</sst>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Trebuchet MS"/>
      <family val="2"/>
      <charset val="204"/>
    </font>
    <font>
      <vertAlign val="subscript"/>
      <sz val="12"/>
      <color theme="1"/>
      <name val="Trebuchet MS"/>
      <family val="2"/>
      <charset val="204"/>
    </font>
    <font>
      <vertAlign val="superscript"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0" borderId="4" xfId="0" applyBorder="1" applyAlignment="1">
      <alignment vertical="center" wrapText="1"/>
    </xf>
    <xf numFmtId="2" fontId="4" fillId="0" borderId="0" xfId="0" applyNumberFormat="1" applyFont="1"/>
    <xf numFmtId="0" fontId="0" fillId="0" borderId="2" xfId="0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/>
    <xf numFmtId="2" fontId="4" fillId="0" borderId="0" xfId="0" applyNumberFormat="1" applyFont="1" applyAlignme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2" fontId="4" fillId="0" borderId="0" xfId="0" applyNumberFormat="1" applyFont="1" applyFill="1" applyBorder="1"/>
    <xf numFmtId="0" fontId="4" fillId="0" borderId="0" xfId="0" applyFont="1" applyBorder="1" applyAlignment="1"/>
    <xf numFmtId="2" fontId="4" fillId="0" borderId="0" xfId="0" applyNumberFormat="1" applyFont="1" applyBorder="1" applyAlignment="1"/>
    <xf numFmtId="16" fontId="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 wrapText="1"/>
    </xf>
    <xf numFmtId="2" fontId="11" fillId="0" borderId="2" xfId="0" applyNumberFormat="1" applyFont="1" applyBorder="1" applyAlignment="1">
      <alignment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 wrapText="1" indent="3"/>
    </xf>
    <xf numFmtId="0" fontId="1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 indent="8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4" fillId="0" borderId="0" xfId="0" applyNumberFormat="1" applyFont="1" applyAlignment="1">
      <alignment horizontal="left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vertical="center" wrapText="1"/>
    </xf>
    <xf numFmtId="0" fontId="12" fillId="0" borderId="1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5"/>
    </xf>
    <xf numFmtId="2" fontId="7" fillId="0" borderId="4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vertical="center"/>
    </xf>
    <xf numFmtId="2" fontId="1" fillId="0" borderId="17" xfId="0" applyNumberFormat="1" applyFont="1" applyBorder="1" applyAlignment="1">
      <alignment horizontal="left" vertical="center" wrapText="1" indent="1"/>
    </xf>
    <xf numFmtId="2" fontId="1" fillId="0" borderId="18" xfId="0" applyNumberFormat="1" applyFont="1" applyBorder="1" applyAlignment="1">
      <alignment horizontal="left" vertical="center" wrapText="1" indent="1"/>
    </xf>
    <xf numFmtId="2" fontId="1" fillId="0" borderId="18" xfId="0" applyNumberFormat="1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22" xfId="0" applyNumberFormat="1" applyFont="1" applyBorder="1" applyAlignment="1">
      <alignment horizontal="left" vertical="center" wrapText="1" indent="1"/>
    </xf>
    <xf numFmtId="2" fontId="15" fillId="0" borderId="18" xfId="0" applyNumberFormat="1" applyFont="1" applyBorder="1" applyAlignment="1">
      <alignment horizontal="left" vertical="center" wrapText="1" indent="2"/>
    </xf>
    <xf numFmtId="2" fontId="15" fillId="0" borderId="24" xfId="0" applyNumberFormat="1" applyFont="1" applyBorder="1" applyAlignment="1">
      <alignment horizontal="left" vertical="center" wrapText="1" indent="2"/>
    </xf>
    <xf numFmtId="2" fontId="15" fillId="0" borderId="22" xfId="0" applyNumberFormat="1" applyFont="1" applyBorder="1" applyAlignment="1">
      <alignment horizontal="left" vertical="center" wrapText="1" indent="3"/>
    </xf>
    <xf numFmtId="2" fontId="1" fillId="0" borderId="22" xfId="0" applyNumberFormat="1" applyFont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1" fillId="0" borderId="24" xfId="0" applyNumberFormat="1" applyFont="1" applyBorder="1" applyAlignment="1">
      <alignment vertical="center" wrapText="1"/>
    </xf>
    <xf numFmtId="2" fontId="1" fillId="0" borderId="7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horizontal="left" vertical="center" indent="1"/>
    </xf>
    <xf numFmtId="2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 indent="2"/>
    </xf>
    <xf numFmtId="2" fontId="15" fillId="0" borderId="0" xfId="0" applyNumberFormat="1" applyFont="1" applyAlignment="1">
      <alignment horizontal="left" vertical="center" indent="2"/>
    </xf>
    <xf numFmtId="2" fontId="15" fillId="0" borderId="0" xfId="0" applyNumberFormat="1" applyFont="1"/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justify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0" borderId="18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5" fillId="0" borderId="21" xfId="0" applyFont="1" applyBorder="1" applyAlignment="1">
      <alignment horizontal="justify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 indent="3"/>
    </xf>
    <xf numFmtId="0" fontId="5" fillId="0" borderId="3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2"/>
    </xf>
    <xf numFmtId="1" fontId="5" fillId="0" borderId="18" xfId="0" applyNumberFormat="1" applyFont="1" applyBorder="1" applyAlignment="1">
      <alignment horizontal="left" vertical="center" wrapText="1" indent="3"/>
    </xf>
    <xf numFmtId="1" fontId="5" fillId="0" borderId="18" xfId="0" applyNumberFormat="1" applyFont="1" applyBorder="1" applyAlignment="1">
      <alignment horizontal="left" vertical="center" wrapText="1" indent="2"/>
    </xf>
    <xf numFmtId="1" fontId="5" fillId="0" borderId="18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vertical="center" wrapText="1"/>
    </xf>
    <xf numFmtId="1" fontId="5" fillId="0" borderId="35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/>
    <xf numFmtId="0" fontId="5" fillId="0" borderId="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vertical="center" textRotation="90" wrapText="1"/>
    </xf>
    <xf numFmtId="0" fontId="5" fillId="0" borderId="36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textRotation="90" wrapText="1"/>
    </xf>
    <xf numFmtId="2" fontId="5" fillId="0" borderId="4" xfId="0" applyNumberFormat="1" applyFont="1" applyBorder="1" applyAlignment="1">
      <alignment vertical="center" textRotation="90" wrapText="1"/>
    </xf>
    <xf numFmtId="2" fontId="5" fillId="0" borderId="7" xfId="0" applyNumberFormat="1" applyFont="1" applyBorder="1" applyAlignment="1">
      <alignment vertical="center" textRotation="90" wrapText="1"/>
    </xf>
    <xf numFmtId="2" fontId="5" fillId="0" borderId="10" xfId="0" applyNumberFormat="1" applyFont="1" applyBorder="1" applyAlignment="1">
      <alignment vertical="center" textRotation="90" wrapText="1"/>
    </xf>
    <xf numFmtId="2" fontId="5" fillId="0" borderId="7" xfId="0" applyNumberFormat="1" applyFont="1" applyBorder="1" applyAlignment="1">
      <alignment horizontal="center" vertical="center" textRotation="90" wrapText="1"/>
    </xf>
    <xf numFmtId="2" fontId="5" fillId="0" borderId="36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36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 textRotation="90" wrapText="1"/>
    </xf>
    <xf numFmtId="2" fontId="5" fillId="0" borderId="2" xfId="0" applyNumberFormat="1" applyFont="1" applyBorder="1" applyAlignment="1">
      <alignment horizontal="center" vertical="center" textRotation="90" wrapText="1"/>
    </xf>
    <xf numFmtId="2" fontId="5" fillId="0" borderId="8" xfId="0" applyNumberFormat="1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left" vertical="center" wrapText="1" indent="1"/>
    </xf>
    <xf numFmtId="0" fontId="5" fillId="0" borderId="16" xfId="0" applyFont="1" applyBorder="1" applyAlignment="1">
      <alignment horizontal="left" vertical="center" wrapText="1" indent="1"/>
    </xf>
    <xf numFmtId="0" fontId="5" fillId="0" borderId="1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textRotation="90" wrapText="1"/>
    </xf>
    <xf numFmtId="1" fontId="5" fillId="0" borderId="2" xfId="0" applyNumberFormat="1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left" vertical="center" wrapText="1" indent="2"/>
    </xf>
    <xf numFmtId="1" fontId="5" fillId="0" borderId="15" xfId="0" applyNumberFormat="1" applyFont="1" applyBorder="1" applyAlignment="1">
      <alignment horizontal="left" vertical="center" wrapText="1" indent="2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 indent="2"/>
    </xf>
    <xf numFmtId="0" fontId="5" fillId="0" borderId="15" xfId="0" applyFont="1" applyBorder="1" applyAlignment="1">
      <alignment horizontal="left" vertical="center" wrapText="1" indent="2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1" fontId="5" fillId="0" borderId="21" xfId="0" applyNumberFormat="1" applyFont="1" applyBorder="1" applyAlignment="1">
      <alignment horizontal="left" vertical="center" wrapText="1" indent="2"/>
    </xf>
    <xf numFmtId="0" fontId="5" fillId="0" borderId="21" xfId="0" applyFont="1" applyBorder="1" applyAlignment="1">
      <alignment horizontal="left" vertical="center" wrapText="1" indent="2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center" wrapText="1"/>
    </xf>
    <xf numFmtId="0" fontId="12" fillId="0" borderId="14" xfId="0" applyFont="1" applyBorder="1" applyAlignment="1">
      <alignment horizontal="left" vertical="center" wrapText="1" indent="2"/>
    </xf>
    <xf numFmtId="0" fontId="12" fillId="0" borderId="21" xfId="0" applyFont="1" applyBorder="1" applyAlignment="1">
      <alignment horizontal="left" vertical="center" wrapText="1" indent="2"/>
    </xf>
    <xf numFmtId="0" fontId="12" fillId="0" borderId="15" xfId="0" applyFont="1" applyBorder="1" applyAlignment="1">
      <alignment horizontal="left" vertical="center" wrapText="1" indent="2"/>
    </xf>
    <xf numFmtId="0" fontId="5" fillId="0" borderId="21" xfId="0" applyFont="1" applyBorder="1" applyAlignment="1">
      <alignment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 indent="15"/>
    </xf>
    <xf numFmtId="0" fontId="20" fillId="0" borderId="28" xfId="0" applyFont="1" applyBorder="1" applyAlignment="1">
      <alignment horizontal="left" vertical="center" wrapText="1" indent="15"/>
    </xf>
    <xf numFmtId="0" fontId="20" fillId="0" borderId="16" xfId="0" applyFont="1" applyBorder="1" applyAlignment="1">
      <alignment horizontal="left" vertical="center" wrapText="1" indent="15"/>
    </xf>
    <xf numFmtId="2" fontId="5" fillId="0" borderId="31" xfId="0" applyNumberFormat="1" applyFont="1" applyBorder="1" applyAlignment="1">
      <alignment horizontal="left" vertical="center" wrapText="1" indent="6"/>
    </xf>
    <xf numFmtId="2" fontId="5" fillId="0" borderId="32" xfId="0" applyNumberFormat="1" applyFont="1" applyBorder="1" applyAlignment="1">
      <alignment horizontal="left" vertical="center" wrapText="1" indent="6"/>
    </xf>
    <xf numFmtId="2" fontId="15" fillId="0" borderId="13" xfId="0" applyNumberFormat="1" applyFont="1" applyBorder="1" applyAlignment="1">
      <alignment vertical="center" wrapText="1"/>
    </xf>
    <xf numFmtId="2" fontId="15" fillId="0" borderId="33" xfId="0" applyNumberFormat="1" applyFont="1" applyBorder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2" fontId="15" fillId="0" borderId="22" xfId="0" applyNumberFormat="1" applyFont="1" applyBorder="1" applyAlignment="1">
      <alignment vertical="center" wrapText="1"/>
    </xf>
    <xf numFmtId="1" fontId="5" fillId="0" borderId="34" xfId="0" applyNumberFormat="1" applyFont="1" applyBorder="1" applyAlignment="1">
      <alignment horizontal="center" vertical="center" wrapText="1"/>
    </xf>
    <xf numFmtId="1" fontId="5" fillId="0" borderId="21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justify" vertical="center" wrapText="1"/>
    </xf>
    <xf numFmtId="2" fontId="1" fillId="0" borderId="15" xfId="0" applyNumberFormat="1" applyFont="1" applyBorder="1" applyAlignment="1">
      <alignment horizontal="justify" vertical="center" wrapText="1"/>
    </xf>
    <xf numFmtId="2" fontId="14" fillId="0" borderId="25" xfId="0" applyNumberFormat="1" applyFont="1" applyBorder="1" applyAlignment="1">
      <alignment vertical="center" wrapText="1"/>
    </xf>
    <xf numFmtId="2" fontId="14" fillId="0" borderId="19" xfId="0" applyNumberFormat="1" applyFont="1" applyBorder="1" applyAlignment="1">
      <alignment vertical="center" wrapText="1"/>
    </xf>
    <xf numFmtId="2" fontId="14" fillId="0" borderId="17" xfId="0" applyNumberFormat="1" applyFont="1" applyBorder="1" applyAlignment="1">
      <alignment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vertical="center" wrapText="1"/>
    </xf>
    <xf numFmtId="2" fontId="5" fillId="0" borderId="28" xfId="0" applyNumberFormat="1" applyFont="1" applyBorder="1" applyAlignment="1">
      <alignment vertical="center" wrapText="1"/>
    </xf>
    <xf numFmtId="2" fontId="5" fillId="0" borderId="16" xfId="0" applyNumberFormat="1" applyFont="1" applyBorder="1" applyAlignment="1">
      <alignment vertical="center" wrapText="1"/>
    </xf>
    <xf numFmtId="2" fontId="5" fillId="0" borderId="27" xfId="0" applyNumberFormat="1" applyFont="1" applyBorder="1" applyAlignment="1">
      <alignment horizontal="left" vertical="center" wrapText="1" indent="4"/>
    </xf>
    <xf numFmtId="2" fontId="5" fillId="0" borderId="28" xfId="0" applyNumberFormat="1" applyFont="1" applyBorder="1" applyAlignment="1">
      <alignment horizontal="left" vertical="center" wrapText="1" indent="4"/>
    </xf>
    <xf numFmtId="2" fontId="5" fillId="0" borderId="16" xfId="0" applyNumberFormat="1" applyFont="1" applyBorder="1" applyAlignment="1">
      <alignment horizontal="left" vertical="center" wrapText="1" indent="4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left" vertical="center" wrapText="1" indent="2"/>
    </xf>
    <xf numFmtId="2" fontId="5" fillId="0" borderId="19" xfId="0" applyNumberFormat="1" applyFont="1" applyBorder="1" applyAlignment="1">
      <alignment horizontal="left" vertical="center" wrapText="1" indent="2"/>
    </xf>
    <xf numFmtId="2" fontId="5" fillId="0" borderId="17" xfId="0" applyNumberFormat="1" applyFont="1" applyBorder="1" applyAlignment="1">
      <alignment horizontal="left" vertical="center" wrapText="1" indent="2"/>
    </xf>
    <xf numFmtId="2" fontId="5" fillId="0" borderId="26" xfId="0" applyNumberFormat="1" applyFont="1" applyBorder="1" applyAlignment="1">
      <alignment horizontal="left" vertical="center" wrapText="1" indent="4"/>
    </xf>
    <xf numFmtId="2" fontId="5" fillId="0" borderId="20" xfId="0" applyNumberFormat="1" applyFont="1" applyBorder="1" applyAlignment="1">
      <alignment horizontal="left" vertical="center" wrapText="1" indent="4"/>
    </xf>
    <xf numFmtId="2" fontId="5" fillId="0" borderId="18" xfId="0" applyNumberFormat="1" applyFont="1" applyBorder="1" applyAlignment="1">
      <alignment horizontal="left" vertical="center" wrapText="1" indent="4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2" fontId="15" fillId="0" borderId="26" xfId="0" applyNumberFormat="1" applyFont="1" applyBorder="1" applyAlignment="1">
      <alignment horizontal="left" vertical="center" wrapText="1" indent="7"/>
    </xf>
    <xf numFmtId="2" fontId="15" fillId="0" borderId="20" xfId="0" applyNumberFormat="1" applyFont="1" applyBorder="1" applyAlignment="1">
      <alignment horizontal="left" vertical="center" wrapText="1" indent="7"/>
    </xf>
    <xf numFmtId="2" fontId="15" fillId="0" borderId="18" xfId="0" applyNumberFormat="1" applyFont="1" applyBorder="1" applyAlignment="1">
      <alignment horizontal="left" vertical="center" wrapText="1" indent="7"/>
    </xf>
    <xf numFmtId="2" fontId="5" fillId="0" borderId="25" xfId="0" applyNumberFormat="1" applyFont="1" applyBorder="1" applyAlignment="1">
      <alignment horizontal="left" vertical="center" wrapText="1" indent="7"/>
    </xf>
    <xf numFmtId="2" fontId="5" fillId="0" borderId="19" xfId="0" applyNumberFormat="1" applyFont="1" applyBorder="1" applyAlignment="1">
      <alignment horizontal="left" vertical="center" wrapText="1" indent="7"/>
    </xf>
    <xf numFmtId="2" fontId="5" fillId="0" borderId="17" xfId="0" applyNumberFormat="1" applyFont="1" applyBorder="1" applyAlignment="1">
      <alignment horizontal="left" vertical="center" wrapText="1" indent="7"/>
    </xf>
    <xf numFmtId="2" fontId="15" fillId="0" borderId="29" xfId="0" applyNumberFormat="1" applyFont="1" applyBorder="1" applyAlignment="1">
      <alignment horizontal="left" vertical="center" wrapText="1" indent="8"/>
    </xf>
    <xf numFmtId="2" fontId="15" fillId="0" borderId="7" xfId="0" applyNumberFormat="1" applyFont="1" applyBorder="1" applyAlignment="1">
      <alignment horizontal="left" vertical="center" wrapText="1" indent="8"/>
    </xf>
    <xf numFmtId="2" fontId="15" fillId="0" borderId="24" xfId="0" applyNumberFormat="1" applyFont="1" applyBorder="1" applyAlignment="1">
      <alignment horizontal="left" vertical="center" wrapText="1" indent="8"/>
    </xf>
    <xf numFmtId="1" fontId="5" fillId="0" borderId="2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left" vertical="center" wrapText="1" indent="1"/>
    </xf>
    <xf numFmtId="2" fontId="5" fillId="0" borderId="19" xfId="0" applyNumberFormat="1" applyFont="1" applyBorder="1" applyAlignment="1">
      <alignment horizontal="left" vertical="center" wrapText="1" indent="1"/>
    </xf>
    <xf numFmtId="2" fontId="5" fillId="0" borderId="17" xfId="0" applyNumberFormat="1" applyFont="1" applyBorder="1" applyAlignment="1">
      <alignment horizontal="left" vertical="center" wrapText="1" indent="1"/>
    </xf>
    <xf numFmtId="2" fontId="5" fillId="0" borderId="27" xfId="0" applyNumberFormat="1" applyFont="1" applyBorder="1" applyAlignment="1">
      <alignment horizontal="left" vertical="center" wrapText="1" indent="5"/>
    </xf>
    <xf numFmtId="2" fontId="5" fillId="0" borderId="28" xfId="0" applyNumberFormat="1" applyFont="1" applyBorder="1" applyAlignment="1">
      <alignment horizontal="left" vertical="center" wrapText="1" indent="5"/>
    </xf>
    <xf numFmtId="2" fontId="5" fillId="0" borderId="16" xfId="0" applyNumberFormat="1" applyFont="1" applyBorder="1" applyAlignment="1">
      <alignment horizontal="left" vertical="center" wrapText="1" indent="5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19" xfId="0" applyNumberFormat="1" applyFont="1" applyBorder="1" applyAlignment="1">
      <alignment horizontal="center" vertical="center" wrapText="1"/>
    </xf>
    <xf numFmtId="2" fontId="5" fillId="0" borderId="17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 wrapText="1"/>
    </xf>
    <xf numFmtId="2" fontId="5" fillId="0" borderId="18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left" vertical="center" wrapText="1" indent="6"/>
    </xf>
    <xf numFmtId="2" fontId="5" fillId="0" borderId="19" xfId="0" applyNumberFormat="1" applyFont="1" applyBorder="1" applyAlignment="1">
      <alignment horizontal="left" vertical="center" wrapText="1" indent="6"/>
    </xf>
    <xf numFmtId="2" fontId="5" fillId="0" borderId="17" xfId="0" applyNumberFormat="1" applyFont="1" applyBorder="1" applyAlignment="1">
      <alignment horizontal="left" vertical="center" wrapText="1" indent="6"/>
    </xf>
    <xf numFmtId="0" fontId="5" fillId="0" borderId="8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30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3"/>
  <sheetViews>
    <sheetView tabSelected="1" topLeftCell="A201" zoomScaleNormal="100" workbookViewId="0">
      <selection activeCell="J230" sqref="J230"/>
    </sheetView>
  </sheetViews>
  <sheetFormatPr defaultRowHeight="15" x14ac:dyDescent="0.25"/>
  <cols>
    <col min="1" max="1" width="9.140625" style="16"/>
    <col min="2" max="2" width="9.140625" style="14" customWidth="1"/>
    <col min="3" max="3" width="10" style="14" bestFit="1" customWidth="1"/>
    <col min="4" max="4" width="40" style="14" customWidth="1"/>
    <col min="5" max="5" width="12.28515625" style="15" bestFit="1" customWidth="1"/>
    <col min="6" max="6" width="13.28515625" style="15" customWidth="1"/>
    <col min="7" max="7" width="12" style="15" customWidth="1"/>
    <col min="8" max="8" width="13.140625" style="15" bestFit="1" customWidth="1"/>
    <col min="9" max="9" width="12.85546875" style="15" customWidth="1"/>
    <col min="10" max="10" width="14.7109375" style="16" customWidth="1"/>
    <col min="11" max="11" width="11.7109375" style="16" customWidth="1"/>
    <col min="12" max="12" width="35.7109375" style="16" customWidth="1"/>
    <col min="13" max="13" width="15.28515625" style="16" customWidth="1"/>
    <col min="14" max="14" width="16.5703125" style="16" customWidth="1"/>
    <col min="15" max="16384" width="9.140625" style="16"/>
  </cols>
  <sheetData>
    <row r="2" spans="2:13" ht="15.75" thickBot="1" x14ac:dyDescent="0.3"/>
    <row r="3" spans="2:13" ht="15.75" customHeight="1" thickBot="1" x14ac:dyDescent="0.3">
      <c r="B3" s="250" t="s">
        <v>0</v>
      </c>
      <c r="C3" s="250" t="s">
        <v>1</v>
      </c>
      <c r="D3" s="252" t="s">
        <v>2</v>
      </c>
      <c r="E3" s="256" t="s">
        <v>3</v>
      </c>
      <c r="F3" s="266" t="s">
        <v>4</v>
      </c>
      <c r="G3" s="268" t="s">
        <v>179</v>
      </c>
      <c r="H3" s="269"/>
      <c r="I3" s="256" t="s">
        <v>224</v>
      </c>
    </row>
    <row r="4" spans="2:13" ht="15.75" thickBot="1" x14ac:dyDescent="0.3">
      <c r="B4" s="251"/>
      <c r="C4" s="251"/>
      <c r="D4" s="253"/>
      <c r="E4" s="257"/>
      <c r="F4" s="267"/>
      <c r="G4" s="28" t="s">
        <v>5</v>
      </c>
      <c r="H4" s="29" t="s">
        <v>153</v>
      </c>
      <c r="I4" s="257"/>
      <c r="L4" s="16" t="s">
        <v>154</v>
      </c>
    </row>
    <row r="5" spans="2:13" ht="15.75" thickBot="1" x14ac:dyDescent="0.3">
      <c r="B5" s="20">
        <v>1</v>
      </c>
      <c r="C5" s="19">
        <v>2</v>
      </c>
      <c r="D5" s="19">
        <v>3</v>
      </c>
      <c r="E5" s="29">
        <v>4</v>
      </c>
      <c r="F5" s="29">
        <v>5</v>
      </c>
      <c r="G5" s="29">
        <v>6</v>
      </c>
      <c r="H5" s="29">
        <v>7</v>
      </c>
      <c r="I5" s="29">
        <v>8</v>
      </c>
      <c r="L5" s="16" t="s">
        <v>155</v>
      </c>
      <c r="M5" s="2">
        <f>H7+H9+H11+H13+H15+H17+H20+H22+H24+H26+H28+H30+H32+H34+H36+H38+H40+H42+H46+H48+H50+H52+H54+H56+H59+H61+H63+H66+H68+H72+H77+H79+H81+H84+H86+H89+H91+H93+H95+H97+H100+H102+H104+H106+H108+H110+H112+H115+H118+H120+H123+H125+H127+H129+H131+H133+H135+H139+H142+H144+H146+H148+H150+H153+H155+H157+H159+H161+H163+H166+H168+H170+H173+H175+H177+H179+H182+H184+H186+H188+H190+H193+H195+H198+H200+H202+H204+H206+H208+H210</f>
        <v>283043.09789010003</v>
      </c>
    </row>
    <row r="6" spans="2:13" ht="15.75" thickBot="1" x14ac:dyDescent="0.3">
      <c r="B6" s="244" t="s">
        <v>6</v>
      </c>
      <c r="C6" s="245"/>
      <c r="D6" s="245"/>
      <c r="E6" s="245"/>
      <c r="F6" s="245"/>
      <c r="G6" s="245"/>
      <c r="H6" s="245"/>
      <c r="I6" s="246"/>
      <c r="L6" s="16" t="s">
        <v>156</v>
      </c>
      <c r="M6" s="2">
        <f>H8+H10+H12+H14+H16+H18+H21+H23+H25+H27+H29+H31+H33+H35+H37+H39+H41+H43+H47+H49+H51+H53+H55+H57+H60+H62+H64+H67+H69+H73+H78+H80+H82+H85+H87+H90+H92+H94+H96+H98+H101+H103+H105+H107+H109+H111+H113+H116+H119+H121+H124+H126+H128+H130+H132+H134+H136+H140+H143+H145+H147+H149+H151+H154+H156+H158+H160+H162+H164+H167+H169+H171+H174+H176+H178+H180+H183+H185+H187+H189+H191+H194+H196+H199+H201+H203+H205+H207+H209+H211</f>
        <v>38196.620094479993</v>
      </c>
    </row>
    <row r="7" spans="2:13" ht="22.5" customHeight="1" x14ac:dyDescent="0.25">
      <c r="B7" s="264">
        <v>1</v>
      </c>
      <c r="C7" s="252" t="s">
        <v>7</v>
      </c>
      <c r="D7" s="252" t="s">
        <v>180</v>
      </c>
      <c r="E7" s="256" t="s">
        <v>8</v>
      </c>
      <c r="F7" s="256">
        <v>0.24</v>
      </c>
      <c r="G7" s="30">
        <v>0</v>
      </c>
      <c r="H7" s="30">
        <f>G7*F7</f>
        <v>0</v>
      </c>
      <c r="I7" s="256" t="s">
        <v>225</v>
      </c>
      <c r="L7" s="16" t="s">
        <v>158</v>
      </c>
    </row>
    <row r="8" spans="2:13" ht="15.75" thickBot="1" x14ac:dyDescent="0.3">
      <c r="B8" s="265"/>
      <c r="C8" s="253"/>
      <c r="D8" s="253"/>
      <c r="E8" s="257"/>
      <c r="F8" s="257"/>
      <c r="G8" s="31">
        <v>10.23</v>
      </c>
      <c r="H8" s="29">
        <f>F7*G8</f>
        <v>2.4552</v>
      </c>
      <c r="I8" s="257"/>
      <c r="L8" s="16" t="s">
        <v>157</v>
      </c>
    </row>
    <row r="9" spans="2:13" ht="22.5" customHeight="1" x14ac:dyDescent="0.25">
      <c r="B9" s="264">
        <v>2</v>
      </c>
      <c r="C9" s="252" t="s">
        <v>9</v>
      </c>
      <c r="D9" s="252" t="s">
        <v>181</v>
      </c>
      <c r="E9" s="256" t="s">
        <v>8</v>
      </c>
      <c r="F9" s="256">
        <v>0.58079999999999998</v>
      </c>
      <c r="G9" s="30">
        <v>0</v>
      </c>
      <c r="H9" s="30">
        <f>F9*G9</f>
        <v>0</v>
      </c>
      <c r="I9" s="256" t="s">
        <v>225</v>
      </c>
      <c r="L9" s="16" t="s">
        <v>159</v>
      </c>
    </row>
    <row r="10" spans="2:13" ht="15.75" thickBot="1" x14ac:dyDescent="0.3">
      <c r="B10" s="265"/>
      <c r="C10" s="253"/>
      <c r="D10" s="253"/>
      <c r="E10" s="257"/>
      <c r="F10" s="257"/>
      <c r="G10" s="29">
        <v>8.61</v>
      </c>
      <c r="H10" s="29">
        <f>F9*G10</f>
        <v>5.0006879999999994</v>
      </c>
      <c r="I10" s="257"/>
      <c r="L10" s="17" t="s">
        <v>160</v>
      </c>
    </row>
    <row r="11" spans="2:13" ht="15" customHeight="1" x14ac:dyDescent="0.25">
      <c r="B11" s="264">
        <v>3</v>
      </c>
      <c r="C11" s="252" t="s">
        <v>10</v>
      </c>
      <c r="D11" s="252" t="s">
        <v>11</v>
      </c>
      <c r="E11" s="256" t="s">
        <v>8</v>
      </c>
      <c r="F11" s="256">
        <v>0.82</v>
      </c>
      <c r="G11" s="30">
        <v>0</v>
      </c>
      <c r="H11" s="30">
        <f>F11*G11</f>
        <v>0</v>
      </c>
      <c r="I11" s="256" t="s">
        <v>225</v>
      </c>
      <c r="L11" s="16" t="s">
        <v>161</v>
      </c>
    </row>
    <row r="12" spans="2:13" ht="15.75" thickBot="1" x14ac:dyDescent="0.3">
      <c r="B12" s="265"/>
      <c r="C12" s="253"/>
      <c r="D12" s="253"/>
      <c r="E12" s="257"/>
      <c r="F12" s="257"/>
      <c r="G12" s="29">
        <v>0.27</v>
      </c>
      <c r="H12" s="29">
        <f>F11*G12</f>
        <v>0.22140000000000001</v>
      </c>
      <c r="I12" s="257"/>
      <c r="L12" s="16" t="s">
        <v>162</v>
      </c>
    </row>
    <row r="13" spans="2:13" ht="22.5" customHeight="1" x14ac:dyDescent="0.25">
      <c r="B13" s="264">
        <v>4</v>
      </c>
      <c r="C13" s="252" t="s">
        <v>12</v>
      </c>
      <c r="D13" s="252" t="s">
        <v>182</v>
      </c>
      <c r="E13" s="256" t="s">
        <v>8</v>
      </c>
      <c r="F13" s="256">
        <v>0.49830000000000002</v>
      </c>
      <c r="G13" s="30">
        <v>10.75</v>
      </c>
      <c r="H13" s="30">
        <f>F13*G13</f>
        <v>5.356725</v>
      </c>
      <c r="I13" s="256" t="s">
        <v>225</v>
      </c>
      <c r="L13" s="16" t="s">
        <v>163</v>
      </c>
    </row>
    <row r="14" spans="2:13" ht="15.75" thickBot="1" x14ac:dyDescent="0.3">
      <c r="B14" s="265"/>
      <c r="C14" s="253"/>
      <c r="D14" s="253"/>
      <c r="E14" s="257"/>
      <c r="F14" s="257"/>
      <c r="G14" s="29">
        <v>23.36</v>
      </c>
      <c r="H14" s="29">
        <f>F13*G14</f>
        <v>11.640288</v>
      </c>
      <c r="I14" s="257"/>
      <c r="L14" s="17" t="s">
        <v>160</v>
      </c>
    </row>
    <row r="15" spans="2:13" ht="22.5" customHeight="1" x14ac:dyDescent="0.25">
      <c r="B15" s="264">
        <v>5</v>
      </c>
      <c r="C15" s="252" t="s">
        <v>13</v>
      </c>
      <c r="D15" s="252" t="s">
        <v>183</v>
      </c>
      <c r="E15" s="254" t="s">
        <v>8</v>
      </c>
      <c r="F15" s="256">
        <v>2.4340000000000002</v>
      </c>
      <c r="G15" s="32">
        <v>12.3</v>
      </c>
      <c r="H15" s="30">
        <f>F15*G15</f>
        <v>29.938200000000005</v>
      </c>
      <c r="I15" s="256" t="s">
        <v>225</v>
      </c>
      <c r="L15" s="16" t="s">
        <v>166</v>
      </c>
    </row>
    <row r="16" spans="2:13" ht="15.75" thickBot="1" x14ac:dyDescent="0.3">
      <c r="B16" s="265"/>
      <c r="C16" s="253"/>
      <c r="D16" s="253"/>
      <c r="E16" s="255"/>
      <c r="F16" s="257"/>
      <c r="G16" s="33">
        <v>35.729999999999997</v>
      </c>
      <c r="H16" s="29">
        <f>F15*G16</f>
        <v>86.966819999999998</v>
      </c>
      <c r="I16" s="257"/>
      <c r="L16" s="17" t="s">
        <v>160</v>
      </c>
    </row>
    <row r="17" spans="2:13" ht="35.25" customHeight="1" x14ac:dyDescent="0.25">
      <c r="B17" s="264">
        <v>6</v>
      </c>
      <c r="C17" s="252" t="s">
        <v>14</v>
      </c>
      <c r="D17" s="252" t="s">
        <v>184</v>
      </c>
      <c r="E17" s="254" t="s">
        <v>15</v>
      </c>
      <c r="F17" s="256">
        <v>0.17100000000000001</v>
      </c>
      <c r="G17" s="30">
        <v>259.33</v>
      </c>
      <c r="H17" s="30">
        <f>F17*G17</f>
        <v>44.34543</v>
      </c>
      <c r="I17" s="256" t="s">
        <v>226</v>
      </c>
      <c r="L17" s="16" t="s">
        <v>165</v>
      </c>
    </row>
    <row r="18" spans="2:13" ht="15.75" thickBot="1" x14ac:dyDescent="0.3">
      <c r="B18" s="265"/>
      <c r="C18" s="253"/>
      <c r="D18" s="253"/>
      <c r="E18" s="255"/>
      <c r="F18" s="257"/>
      <c r="G18" s="29">
        <v>0</v>
      </c>
      <c r="H18" s="29">
        <f>F17*G18</f>
        <v>0</v>
      </c>
      <c r="I18" s="257"/>
      <c r="L18" s="16" t="s">
        <v>164</v>
      </c>
    </row>
    <row r="19" spans="2:13" ht="15.75" customHeight="1" thickBot="1" x14ac:dyDescent="0.3">
      <c r="B19" s="244" t="s">
        <v>16</v>
      </c>
      <c r="C19" s="245"/>
      <c r="D19" s="245"/>
      <c r="E19" s="245"/>
      <c r="F19" s="245"/>
      <c r="G19" s="245"/>
      <c r="H19" s="245"/>
      <c r="I19" s="246"/>
      <c r="L19" s="17" t="s">
        <v>160</v>
      </c>
    </row>
    <row r="20" spans="2:13" ht="22.5" customHeight="1" x14ac:dyDescent="0.25">
      <c r="B20" s="250">
        <v>7</v>
      </c>
      <c r="C20" s="252" t="s">
        <v>17</v>
      </c>
      <c r="D20" s="252" t="s">
        <v>185</v>
      </c>
      <c r="E20" s="254" t="s">
        <v>18</v>
      </c>
      <c r="F20" s="256">
        <v>243.2</v>
      </c>
      <c r="G20" s="30">
        <v>4.3499999999999996</v>
      </c>
      <c r="H20" s="30">
        <f>F20*G20</f>
        <v>1057.9199999999998</v>
      </c>
      <c r="I20" s="34" t="s">
        <v>227</v>
      </c>
      <c r="M20" s="18"/>
    </row>
    <row r="21" spans="2:13" ht="15.75" customHeight="1" thickBot="1" x14ac:dyDescent="0.3">
      <c r="B21" s="251"/>
      <c r="C21" s="253"/>
      <c r="D21" s="253"/>
      <c r="E21" s="255"/>
      <c r="F21" s="257"/>
      <c r="G21" s="29">
        <v>2.95</v>
      </c>
      <c r="H21" s="29">
        <f>F20*G21</f>
        <v>717.44</v>
      </c>
      <c r="I21" s="29" t="s">
        <v>228</v>
      </c>
    </row>
    <row r="22" spans="2:13" x14ac:dyDescent="0.25">
      <c r="B22" s="264">
        <v>8</v>
      </c>
      <c r="C22" s="252" t="s">
        <v>19</v>
      </c>
      <c r="D22" s="252" t="s">
        <v>20</v>
      </c>
      <c r="E22" s="254" t="s">
        <v>21</v>
      </c>
      <c r="F22" s="256">
        <v>398.5</v>
      </c>
      <c r="G22" s="30">
        <v>29.78</v>
      </c>
      <c r="H22" s="30">
        <f>F22*G22</f>
        <v>11867.33</v>
      </c>
      <c r="I22" s="256" t="s">
        <v>229</v>
      </c>
    </row>
    <row r="23" spans="2:13" ht="15.75" thickBot="1" x14ac:dyDescent="0.3">
      <c r="B23" s="265"/>
      <c r="C23" s="253"/>
      <c r="D23" s="253"/>
      <c r="E23" s="255"/>
      <c r="F23" s="257"/>
      <c r="G23" s="29">
        <v>0.5</v>
      </c>
      <c r="H23" s="29">
        <f>F22*G23</f>
        <v>199.25</v>
      </c>
      <c r="I23" s="257"/>
    </row>
    <row r="24" spans="2:13" ht="15" customHeight="1" x14ac:dyDescent="0.25">
      <c r="B24" s="264">
        <v>9</v>
      </c>
      <c r="C24" s="252" t="s">
        <v>22</v>
      </c>
      <c r="D24" s="252" t="s">
        <v>186</v>
      </c>
      <c r="E24" s="254" t="s">
        <v>15</v>
      </c>
      <c r="F24" s="256">
        <v>3.42</v>
      </c>
      <c r="G24" s="30">
        <v>116.82</v>
      </c>
      <c r="H24" s="30">
        <f>F24*G24</f>
        <v>399.52439999999996</v>
      </c>
      <c r="I24" s="256" t="s">
        <v>230</v>
      </c>
    </row>
    <row r="25" spans="2:13" ht="15.75" thickBot="1" x14ac:dyDescent="0.3">
      <c r="B25" s="265"/>
      <c r="C25" s="253"/>
      <c r="D25" s="253"/>
      <c r="E25" s="255"/>
      <c r="F25" s="257"/>
      <c r="G25" s="29">
        <v>15.257999999999999</v>
      </c>
      <c r="H25" s="29">
        <f>F24*G25</f>
        <v>52.182359999999996</v>
      </c>
      <c r="I25" s="257"/>
    </row>
    <row r="26" spans="2:13" ht="35.25" customHeight="1" x14ac:dyDescent="0.25">
      <c r="B26" s="250">
        <v>10</v>
      </c>
      <c r="C26" s="252" t="s">
        <v>23</v>
      </c>
      <c r="D26" s="252" t="s">
        <v>187</v>
      </c>
      <c r="E26" s="254" t="s">
        <v>24</v>
      </c>
      <c r="F26" s="256">
        <v>1.75</v>
      </c>
      <c r="G26" s="30">
        <v>388.81</v>
      </c>
      <c r="H26" s="30">
        <f>F26*G26</f>
        <v>680.41750000000002</v>
      </c>
      <c r="I26" s="256" t="s">
        <v>231</v>
      </c>
    </row>
    <row r="27" spans="2:13" ht="15.75" thickBot="1" x14ac:dyDescent="0.3">
      <c r="B27" s="251"/>
      <c r="C27" s="253"/>
      <c r="D27" s="253"/>
      <c r="E27" s="255"/>
      <c r="F27" s="257"/>
      <c r="G27" s="29">
        <v>83.94</v>
      </c>
      <c r="H27" s="29">
        <f>F26*G27</f>
        <v>146.89499999999998</v>
      </c>
      <c r="I27" s="257"/>
    </row>
    <row r="28" spans="2:13" ht="15" customHeight="1" x14ac:dyDescent="0.25">
      <c r="B28" s="250">
        <v>11</v>
      </c>
      <c r="C28" s="252" t="s">
        <v>25</v>
      </c>
      <c r="D28" s="252" t="s">
        <v>188</v>
      </c>
      <c r="E28" s="254" t="s">
        <v>26</v>
      </c>
      <c r="F28" s="256">
        <v>4.03</v>
      </c>
      <c r="G28" s="30">
        <v>21.91</v>
      </c>
      <c r="H28" s="30">
        <f>F28*G28</f>
        <v>88.297300000000007</v>
      </c>
      <c r="I28" s="256" t="s">
        <v>231</v>
      </c>
    </row>
    <row r="29" spans="2:13" ht="15.75" thickBot="1" x14ac:dyDescent="0.3">
      <c r="B29" s="251"/>
      <c r="C29" s="253"/>
      <c r="D29" s="253"/>
      <c r="E29" s="255"/>
      <c r="F29" s="257"/>
      <c r="G29" s="29">
        <v>2.17</v>
      </c>
      <c r="H29" s="29">
        <f>F28*G29</f>
        <v>8.7451000000000008</v>
      </c>
      <c r="I29" s="257"/>
    </row>
    <row r="30" spans="2:13" ht="48" customHeight="1" x14ac:dyDescent="0.25">
      <c r="B30" s="250">
        <v>12</v>
      </c>
      <c r="C30" s="252" t="s">
        <v>19</v>
      </c>
      <c r="D30" s="252" t="s">
        <v>20</v>
      </c>
      <c r="E30" s="254" t="s">
        <v>21</v>
      </c>
      <c r="F30" s="256">
        <v>16.600000000000001</v>
      </c>
      <c r="G30" s="30">
        <v>29.78</v>
      </c>
      <c r="H30" s="30">
        <f>F30*G30</f>
        <v>494.34800000000007</v>
      </c>
      <c r="I30" s="256" t="s">
        <v>229</v>
      </c>
    </row>
    <row r="31" spans="2:13" ht="15.75" thickBot="1" x14ac:dyDescent="0.3">
      <c r="B31" s="251"/>
      <c r="C31" s="253"/>
      <c r="D31" s="253"/>
      <c r="E31" s="255"/>
      <c r="F31" s="257"/>
      <c r="G31" s="29">
        <v>0.5</v>
      </c>
      <c r="H31" s="29">
        <f>F30*G31</f>
        <v>8.3000000000000007</v>
      </c>
      <c r="I31" s="257"/>
    </row>
    <row r="32" spans="2:13" ht="48" customHeight="1" x14ac:dyDescent="0.25">
      <c r="B32" s="250">
        <v>13</v>
      </c>
      <c r="C32" s="252" t="s">
        <v>27</v>
      </c>
      <c r="D32" s="252" t="s">
        <v>189</v>
      </c>
      <c r="E32" s="254" t="s">
        <v>24</v>
      </c>
      <c r="F32" s="256">
        <v>0.14280000000000001</v>
      </c>
      <c r="G32" s="30">
        <v>1899.8</v>
      </c>
      <c r="H32" s="30">
        <f>F32*G32</f>
        <v>271.29144000000002</v>
      </c>
      <c r="I32" s="256" t="s">
        <v>232</v>
      </c>
    </row>
    <row r="33" spans="2:9" ht="15.75" thickBot="1" x14ac:dyDescent="0.3">
      <c r="B33" s="251"/>
      <c r="C33" s="253"/>
      <c r="D33" s="253"/>
      <c r="E33" s="255"/>
      <c r="F33" s="257"/>
      <c r="G33" s="29">
        <v>47.55</v>
      </c>
      <c r="H33" s="29">
        <f>F32*G33</f>
        <v>6.7901400000000001</v>
      </c>
      <c r="I33" s="257"/>
    </row>
    <row r="34" spans="2:9" ht="22.5" customHeight="1" x14ac:dyDescent="0.25">
      <c r="B34" s="250">
        <v>14</v>
      </c>
      <c r="C34" s="252" t="s">
        <v>19</v>
      </c>
      <c r="D34" s="252" t="s">
        <v>20</v>
      </c>
      <c r="E34" s="254" t="s">
        <v>21</v>
      </c>
      <c r="F34" s="256">
        <v>159.63999999999999</v>
      </c>
      <c r="G34" s="30">
        <v>29.78</v>
      </c>
      <c r="H34" s="30">
        <f>F34*G34</f>
        <v>4754.0792000000001</v>
      </c>
      <c r="I34" s="256" t="s">
        <v>229</v>
      </c>
    </row>
    <row r="35" spans="2:9" ht="15.75" thickBot="1" x14ac:dyDescent="0.3">
      <c r="B35" s="251"/>
      <c r="C35" s="253"/>
      <c r="D35" s="253"/>
      <c r="E35" s="255"/>
      <c r="F35" s="257"/>
      <c r="G35" s="29">
        <v>0.5</v>
      </c>
      <c r="H35" s="29">
        <f>F34*G35</f>
        <v>79.819999999999993</v>
      </c>
      <c r="I35" s="257"/>
    </row>
    <row r="36" spans="2:9" ht="22.5" customHeight="1" x14ac:dyDescent="0.25">
      <c r="B36" s="250">
        <v>15</v>
      </c>
      <c r="C36" s="252" t="s">
        <v>28</v>
      </c>
      <c r="D36" s="252" t="s">
        <v>190</v>
      </c>
      <c r="E36" s="254" t="s">
        <v>15</v>
      </c>
      <c r="F36" s="262">
        <v>1.369</v>
      </c>
      <c r="G36" s="30">
        <v>678.5</v>
      </c>
      <c r="H36" s="30">
        <f>F36*G36</f>
        <v>928.86649999999997</v>
      </c>
      <c r="I36" s="256" t="s">
        <v>232</v>
      </c>
    </row>
    <row r="37" spans="2:9" ht="15.75" thickBot="1" x14ac:dyDescent="0.3">
      <c r="B37" s="251"/>
      <c r="C37" s="253"/>
      <c r="D37" s="253"/>
      <c r="E37" s="255"/>
      <c r="F37" s="263"/>
      <c r="G37" s="29">
        <v>31.93</v>
      </c>
      <c r="H37" s="29">
        <f>F36*G37</f>
        <v>43.71217</v>
      </c>
      <c r="I37" s="257"/>
    </row>
    <row r="38" spans="2:9" ht="22.5" customHeight="1" x14ac:dyDescent="0.25">
      <c r="B38" s="250">
        <v>16</v>
      </c>
      <c r="C38" s="252" t="s">
        <v>29</v>
      </c>
      <c r="D38" s="252" t="s">
        <v>191</v>
      </c>
      <c r="E38" s="254" t="s">
        <v>8</v>
      </c>
      <c r="F38" s="256">
        <v>0.49830000000000002</v>
      </c>
      <c r="G38" s="30">
        <v>0</v>
      </c>
      <c r="H38" s="30">
        <f>F38*G38</f>
        <v>0</v>
      </c>
      <c r="I38" s="256" t="s">
        <v>233</v>
      </c>
    </row>
    <row r="39" spans="2:9" ht="15.75" thickBot="1" x14ac:dyDescent="0.3">
      <c r="B39" s="251"/>
      <c r="C39" s="253"/>
      <c r="D39" s="253"/>
      <c r="E39" s="255"/>
      <c r="F39" s="257"/>
      <c r="G39" s="29">
        <v>5.91</v>
      </c>
      <c r="H39" s="29">
        <f>F38*G39</f>
        <v>2.9449530000000004</v>
      </c>
      <c r="I39" s="257"/>
    </row>
    <row r="40" spans="2:9" ht="15.75" customHeight="1" x14ac:dyDescent="0.25">
      <c r="B40" s="250">
        <v>17</v>
      </c>
      <c r="C40" s="252" t="s">
        <v>30</v>
      </c>
      <c r="D40" s="252" t="s">
        <v>192</v>
      </c>
      <c r="E40" s="254" t="s">
        <v>15</v>
      </c>
      <c r="F40" s="256">
        <v>0.17100000000000001</v>
      </c>
      <c r="G40" s="30">
        <v>102.91</v>
      </c>
      <c r="H40" s="30">
        <f>F40*G40</f>
        <v>17.59761</v>
      </c>
      <c r="I40" s="256" t="s">
        <v>226</v>
      </c>
    </row>
    <row r="41" spans="2:9" ht="15.75" thickBot="1" x14ac:dyDescent="0.3">
      <c r="B41" s="251"/>
      <c r="C41" s="253"/>
      <c r="D41" s="253"/>
      <c r="E41" s="255"/>
      <c r="F41" s="257"/>
      <c r="G41" s="29">
        <v>0</v>
      </c>
      <c r="H41" s="29">
        <f>F40*G41</f>
        <v>0</v>
      </c>
      <c r="I41" s="257"/>
    </row>
    <row r="42" spans="2:9" ht="15" customHeight="1" x14ac:dyDescent="0.25">
      <c r="B42" s="250">
        <v>18</v>
      </c>
      <c r="C42" s="252" t="s">
        <v>31</v>
      </c>
      <c r="D42" s="252" t="s">
        <v>193</v>
      </c>
      <c r="E42" s="254" t="s">
        <v>15</v>
      </c>
      <c r="F42" s="256">
        <v>5.3</v>
      </c>
      <c r="G42" s="30">
        <v>12.53</v>
      </c>
      <c r="H42" s="30">
        <f>F42*G42</f>
        <v>66.408999999999992</v>
      </c>
      <c r="I42" s="256" t="s">
        <v>226</v>
      </c>
    </row>
    <row r="43" spans="2:9" ht="15.75" thickBot="1" x14ac:dyDescent="0.3">
      <c r="B43" s="251"/>
      <c r="C43" s="253"/>
      <c r="D43" s="253"/>
      <c r="E43" s="255"/>
      <c r="F43" s="257"/>
      <c r="G43" s="29">
        <v>12.18</v>
      </c>
      <c r="H43" s="29">
        <f>F42*G43</f>
        <v>64.554000000000002</v>
      </c>
      <c r="I43" s="257"/>
    </row>
    <row r="44" spans="2:9" ht="48" customHeight="1" thickBot="1" x14ac:dyDescent="0.3">
      <c r="B44" s="244" t="s">
        <v>32</v>
      </c>
      <c r="C44" s="245"/>
      <c r="D44" s="245"/>
      <c r="E44" s="245"/>
      <c r="F44" s="245"/>
      <c r="G44" s="245"/>
      <c r="H44" s="245"/>
      <c r="I44" s="246"/>
    </row>
    <row r="45" spans="2:9" ht="15.75" thickBot="1" x14ac:dyDescent="0.3">
      <c r="B45" s="244" t="s">
        <v>33</v>
      </c>
      <c r="C45" s="245"/>
      <c r="D45" s="245"/>
      <c r="E45" s="245"/>
      <c r="F45" s="245"/>
      <c r="G45" s="245"/>
      <c r="H45" s="245"/>
      <c r="I45" s="246"/>
    </row>
    <row r="46" spans="2:9" ht="22.5" customHeight="1" x14ac:dyDescent="0.25">
      <c r="B46" s="250">
        <v>19</v>
      </c>
      <c r="C46" s="252" t="s">
        <v>19</v>
      </c>
      <c r="D46" s="252" t="s">
        <v>20</v>
      </c>
      <c r="E46" s="254" t="s">
        <v>21</v>
      </c>
      <c r="F46" s="256">
        <v>200.5</v>
      </c>
      <c r="G46" s="30">
        <v>29.78</v>
      </c>
      <c r="H46" s="30">
        <f>F46*G46</f>
        <v>5970.89</v>
      </c>
      <c r="I46" s="256" t="s">
        <v>229</v>
      </c>
    </row>
    <row r="47" spans="2:9" ht="15.75" thickBot="1" x14ac:dyDescent="0.3">
      <c r="B47" s="251"/>
      <c r="C47" s="253"/>
      <c r="D47" s="253"/>
      <c r="E47" s="255"/>
      <c r="F47" s="257"/>
      <c r="G47" s="29">
        <v>0.5</v>
      </c>
      <c r="H47" s="29">
        <f>F46*G47</f>
        <v>100.25</v>
      </c>
      <c r="I47" s="257"/>
    </row>
    <row r="48" spans="2:9" ht="48" customHeight="1" x14ac:dyDescent="0.25">
      <c r="B48" s="250">
        <v>20</v>
      </c>
      <c r="C48" s="252" t="s">
        <v>27</v>
      </c>
      <c r="D48" s="252" t="s">
        <v>194</v>
      </c>
      <c r="E48" s="254" t="s">
        <v>24</v>
      </c>
      <c r="F48" s="256">
        <v>1.7190000000000001</v>
      </c>
      <c r="G48" s="30">
        <v>1899.8</v>
      </c>
      <c r="H48" s="30">
        <f>F48*G48</f>
        <v>3265.7562000000003</v>
      </c>
      <c r="I48" s="256" t="s">
        <v>234</v>
      </c>
    </row>
    <row r="49" spans="2:9" ht="15.75" thickBot="1" x14ac:dyDescent="0.3">
      <c r="B49" s="251"/>
      <c r="C49" s="253"/>
      <c r="D49" s="253"/>
      <c r="E49" s="255"/>
      <c r="F49" s="257"/>
      <c r="G49" s="29">
        <v>47.55</v>
      </c>
      <c r="H49" s="29">
        <f>F48*G49</f>
        <v>81.73845</v>
      </c>
      <c r="I49" s="257"/>
    </row>
    <row r="50" spans="2:9" ht="15.75" customHeight="1" x14ac:dyDescent="0.25">
      <c r="B50" s="250">
        <v>21</v>
      </c>
      <c r="C50" s="252" t="s">
        <v>19</v>
      </c>
      <c r="D50" s="252" t="s">
        <v>20</v>
      </c>
      <c r="E50" s="254" t="s">
        <v>21</v>
      </c>
      <c r="F50" s="256">
        <v>1595.9</v>
      </c>
      <c r="G50" s="30">
        <v>29.78</v>
      </c>
      <c r="H50" s="30">
        <f>F50*G50</f>
        <v>47525.902000000002</v>
      </c>
      <c r="I50" s="256" t="s">
        <v>229</v>
      </c>
    </row>
    <row r="51" spans="2:9" ht="15.75" thickBot="1" x14ac:dyDescent="0.3">
      <c r="B51" s="251"/>
      <c r="C51" s="253"/>
      <c r="D51" s="253"/>
      <c r="E51" s="255"/>
      <c r="F51" s="257"/>
      <c r="G51" s="29">
        <v>0.5</v>
      </c>
      <c r="H51" s="29">
        <f>F50*G51</f>
        <v>797.95</v>
      </c>
      <c r="I51" s="257"/>
    </row>
    <row r="52" spans="2:9" ht="22.5" customHeight="1" x14ac:dyDescent="0.25">
      <c r="B52" s="250">
        <v>22</v>
      </c>
      <c r="C52" s="252" t="s">
        <v>28</v>
      </c>
      <c r="D52" s="252" t="s">
        <v>190</v>
      </c>
      <c r="E52" s="254" t="s">
        <v>34</v>
      </c>
      <c r="F52" s="262">
        <v>13.696999999999999</v>
      </c>
      <c r="G52" s="30">
        <v>208.25</v>
      </c>
      <c r="H52" s="30">
        <f>F52*G52</f>
        <v>2852.4002499999997</v>
      </c>
      <c r="I52" s="256" t="s">
        <v>234</v>
      </c>
    </row>
    <row r="53" spans="2:9" ht="15.75" thickBot="1" x14ac:dyDescent="0.3">
      <c r="B53" s="251"/>
      <c r="C53" s="253"/>
      <c r="D53" s="253"/>
      <c r="E53" s="255"/>
      <c r="F53" s="263"/>
      <c r="G53" s="29">
        <v>49.47</v>
      </c>
      <c r="H53" s="29">
        <f>F52*G53</f>
        <v>677.59058999999991</v>
      </c>
      <c r="I53" s="257"/>
    </row>
    <row r="54" spans="2:9" ht="15.75" customHeight="1" x14ac:dyDescent="0.25">
      <c r="B54" s="250">
        <v>23</v>
      </c>
      <c r="C54" s="252" t="s">
        <v>19</v>
      </c>
      <c r="D54" s="252" t="s">
        <v>20</v>
      </c>
      <c r="E54" s="254" t="s">
        <v>21</v>
      </c>
      <c r="F54" s="256">
        <v>41.34</v>
      </c>
      <c r="G54" s="30">
        <v>29.78</v>
      </c>
      <c r="H54" s="30">
        <f>F54*G54</f>
        <v>1231.1052000000002</v>
      </c>
      <c r="I54" s="256" t="s">
        <v>229</v>
      </c>
    </row>
    <row r="55" spans="2:9" ht="22.5" customHeight="1" thickBot="1" x14ac:dyDescent="0.3">
      <c r="B55" s="251"/>
      <c r="C55" s="253"/>
      <c r="D55" s="253"/>
      <c r="E55" s="255"/>
      <c r="F55" s="257"/>
      <c r="G55" s="29">
        <v>0.5</v>
      </c>
      <c r="H55" s="29">
        <f>F54*G55</f>
        <v>20.67</v>
      </c>
      <c r="I55" s="257"/>
    </row>
    <row r="56" spans="2:9" ht="22.5" customHeight="1" x14ac:dyDescent="0.25">
      <c r="B56" s="250">
        <v>24</v>
      </c>
      <c r="C56" s="252" t="s">
        <v>35</v>
      </c>
      <c r="D56" s="252" t="s">
        <v>36</v>
      </c>
      <c r="E56" s="256" t="s">
        <v>24</v>
      </c>
      <c r="F56" s="262">
        <v>0.35499999999999998</v>
      </c>
      <c r="G56" s="30">
        <v>637.21</v>
      </c>
      <c r="H56" s="30">
        <f>F56*G56</f>
        <v>226.20955000000001</v>
      </c>
      <c r="I56" s="256" t="s">
        <v>234</v>
      </c>
    </row>
    <row r="57" spans="2:9" ht="15.75" thickBot="1" x14ac:dyDescent="0.3">
      <c r="B57" s="251"/>
      <c r="C57" s="253"/>
      <c r="D57" s="253"/>
      <c r="E57" s="257"/>
      <c r="F57" s="263"/>
      <c r="G57" s="29">
        <v>133.72</v>
      </c>
      <c r="H57" s="29">
        <f>F56*G57</f>
        <v>47.470599999999997</v>
      </c>
      <c r="I57" s="257"/>
    </row>
    <row r="58" spans="2:9" ht="15.75" customHeight="1" thickBot="1" x14ac:dyDescent="0.3">
      <c r="B58" s="244" t="s">
        <v>167</v>
      </c>
      <c r="C58" s="245"/>
      <c r="D58" s="245"/>
      <c r="E58" s="245"/>
      <c r="F58" s="245"/>
      <c r="G58" s="245"/>
      <c r="H58" s="245"/>
      <c r="I58" s="246"/>
    </row>
    <row r="59" spans="2:9" x14ac:dyDescent="0.25">
      <c r="B59" s="250">
        <v>25</v>
      </c>
      <c r="C59" s="252" t="s">
        <v>38</v>
      </c>
      <c r="D59" s="252" t="s">
        <v>39</v>
      </c>
      <c r="E59" s="254" t="s">
        <v>18</v>
      </c>
      <c r="F59" s="256">
        <v>998.13</v>
      </c>
      <c r="G59" s="30">
        <v>5.47</v>
      </c>
      <c r="H59" s="30">
        <f>F59*G59</f>
        <v>5459.7710999999999</v>
      </c>
      <c r="I59" s="256" t="s">
        <v>235</v>
      </c>
    </row>
    <row r="60" spans="2:9" ht="15.75" customHeight="1" thickBot="1" x14ac:dyDescent="0.3">
      <c r="B60" s="251"/>
      <c r="C60" s="253"/>
      <c r="D60" s="253"/>
      <c r="E60" s="255"/>
      <c r="F60" s="257"/>
      <c r="G60" s="29">
        <v>0.16</v>
      </c>
      <c r="H60" s="29">
        <f>F59*G60</f>
        <v>159.70080000000002</v>
      </c>
      <c r="I60" s="257"/>
    </row>
    <row r="61" spans="2:9" ht="22.5" customHeight="1" x14ac:dyDescent="0.25">
      <c r="B61" s="250">
        <v>26</v>
      </c>
      <c r="C61" s="252" t="s">
        <v>40</v>
      </c>
      <c r="D61" s="252" t="s">
        <v>41</v>
      </c>
      <c r="E61" s="254" t="s">
        <v>42</v>
      </c>
      <c r="F61" s="256">
        <v>296.92</v>
      </c>
      <c r="G61" s="30">
        <v>7.41</v>
      </c>
      <c r="H61" s="30">
        <f>F61*G61</f>
        <v>2200.1772000000001</v>
      </c>
      <c r="I61" s="256" t="s">
        <v>236</v>
      </c>
    </row>
    <row r="62" spans="2:9" ht="15.75" thickBot="1" x14ac:dyDescent="0.3">
      <c r="B62" s="251"/>
      <c r="C62" s="253"/>
      <c r="D62" s="253"/>
      <c r="E62" s="255"/>
      <c r="F62" s="257"/>
      <c r="G62" s="29">
        <v>0.98</v>
      </c>
      <c r="H62" s="29">
        <f>F61*G62</f>
        <v>290.98160000000001</v>
      </c>
      <c r="I62" s="257"/>
    </row>
    <row r="63" spans="2:9" ht="48" customHeight="1" x14ac:dyDescent="0.25">
      <c r="B63" s="250">
        <v>27</v>
      </c>
      <c r="C63" s="252" t="s">
        <v>168</v>
      </c>
      <c r="D63" s="252" t="s">
        <v>169</v>
      </c>
      <c r="E63" s="254" t="s">
        <v>45</v>
      </c>
      <c r="F63" s="262">
        <v>29.69</v>
      </c>
      <c r="G63" s="30">
        <v>385.68</v>
      </c>
      <c r="H63" s="30">
        <f>F63*G63</f>
        <v>11450.8392</v>
      </c>
      <c r="I63" s="256" t="s">
        <v>236</v>
      </c>
    </row>
    <row r="64" spans="2:9" ht="15.75" thickBot="1" x14ac:dyDescent="0.3">
      <c r="B64" s="251"/>
      <c r="C64" s="253"/>
      <c r="D64" s="253"/>
      <c r="E64" s="255"/>
      <c r="F64" s="263"/>
      <c r="G64" s="29">
        <v>35.99</v>
      </c>
      <c r="H64" s="29">
        <f>F63*G64</f>
        <v>1068.5431000000001</v>
      </c>
      <c r="I64" s="257"/>
    </row>
    <row r="65" spans="2:9" ht="15.75" customHeight="1" thickBot="1" x14ac:dyDescent="0.3">
      <c r="B65" s="244" t="s">
        <v>37</v>
      </c>
      <c r="C65" s="245"/>
      <c r="D65" s="245"/>
      <c r="E65" s="245"/>
      <c r="F65" s="245"/>
      <c r="G65" s="245"/>
      <c r="H65" s="245"/>
      <c r="I65" s="246"/>
    </row>
    <row r="66" spans="2:9" ht="22.5" customHeight="1" x14ac:dyDescent="0.25">
      <c r="B66" s="250">
        <v>28</v>
      </c>
      <c r="C66" s="252" t="s">
        <v>43</v>
      </c>
      <c r="D66" s="252" t="s">
        <v>44</v>
      </c>
      <c r="E66" s="254" t="s">
        <v>45</v>
      </c>
      <c r="F66" s="256">
        <v>28.033000000000001</v>
      </c>
      <c r="G66" s="30">
        <v>143.99</v>
      </c>
      <c r="H66" s="30">
        <f>F66*G66</f>
        <v>4036.4716700000004</v>
      </c>
      <c r="I66" s="256" t="s">
        <v>235</v>
      </c>
    </row>
    <row r="67" spans="2:9" ht="15.75" customHeight="1" thickBot="1" x14ac:dyDescent="0.3">
      <c r="B67" s="251"/>
      <c r="C67" s="253"/>
      <c r="D67" s="253"/>
      <c r="E67" s="255"/>
      <c r="F67" s="257"/>
      <c r="G67" s="29">
        <v>5.72</v>
      </c>
      <c r="H67" s="29">
        <f>F66*G67</f>
        <v>160.34876</v>
      </c>
      <c r="I67" s="257"/>
    </row>
    <row r="68" spans="2:9" x14ac:dyDescent="0.25">
      <c r="B68" s="250">
        <v>29</v>
      </c>
      <c r="C68" s="252" t="s">
        <v>46</v>
      </c>
      <c r="D68" s="252" t="s">
        <v>47</v>
      </c>
      <c r="E68" s="254" t="s">
        <v>24</v>
      </c>
      <c r="F68" s="256">
        <v>0.75</v>
      </c>
      <c r="G68" s="30">
        <v>1593</v>
      </c>
      <c r="H68" s="30">
        <f>F68*G68</f>
        <v>1194.75</v>
      </c>
      <c r="I68" s="34" t="s">
        <v>237</v>
      </c>
    </row>
    <row r="69" spans="2:9" ht="26.25" thickBot="1" x14ac:dyDescent="0.3">
      <c r="B69" s="251"/>
      <c r="C69" s="253"/>
      <c r="D69" s="253"/>
      <c r="E69" s="255"/>
      <c r="F69" s="257"/>
      <c r="G69" s="29">
        <v>55.7</v>
      </c>
      <c r="H69" s="29">
        <f>F68*G69</f>
        <v>41.775000000000006</v>
      </c>
      <c r="I69" s="29" t="s">
        <v>238</v>
      </c>
    </row>
    <row r="70" spans="2:9" ht="15" customHeight="1" x14ac:dyDescent="0.25">
      <c r="B70" s="250">
        <v>30</v>
      </c>
      <c r="C70" s="252" t="s">
        <v>48</v>
      </c>
      <c r="D70" s="252" t="s">
        <v>49</v>
      </c>
      <c r="E70" s="254" t="s">
        <v>24</v>
      </c>
      <c r="F70" s="256">
        <v>0.71599999999999997</v>
      </c>
      <c r="G70" s="30">
        <v>456.44</v>
      </c>
      <c r="H70" s="30">
        <f>F70*G70</f>
        <v>326.81103999999999</v>
      </c>
      <c r="I70" s="34" t="s">
        <v>239</v>
      </c>
    </row>
    <row r="71" spans="2:9" ht="26.25" thickBot="1" x14ac:dyDescent="0.3">
      <c r="B71" s="251"/>
      <c r="C71" s="253"/>
      <c r="D71" s="253"/>
      <c r="E71" s="255"/>
      <c r="F71" s="257"/>
      <c r="G71" s="29">
        <v>151.81</v>
      </c>
      <c r="H71" s="29">
        <f>F70*G71</f>
        <v>108.69596</v>
      </c>
      <c r="I71" s="29" t="s">
        <v>240</v>
      </c>
    </row>
    <row r="72" spans="2:9" ht="22.5" customHeight="1" thickBot="1" x14ac:dyDescent="0.3">
      <c r="B72" s="244" t="s">
        <v>50</v>
      </c>
      <c r="C72" s="245"/>
      <c r="D72" s="245"/>
      <c r="E72" s="245"/>
      <c r="F72" s="245"/>
      <c r="G72" s="245"/>
      <c r="H72" s="245"/>
      <c r="I72" s="246"/>
    </row>
    <row r="73" spans="2:9" x14ac:dyDescent="0.25">
      <c r="B73" s="250">
        <v>31</v>
      </c>
      <c r="C73" s="252" t="s">
        <v>51</v>
      </c>
      <c r="D73" s="252" t="s">
        <v>52</v>
      </c>
      <c r="E73" s="256" t="s">
        <v>241</v>
      </c>
      <c r="F73" s="256">
        <v>8.5500000000000007</v>
      </c>
      <c r="G73" s="30">
        <v>49.27</v>
      </c>
      <c r="H73" s="30">
        <f>F73*G73</f>
        <v>421.25850000000008</v>
      </c>
      <c r="I73" s="256" t="s">
        <v>242</v>
      </c>
    </row>
    <row r="74" spans="2:9" ht="15.75" customHeight="1" thickBot="1" x14ac:dyDescent="0.3">
      <c r="B74" s="251"/>
      <c r="C74" s="253"/>
      <c r="D74" s="253"/>
      <c r="E74" s="257"/>
      <c r="F74" s="257"/>
      <c r="G74" s="29">
        <v>1.92</v>
      </c>
      <c r="H74" s="29">
        <f>F73*G74</f>
        <v>16.416</v>
      </c>
      <c r="I74" s="257"/>
    </row>
    <row r="75" spans="2:9" ht="19.5" customHeight="1" x14ac:dyDescent="0.25">
      <c r="B75" s="250">
        <v>32</v>
      </c>
      <c r="C75" s="252" t="s">
        <v>53</v>
      </c>
      <c r="D75" s="252" t="s">
        <v>54</v>
      </c>
      <c r="E75" s="256" t="s">
        <v>241</v>
      </c>
      <c r="F75" s="256">
        <v>8.5500000000000007</v>
      </c>
      <c r="G75" s="30">
        <v>45.54</v>
      </c>
      <c r="H75" s="30">
        <f>F75*G75</f>
        <v>389.36700000000002</v>
      </c>
      <c r="I75" s="256" t="s">
        <v>243</v>
      </c>
    </row>
    <row r="76" spans="2:9" ht="15.75" customHeight="1" thickBot="1" x14ac:dyDescent="0.3">
      <c r="B76" s="251"/>
      <c r="C76" s="253"/>
      <c r="D76" s="253"/>
      <c r="E76" s="257"/>
      <c r="F76" s="257"/>
      <c r="G76" s="29">
        <v>1.68</v>
      </c>
      <c r="H76" s="29">
        <f>F75*G76</f>
        <v>14.364000000000001</v>
      </c>
      <c r="I76" s="257"/>
    </row>
    <row r="77" spans="2:9" x14ac:dyDescent="0.25">
      <c r="B77" s="250">
        <v>33</v>
      </c>
      <c r="C77" s="252" t="s">
        <v>55</v>
      </c>
      <c r="D77" s="252" t="s">
        <v>56</v>
      </c>
      <c r="E77" s="34"/>
      <c r="F77" s="256">
        <v>8.5500000000000007</v>
      </c>
      <c r="G77" s="30">
        <v>1.17</v>
      </c>
      <c r="H77" s="30">
        <f>F77*G77</f>
        <v>10.003500000000001</v>
      </c>
      <c r="I77" s="256" t="s">
        <v>243</v>
      </c>
    </row>
    <row r="78" spans="2:9" ht="15" customHeight="1" x14ac:dyDescent="0.25">
      <c r="B78" s="260"/>
      <c r="C78" s="261"/>
      <c r="D78" s="261"/>
      <c r="E78" s="34" t="s">
        <v>244</v>
      </c>
      <c r="F78" s="270"/>
      <c r="G78" s="34">
        <v>0.52</v>
      </c>
      <c r="H78" s="34">
        <f>F77*G78</f>
        <v>4.4460000000000006</v>
      </c>
      <c r="I78" s="270"/>
    </row>
    <row r="79" spans="2:9" ht="15.75" thickBot="1" x14ac:dyDescent="0.3">
      <c r="B79" s="251"/>
      <c r="C79" s="253"/>
      <c r="D79" s="253"/>
      <c r="E79" s="29"/>
      <c r="F79" s="257"/>
      <c r="G79" s="35"/>
      <c r="H79" s="35"/>
      <c r="I79" s="257"/>
    </row>
    <row r="80" spans="2:9" ht="22.5" customHeight="1" x14ac:dyDescent="0.25">
      <c r="B80" s="250">
        <v>34</v>
      </c>
      <c r="C80" s="252" t="s">
        <v>57</v>
      </c>
      <c r="D80" s="252" t="s">
        <v>58</v>
      </c>
      <c r="E80" s="256" t="s">
        <v>245</v>
      </c>
      <c r="F80" s="256">
        <v>8.5500000000000007</v>
      </c>
      <c r="G80" s="30">
        <v>17.510000000000002</v>
      </c>
      <c r="H80" s="30">
        <f>F80*G80</f>
        <v>149.71050000000002</v>
      </c>
      <c r="I80" s="256" t="s">
        <v>243</v>
      </c>
    </row>
    <row r="81" spans="2:9" ht="15.75" customHeight="1" thickBot="1" x14ac:dyDescent="0.3">
      <c r="B81" s="251"/>
      <c r="C81" s="253"/>
      <c r="D81" s="253"/>
      <c r="E81" s="257"/>
      <c r="F81" s="257"/>
      <c r="G81" s="29">
        <v>1.3</v>
      </c>
      <c r="H81" s="29">
        <f>F80*G81</f>
        <v>11.115000000000002</v>
      </c>
      <c r="I81" s="257"/>
    </row>
    <row r="82" spans="2:9" x14ac:dyDescent="0.25">
      <c r="B82" s="250">
        <v>35</v>
      </c>
      <c r="C82" s="252" t="s">
        <v>59</v>
      </c>
      <c r="D82" s="252" t="s">
        <v>60</v>
      </c>
      <c r="E82" s="34"/>
      <c r="F82" s="256">
        <v>8.5500000000000007</v>
      </c>
      <c r="G82" s="30">
        <v>31.96</v>
      </c>
      <c r="H82" s="30">
        <f>F82*G82</f>
        <v>273.25800000000004</v>
      </c>
      <c r="I82" s="256" t="s">
        <v>243</v>
      </c>
    </row>
    <row r="83" spans="2:9" ht="15.75" customHeight="1" x14ac:dyDescent="0.25">
      <c r="B83" s="260"/>
      <c r="C83" s="261"/>
      <c r="D83" s="261"/>
      <c r="E83" s="34" t="s">
        <v>244</v>
      </c>
      <c r="F83" s="270"/>
      <c r="G83" s="34">
        <v>0.3</v>
      </c>
      <c r="H83" s="34">
        <f>F82*G83</f>
        <v>2.5649999999999999</v>
      </c>
      <c r="I83" s="270"/>
    </row>
    <row r="84" spans="2:9" ht="22.5" customHeight="1" thickBot="1" x14ac:dyDescent="0.3">
      <c r="B84" s="251"/>
      <c r="C84" s="253"/>
      <c r="D84" s="253"/>
      <c r="E84" s="29"/>
      <c r="F84" s="257"/>
      <c r="G84" s="35"/>
      <c r="H84" s="35"/>
      <c r="I84" s="257"/>
    </row>
    <row r="85" spans="2:9" ht="15.75" customHeight="1" x14ac:dyDescent="0.25">
      <c r="B85" s="250">
        <v>36</v>
      </c>
      <c r="C85" s="252" t="s">
        <v>61</v>
      </c>
      <c r="D85" s="252" t="s">
        <v>62</v>
      </c>
      <c r="E85" s="256" t="s">
        <v>63</v>
      </c>
      <c r="F85" s="256">
        <v>4</v>
      </c>
      <c r="G85" s="30">
        <v>2.94</v>
      </c>
      <c r="H85" s="30">
        <f>F85*G85</f>
        <v>11.76</v>
      </c>
      <c r="I85" s="256" t="s">
        <v>243</v>
      </c>
    </row>
    <row r="86" spans="2:9" ht="19.5" customHeight="1" thickBot="1" x14ac:dyDescent="0.3">
      <c r="B86" s="251"/>
      <c r="C86" s="253"/>
      <c r="D86" s="253"/>
      <c r="E86" s="257"/>
      <c r="F86" s="257"/>
      <c r="G86" s="29">
        <v>0.02</v>
      </c>
      <c r="H86" s="29">
        <f>F85*G86</f>
        <v>0.08</v>
      </c>
      <c r="I86" s="257"/>
    </row>
    <row r="87" spans="2:9" ht="22.5" customHeight="1" x14ac:dyDescent="0.25">
      <c r="B87" s="250">
        <v>37</v>
      </c>
      <c r="C87" s="252" t="s">
        <v>64</v>
      </c>
      <c r="D87" s="252" t="s">
        <v>65</v>
      </c>
      <c r="E87" s="256" t="s">
        <v>66</v>
      </c>
      <c r="F87" s="256">
        <v>0.04</v>
      </c>
      <c r="G87" s="30">
        <v>152.07</v>
      </c>
      <c r="H87" s="30">
        <f>F87*G87</f>
        <v>6.0827999999999998</v>
      </c>
      <c r="I87" s="256" t="s">
        <v>243</v>
      </c>
    </row>
    <row r="88" spans="2:9" ht="15.75" customHeight="1" thickBot="1" x14ac:dyDescent="0.3">
      <c r="B88" s="251"/>
      <c r="C88" s="253"/>
      <c r="D88" s="253"/>
      <c r="E88" s="257"/>
      <c r="F88" s="257"/>
      <c r="G88" s="29">
        <v>0.22</v>
      </c>
      <c r="H88" s="29">
        <f>F87*G88</f>
        <v>8.8000000000000005E-3</v>
      </c>
      <c r="I88" s="257"/>
    </row>
    <row r="89" spans="2:9" ht="35.25" customHeight="1" x14ac:dyDescent="0.25">
      <c r="B89" s="250">
        <v>38</v>
      </c>
      <c r="C89" s="252" t="s">
        <v>67</v>
      </c>
      <c r="D89" s="252" t="s">
        <v>68</v>
      </c>
      <c r="E89" s="254" t="s">
        <v>69</v>
      </c>
      <c r="F89" s="256">
        <v>8.5500000000000007</v>
      </c>
      <c r="G89" s="30">
        <v>84.75</v>
      </c>
      <c r="H89" s="30">
        <f>F89*G89</f>
        <v>724.61250000000007</v>
      </c>
      <c r="I89" s="256" t="s">
        <v>243</v>
      </c>
    </row>
    <row r="90" spans="2:9" ht="15.75" customHeight="1" thickBot="1" x14ac:dyDescent="0.3">
      <c r="B90" s="251"/>
      <c r="C90" s="253"/>
      <c r="D90" s="253"/>
      <c r="E90" s="255"/>
      <c r="F90" s="257"/>
      <c r="G90" s="29">
        <v>2.57</v>
      </c>
      <c r="H90" s="29">
        <f>F89*G90</f>
        <v>21.973500000000001</v>
      </c>
      <c r="I90" s="257"/>
    </row>
    <row r="91" spans="2:9" ht="22.5" customHeight="1" x14ac:dyDescent="0.25">
      <c r="B91" s="250">
        <v>39</v>
      </c>
      <c r="C91" s="252" t="s">
        <v>70</v>
      </c>
      <c r="D91" s="252" t="s">
        <v>71</v>
      </c>
      <c r="E91" s="254" t="s">
        <v>72</v>
      </c>
      <c r="F91" s="256">
        <v>0.76400000000000001</v>
      </c>
      <c r="G91" s="30">
        <v>81.7</v>
      </c>
      <c r="H91" s="30">
        <f>F91*G91</f>
        <v>62.418800000000005</v>
      </c>
      <c r="I91" s="256" t="s">
        <v>243</v>
      </c>
    </row>
    <row r="92" spans="2:9" ht="15.75" thickBot="1" x14ac:dyDescent="0.3">
      <c r="B92" s="251"/>
      <c r="C92" s="253"/>
      <c r="D92" s="253"/>
      <c r="E92" s="255"/>
      <c r="F92" s="257"/>
      <c r="G92" s="29">
        <v>0.96</v>
      </c>
      <c r="H92" s="29">
        <f>F91*G92</f>
        <v>0.73343999999999998</v>
      </c>
      <c r="I92" s="257"/>
    </row>
    <row r="93" spans="2:9" ht="35.25" customHeight="1" x14ac:dyDescent="0.25">
      <c r="B93" s="250">
        <v>40</v>
      </c>
      <c r="C93" s="252" t="s">
        <v>73</v>
      </c>
      <c r="D93" s="252" t="s">
        <v>74</v>
      </c>
      <c r="E93" s="254" t="s">
        <v>75</v>
      </c>
      <c r="F93" s="256">
        <v>0.76</v>
      </c>
      <c r="G93" s="30">
        <v>61.28</v>
      </c>
      <c r="H93" s="30">
        <f>F93*G93</f>
        <v>46.572800000000001</v>
      </c>
      <c r="I93" s="256" t="s">
        <v>243</v>
      </c>
    </row>
    <row r="94" spans="2:9" ht="15.75" thickBot="1" x14ac:dyDescent="0.3">
      <c r="B94" s="251"/>
      <c r="C94" s="253"/>
      <c r="D94" s="253"/>
      <c r="E94" s="255"/>
      <c r="F94" s="257"/>
      <c r="G94" s="29">
        <v>0.04</v>
      </c>
      <c r="H94" s="29">
        <f>F93*G94</f>
        <v>3.04E-2</v>
      </c>
      <c r="I94" s="257"/>
    </row>
    <row r="95" spans="2:9" ht="22.5" customHeight="1" thickBot="1" x14ac:dyDescent="0.3">
      <c r="B95" s="244" t="s">
        <v>76</v>
      </c>
      <c r="C95" s="245"/>
      <c r="D95" s="245"/>
      <c r="E95" s="245"/>
      <c r="F95" s="245"/>
      <c r="G95" s="245"/>
      <c r="H95" s="245"/>
      <c r="I95" s="246"/>
    </row>
    <row r="96" spans="2:9" ht="36" customHeight="1" x14ac:dyDescent="0.25">
      <c r="B96" s="250">
        <v>41</v>
      </c>
      <c r="C96" s="252" t="s">
        <v>77</v>
      </c>
      <c r="D96" s="252" t="s">
        <v>78</v>
      </c>
      <c r="E96" s="254" t="s">
        <v>26</v>
      </c>
      <c r="F96" s="256">
        <v>9.6500000000000002E-2</v>
      </c>
      <c r="G96" s="30">
        <v>134.41999999999999</v>
      </c>
      <c r="H96" s="30">
        <f>F96*G96</f>
        <v>12.97153</v>
      </c>
      <c r="I96" s="256" t="s">
        <v>228</v>
      </c>
    </row>
    <row r="97" spans="2:9" ht="15" customHeight="1" thickBot="1" x14ac:dyDescent="0.3">
      <c r="B97" s="251"/>
      <c r="C97" s="253"/>
      <c r="D97" s="253"/>
      <c r="E97" s="255"/>
      <c r="F97" s="257"/>
      <c r="G97" s="29">
        <v>0</v>
      </c>
      <c r="H97" s="29">
        <f>F96*G97</f>
        <v>0</v>
      </c>
      <c r="I97" s="257"/>
    </row>
    <row r="98" spans="2:9" ht="25.5" x14ac:dyDescent="0.25">
      <c r="B98" s="250">
        <v>42</v>
      </c>
      <c r="C98" s="258" t="s">
        <v>79</v>
      </c>
      <c r="D98" s="21" t="s">
        <v>246</v>
      </c>
      <c r="E98" s="254" t="s">
        <v>26</v>
      </c>
      <c r="F98" s="256">
        <v>1.94</v>
      </c>
      <c r="G98" s="30">
        <v>125.62</v>
      </c>
      <c r="H98" s="30">
        <f>F98*G98</f>
        <v>243.7028</v>
      </c>
      <c r="I98" s="256" t="s">
        <v>228</v>
      </c>
    </row>
    <row r="99" spans="2:9" ht="15" customHeight="1" thickBot="1" x14ac:dyDescent="0.3">
      <c r="B99" s="251"/>
      <c r="C99" s="259"/>
      <c r="D99" s="22" t="s">
        <v>80</v>
      </c>
      <c r="E99" s="255"/>
      <c r="F99" s="257"/>
      <c r="G99" s="29">
        <v>0</v>
      </c>
      <c r="H99" s="29">
        <f>F98*G99</f>
        <v>0</v>
      </c>
      <c r="I99" s="257"/>
    </row>
    <row r="100" spans="2:9" ht="28.5" customHeight="1" x14ac:dyDescent="0.25">
      <c r="B100" s="250">
        <v>43</v>
      </c>
      <c r="C100" s="252" t="s">
        <v>81</v>
      </c>
      <c r="D100" s="252" t="s">
        <v>82</v>
      </c>
      <c r="E100" s="254" t="s">
        <v>26</v>
      </c>
      <c r="F100" s="256">
        <v>4.9607999999999999</v>
      </c>
      <c r="G100" s="30">
        <v>116.12</v>
      </c>
      <c r="H100" s="30">
        <f>F100*G100</f>
        <v>576.04809599999999</v>
      </c>
      <c r="I100" s="256" t="s">
        <v>228</v>
      </c>
    </row>
    <row r="101" spans="2:9" ht="22.5" customHeight="1" thickBot="1" x14ac:dyDescent="0.3">
      <c r="B101" s="251"/>
      <c r="C101" s="253"/>
      <c r="D101" s="253"/>
      <c r="E101" s="255"/>
      <c r="F101" s="257"/>
      <c r="G101" s="29">
        <v>0</v>
      </c>
      <c r="H101" s="29">
        <f>F100*G101</f>
        <v>0</v>
      </c>
      <c r="I101" s="257"/>
    </row>
    <row r="102" spans="2:9" ht="22.5" customHeight="1" x14ac:dyDescent="0.25">
      <c r="B102" s="250">
        <v>44</v>
      </c>
      <c r="C102" s="252" t="s">
        <v>83</v>
      </c>
      <c r="D102" s="252" t="s">
        <v>84</v>
      </c>
      <c r="E102" s="254" t="s">
        <v>26</v>
      </c>
      <c r="F102" s="256">
        <v>11.09</v>
      </c>
      <c r="G102" s="30">
        <v>106.32</v>
      </c>
      <c r="H102" s="30">
        <f>F102*G102</f>
        <v>1179.0888</v>
      </c>
      <c r="I102" s="256" t="s">
        <v>228</v>
      </c>
    </row>
    <row r="103" spans="2:9" ht="15.75" thickBot="1" x14ac:dyDescent="0.3">
      <c r="B103" s="251"/>
      <c r="C103" s="253"/>
      <c r="D103" s="253"/>
      <c r="E103" s="255"/>
      <c r="F103" s="257"/>
      <c r="G103" s="29">
        <v>0</v>
      </c>
      <c r="H103" s="29">
        <f>F102*G103</f>
        <v>0</v>
      </c>
      <c r="I103" s="257"/>
    </row>
    <row r="104" spans="2:9" ht="35.25" customHeight="1" x14ac:dyDescent="0.25">
      <c r="B104" s="250">
        <v>45</v>
      </c>
      <c r="C104" s="252" t="s">
        <v>85</v>
      </c>
      <c r="D104" s="252" t="s">
        <v>86</v>
      </c>
      <c r="E104" s="254" t="s">
        <v>87</v>
      </c>
      <c r="F104" s="256">
        <v>0.75</v>
      </c>
      <c r="G104" s="30">
        <v>19.600000000000001</v>
      </c>
      <c r="H104" s="30">
        <f>F104*G104</f>
        <v>14.700000000000001</v>
      </c>
      <c r="I104" s="256" t="s">
        <v>228</v>
      </c>
    </row>
    <row r="105" spans="2:9" ht="15.75" thickBot="1" x14ac:dyDescent="0.3">
      <c r="B105" s="251"/>
      <c r="C105" s="253"/>
      <c r="D105" s="253"/>
      <c r="E105" s="255"/>
      <c r="F105" s="257"/>
      <c r="G105" s="29">
        <v>0</v>
      </c>
      <c r="H105" s="29">
        <f>F104*G105</f>
        <v>0</v>
      </c>
      <c r="I105" s="257"/>
    </row>
    <row r="106" spans="2:9" ht="15.75" customHeight="1" x14ac:dyDescent="0.25">
      <c r="B106" s="250">
        <v>46</v>
      </c>
      <c r="C106" s="252" t="s">
        <v>88</v>
      </c>
      <c r="D106" s="252" t="s">
        <v>89</v>
      </c>
      <c r="E106" s="254" t="s">
        <v>87</v>
      </c>
      <c r="F106" s="256">
        <v>0.75</v>
      </c>
      <c r="G106" s="30">
        <v>74.37</v>
      </c>
      <c r="H106" s="30">
        <f>F106*G106</f>
        <v>55.777500000000003</v>
      </c>
      <c r="I106" s="256" t="s">
        <v>228</v>
      </c>
    </row>
    <row r="107" spans="2:9" ht="22.5" customHeight="1" thickBot="1" x14ac:dyDescent="0.3">
      <c r="B107" s="251"/>
      <c r="C107" s="253"/>
      <c r="D107" s="253"/>
      <c r="E107" s="255"/>
      <c r="F107" s="257"/>
      <c r="G107" s="29">
        <v>0</v>
      </c>
      <c r="H107" s="29">
        <f>F106*G107</f>
        <v>0</v>
      </c>
      <c r="I107" s="257"/>
    </row>
    <row r="108" spans="2:9" ht="22.5" customHeight="1" x14ac:dyDescent="0.25">
      <c r="B108" s="250">
        <v>47</v>
      </c>
      <c r="C108" s="252" t="s">
        <v>90</v>
      </c>
      <c r="D108" s="252" t="s">
        <v>195</v>
      </c>
      <c r="E108" s="254" t="s">
        <v>26</v>
      </c>
      <c r="F108" s="256">
        <v>2.33</v>
      </c>
      <c r="G108" s="30">
        <v>13.03</v>
      </c>
      <c r="H108" s="30">
        <f>F108*G108</f>
        <v>30.3599</v>
      </c>
      <c r="I108" s="256" t="s">
        <v>228</v>
      </c>
    </row>
    <row r="109" spans="2:9" ht="15.75" thickBot="1" x14ac:dyDescent="0.3">
      <c r="B109" s="251"/>
      <c r="C109" s="253"/>
      <c r="D109" s="253"/>
      <c r="E109" s="255"/>
      <c r="F109" s="257"/>
      <c r="G109" s="29">
        <v>0</v>
      </c>
      <c r="H109" s="29">
        <f>F108*G109</f>
        <v>0</v>
      </c>
      <c r="I109" s="257"/>
    </row>
    <row r="110" spans="2:9" ht="15.75" customHeight="1" thickBot="1" x14ac:dyDescent="0.3">
      <c r="B110" s="244" t="s">
        <v>91</v>
      </c>
      <c r="C110" s="245"/>
      <c r="D110" s="245"/>
      <c r="E110" s="245"/>
      <c r="F110" s="245"/>
      <c r="G110" s="245"/>
      <c r="H110" s="245"/>
      <c r="I110" s="246"/>
    </row>
    <row r="111" spans="2:9" ht="25.5" x14ac:dyDescent="0.25">
      <c r="B111" s="250">
        <v>48</v>
      </c>
      <c r="C111" s="252" t="s">
        <v>92</v>
      </c>
      <c r="D111" s="21" t="s">
        <v>254</v>
      </c>
      <c r="E111" s="254" t="s">
        <v>26</v>
      </c>
      <c r="F111" s="256">
        <v>0.06</v>
      </c>
      <c r="G111" s="30">
        <v>91.4</v>
      </c>
      <c r="H111" s="30">
        <f>F111*G111</f>
        <v>5.484</v>
      </c>
      <c r="I111" s="256" t="s">
        <v>228</v>
      </c>
    </row>
    <row r="112" spans="2:9" ht="22.5" customHeight="1" x14ac:dyDescent="0.25">
      <c r="B112" s="260"/>
      <c r="C112" s="261"/>
      <c r="D112" s="21" t="s">
        <v>93</v>
      </c>
      <c r="E112" s="271"/>
      <c r="F112" s="270"/>
      <c r="G112" s="34">
        <v>13.67</v>
      </c>
      <c r="H112" s="34">
        <f>F111*G112</f>
        <v>0.82019999999999993</v>
      </c>
      <c r="I112" s="270"/>
    </row>
    <row r="113" spans="2:9" ht="15.75" thickBot="1" x14ac:dyDescent="0.3">
      <c r="B113" s="251"/>
      <c r="C113" s="253"/>
      <c r="D113" s="19"/>
      <c r="E113" s="255"/>
      <c r="F113" s="257"/>
      <c r="G113" s="35"/>
      <c r="H113" s="35"/>
      <c r="I113" s="257"/>
    </row>
    <row r="114" spans="2:9" ht="22.5" customHeight="1" x14ac:dyDescent="0.25">
      <c r="B114" s="250">
        <v>49</v>
      </c>
      <c r="C114" s="252" t="s">
        <v>94</v>
      </c>
      <c r="D114" s="252" t="s">
        <v>196</v>
      </c>
      <c r="E114" s="254" t="s">
        <v>26</v>
      </c>
      <c r="F114" s="256">
        <v>1.66</v>
      </c>
      <c r="G114" s="30">
        <v>116</v>
      </c>
      <c r="H114" s="30">
        <f>F114*G114</f>
        <v>192.56</v>
      </c>
      <c r="I114" s="256" t="s">
        <v>228</v>
      </c>
    </row>
    <row r="115" spans="2:9" ht="15.75" thickBot="1" x14ac:dyDescent="0.3">
      <c r="B115" s="251"/>
      <c r="C115" s="253"/>
      <c r="D115" s="253"/>
      <c r="E115" s="255"/>
      <c r="F115" s="257"/>
      <c r="G115" s="29">
        <v>5.98</v>
      </c>
      <c r="H115" s="29">
        <f>F114*G115</f>
        <v>9.9268000000000001</v>
      </c>
      <c r="I115" s="257"/>
    </row>
    <row r="116" spans="2:9" ht="22.5" customHeight="1" x14ac:dyDescent="0.25">
      <c r="B116" s="250">
        <v>50</v>
      </c>
      <c r="C116" s="252" t="s">
        <v>95</v>
      </c>
      <c r="D116" s="252" t="s">
        <v>96</v>
      </c>
      <c r="E116" s="254" t="s">
        <v>26</v>
      </c>
      <c r="F116" s="256">
        <v>1.6199999999999999E-2</v>
      </c>
      <c r="G116" s="30">
        <v>129</v>
      </c>
      <c r="H116" s="30">
        <f>F116*G116</f>
        <v>2.0897999999999999</v>
      </c>
      <c r="I116" s="256" t="s">
        <v>228</v>
      </c>
    </row>
    <row r="117" spans="2:9" ht="15.75" thickBot="1" x14ac:dyDescent="0.3">
      <c r="B117" s="251"/>
      <c r="C117" s="253"/>
      <c r="D117" s="253"/>
      <c r="E117" s="255"/>
      <c r="F117" s="257"/>
      <c r="G117" s="29">
        <v>5.82</v>
      </c>
      <c r="H117" s="29">
        <f>F116*G117</f>
        <v>9.4283999999999993E-2</v>
      </c>
      <c r="I117" s="257"/>
    </row>
    <row r="118" spans="2:9" ht="22.5" customHeight="1" thickBot="1" x14ac:dyDescent="0.3">
      <c r="B118" s="244" t="s">
        <v>97</v>
      </c>
      <c r="C118" s="245"/>
      <c r="D118" s="245"/>
      <c r="E118" s="245"/>
      <c r="F118" s="245"/>
      <c r="G118" s="245"/>
      <c r="H118" s="245"/>
      <c r="I118" s="246"/>
    </row>
    <row r="119" spans="2:9" x14ac:dyDescent="0.25">
      <c r="B119" s="250">
        <v>51</v>
      </c>
      <c r="C119" s="252" t="s">
        <v>98</v>
      </c>
      <c r="D119" s="252" t="s">
        <v>99</v>
      </c>
      <c r="E119" s="254" t="s">
        <v>100</v>
      </c>
      <c r="F119" s="256">
        <v>122.51</v>
      </c>
      <c r="G119" s="30">
        <v>11.06</v>
      </c>
      <c r="H119" s="30">
        <f>F119*G119</f>
        <v>1354.9606000000001</v>
      </c>
      <c r="I119" s="256" t="s">
        <v>228</v>
      </c>
    </row>
    <row r="120" spans="2:9" ht="22.5" customHeight="1" thickBot="1" x14ac:dyDescent="0.3">
      <c r="B120" s="251"/>
      <c r="C120" s="253"/>
      <c r="D120" s="253"/>
      <c r="E120" s="255"/>
      <c r="F120" s="257"/>
      <c r="G120" s="29">
        <v>0.1</v>
      </c>
      <c r="H120" s="29">
        <f>F119*G120</f>
        <v>12.251000000000001</v>
      </c>
      <c r="I120" s="257"/>
    </row>
    <row r="121" spans="2:9" ht="15.75" customHeight="1" x14ac:dyDescent="0.25">
      <c r="B121" s="250">
        <v>52</v>
      </c>
      <c r="C121" s="252" t="s">
        <v>101</v>
      </c>
      <c r="D121" s="252" t="s">
        <v>197</v>
      </c>
      <c r="E121" s="254" t="s">
        <v>26</v>
      </c>
      <c r="F121" s="256">
        <v>86.59</v>
      </c>
      <c r="G121" s="30">
        <v>59.22</v>
      </c>
      <c r="H121" s="30">
        <f>F121*G121</f>
        <v>5127.8598000000002</v>
      </c>
      <c r="I121" s="256" t="s">
        <v>228</v>
      </c>
    </row>
    <row r="122" spans="2:9" ht="22.5" customHeight="1" thickBot="1" x14ac:dyDescent="0.3">
      <c r="B122" s="251"/>
      <c r="C122" s="253"/>
      <c r="D122" s="253"/>
      <c r="E122" s="255"/>
      <c r="F122" s="257"/>
      <c r="G122" s="29">
        <v>0.03</v>
      </c>
      <c r="H122" s="29">
        <f>F121*G122</f>
        <v>2.5977000000000001</v>
      </c>
      <c r="I122" s="257"/>
    </row>
    <row r="123" spans="2:9" ht="15.75" customHeight="1" x14ac:dyDescent="0.25">
      <c r="B123" s="250">
        <v>53</v>
      </c>
      <c r="C123" s="252" t="s">
        <v>102</v>
      </c>
      <c r="D123" s="252" t="s">
        <v>198</v>
      </c>
      <c r="E123" s="30" t="s">
        <v>45</v>
      </c>
      <c r="F123" s="256">
        <v>32.4</v>
      </c>
      <c r="G123" s="30">
        <v>78.11</v>
      </c>
      <c r="H123" s="30">
        <f>F123*G123</f>
        <v>2530.7639999999997</v>
      </c>
      <c r="I123" s="256" t="s">
        <v>228</v>
      </c>
    </row>
    <row r="124" spans="2:9" ht="22.5" customHeight="1" thickBot="1" x14ac:dyDescent="0.3">
      <c r="B124" s="251"/>
      <c r="C124" s="253"/>
      <c r="D124" s="253"/>
      <c r="E124" s="66" t="s">
        <v>103</v>
      </c>
      <c r="F124" s="257"/>
      <c r="G124" s="29">
        <v>0</v>
      </c>
      <c r="H124" s="29">
        <f>F123*G124</f>
        <v>0</v>
      </c>
      <c r="I124" s="257"/>
    </row>
    <row r="125" spans="2:9" ht="22.5" customHeight="1" x14ac:dyDescent="0.25">
      <c r="B125" s="250">
        <v>54</v>
      </c>
      <c r="C125" s="252" t="s">
        <v>104</v>
      </c>
      <c r="D125" s="252" t="s">
        <v>105</v>
      </c>
      <c r="E125" s="254" t="s">
        <v>26</v>
      </c>
      <c r="F125" s="256">
        <v>2.34</v>
      </c>
      <c r="G125" s="30">
        <v>204.06</v>
      </c>
      <c r="H125" s="30">
        <f>F125*G125</f>
        <v>477.50039999999996</v>
      </c>
      <c r="I125" s="256" t="s">
        <v>247</v>
      </c>
    </row>
    <row r="126" spans="2:9" ht="15.75" thickBot="1" x14ac:dyDescent="0.3">
      <c r="B126" s="251"/>
      <c r="C126" s="253"/>
      <c r="D126" s="253"/>
      <c r="E126" s="255"/>
      <c r="F126" s="257"/>
      <c r="G126" s="29">
        <v>1.49</v>
      </c>
      <c r="H126" s="29">
        <f>F125*G126</f>
        <v>3.4865999999999997</v>
      </c>
      <c r="I126" s="257"/>
    </row>
    <row r="127" spans="2:9" ht="22.5" customHeight="1" x14ac:dyDescent="0.25">
      <c r="B127" s="250">
        <v>55</v>
      </c>
      <c r="C127" s="252" t="s">
        <v>106</v>
      </c>
      <c r="D127" s="252" t="s">
        <v>248</v>
      </c>
      <c r="E127" s="254" t="s">
        <v>26</v>
      </c>
      <c r="F127" s="256">
        <v>26.95</v>
      </c>
      <c r="G127" s="30">
        <v>226.25</v>
      </c>
      <c r="H127" s="30">
        <f>F127*G127</f>
        <v>6097.4375</v>
      </c>
      <c r="I127" s="256" t="s">
        <v>249</v>
      </c>
    </row>
    <row r="128" spans="2:9" ht="15.75" thickBot="1" x14ac:dyDescent="0.3">
      <c r="B128" s="251"/>
      <c r="C128" s="253"/>
      <c r="D128" s="253"/>
      <c r="E128" s="255"/>
      <c r="F128" s="257"/>
      <c r="G128" s="29">
        <v>0.32</v>
      </c>
      <c r="H128" s="29">
        <f>F127*G128</f>
        <v>8.6240000000000006</v>
      </c>
      <c r="I128" s="257"/>
    </row>
    <row r="129" spans="2:9" ht="22.5" customHeight="1" x14ac:dyDescent="0.25">
      <c r="B129" s="250">
        <v>56</v>
      </c>
      <c r="C129" s="258" t="s">
        <v>107</v>
      </c>
      <c r="D129" s="258" t="s">
        <v>108</v>
      </c>
      <c r="E129" s="254" t="s">
        <v>26</v>
      </c>
      <c r="F129" s="256">
        <v>2.34</v>
      </c>
      <c r="G129" s="30">
        <v>69.42</v>
      </c>
      <c r="H129" s="30">
        <f>F129*G129</f>
        <v>162.44280000000001</v>
      </c>
      <c r="I129" s="256" t="s">
        <v>250</v>
      </c>
    </row>
    <row r="130" spans="2:9" ht="15.75" thickBot="1" x14ac:dyDescent="0.3">
      <c r="B130" s="251"/>
      <c r="C130" s="259"/>
      <c r="D130" s="259"/>
      <c r="E130" s="255"/>
      <c r="F130" s="257"/>
      <c r="G130" s="29">
        <v>0.05</v>
      </c>
      <c r="H130" s="29">
        <f>F129*G130</f>
        <v>0.11699999999999999</v>
      </c>
      <c r="I130" s="257"/>
    </row>
    <row r="131" spans="2:9" ht="22.5" customHeight="1" x14ac:dyDescent="0.25">
      <c r="B131" s="250">
        <v>57</v>
      </c>
      <c r="C131" s="252" t="s">
        <v>109</v>
      </c>
      <c r="D131" s="258" t="s">
        <v>110</v>
      </c>
      <c r="E131" s="254" t="s">
        <v>26</v>
      </c>
      <c r="F131" s="256">
        <v>122.51</v>
      </c>
      <c r="G131" s="30">
        <v>38.25</v>
      </c>
      <c r="H131" s="30">
        <f>F131*G131</f>
        <v>4686.0075000000006</v>
      </c>
      <c r="I131" s="256" t="s">
        <v>250</v>
      </c>
    </row>
    <row r="132" spans="2:9" ht="15.75" thickBot="1" x14ac:dyDescent="0.3">
      <c r="B132" s="251"/>
      <c r="C132" s="253"/>
      <c r="D132" s="259"/>
      <c r="E132" s="255"/>
      <c r="F132" s="257"/>
      <c r="G132" s="29">
        <v>0</v>
      </c>
      <c r="H132" s="29">
        <f>F131*G132</f>
        <v>0</v>
      </c>
      <c r="I132" s="257"/>
    </row>
    <row r="133" spans="2:9" ht="22.5" customHeight="1" thickBot="1" x14ac:dyDescent="0.3">
      <c r="B133" s="244" t="s">
        <v>111</v>
      </c>
      <c r="C133" s="245"/>
      <c r="D133" s="245"/>
      <c r="E133" s="245"/>
      <c r="F133" s="245"/>
      <c r="G133" s="245"/>
      <c r="H133" s="245"/>
      <c r="I133" s="246"/>
    </row>
    <row r="134" spans="2:9" ht="15.75" thickBot="1" x14ac:dyDescent="0.3">
      <c r="B134" s="244" t="s">
        <v>112</v>
      </c>
      <c r="C134" s="245"/>
      <c r="D134" s="245"/>
      <c r="E134" s="245"/>
      <c r="F134" s="245"/>
      <c r="G134" s="245"/>
      <c r="H134" s="245"/>
      <c r="I134" s="246"/>
    </row>
    <row r="135" spans="2:9" ht="22.5" customHeight="1" x14ac:dyDescent="0.25">
      <c r="B135" s="250">
        <v>58</v>
      </c>
      <c r="C135" s="252" t="s">
        <v>113</v>
      </c>
      <c r="D135" s="252" t="s">
        <v>114</v>
      </c>
      <c r="E135" s="254" t="s">
        <v>26</v>
      </c>
      <c r="F135" s="256">
        <v>1.448</v>
      </c>
      <c r="G135" s="30">
        <v>40.65</v>
      </c>
      <c r="H135" s="30">
        <f>F135*G135</f>
        <v>58.861199999999997</v>
      </c>
      <c r="I135" s="256" t="s">
        <v>230</v>
      </c>
    </row>
    <row r="136" spans="2:9" ht="15.75" thickBot="1" x14ac:dyDescent="0.3">
      <c r="B136" s="251"/>
      <c r="C136" s="253"/>
      <c r="D136" s="253"/>
      <c r="E136" s="255"/>
      <c r="F136" s="257"/>
      <c r="G136" s="29">
        <v>1.9</v>
      </c>
      <c r="H136" s="29">
        <f>F135*G136</f>
        <v>2.7511999999999999</v>
      </c>
      <c r="I136" s="257"/>
    </row>
    <row r="137" spans="2:9" ht="15" customHeight="1" thickBot="1" x14ac:dyDescent="0.3">
      <c r="B137" s="244" t="s">
        <v>115</v>
      </c>
      <c r="C137" s="245"/>
      <c r="D137" s="245"/>
      <c r="E137" s="245"/>
      <c r="F137" s="245"/>
      <c r="G137" s="245"/>
      <c r="H137" s="245"/>
      <c r="I137" s="246"/>
    </row>
    <row r="138" spans="2:9" x14ac:dyDescent="0.25">
      <c r="B138" s="250">
        <v>59</v>
      </c>
      <c r="C138" s="258" t="s">
        <v>124</v>
      </c>
      <c r="D138" s="252" t="s">
        <v>116</v>
      </c>
      <c r="E138" s="254" t="s">
        <v>26</v>
      </c>
      <c r="F138" s="256">
        <v>2.58</v>
      </c>
      <c r="G138" s="30">
        <v>33.9</v>
      </c>
      <c r="H138" s="30">
        <f>F138*G138</f>
        <v>87.462000000000003</v>
      </c>
      <c r="I138" s="256" t="s">
        <v>230</v>
      </c>
    </row>
    <row r="139" spans="2:9" ht="15" customHeight="1" thickBot="1" x14ac:dyDescent="0.3">
      <c r="B139" s="251"/>
      <c r="C139" s="259"/>
      <c r="D139" s="253"/>
      <c r="E139" s="255"/>
      <c r="F139" s="257"/>
      <c r="G139" s="29">
        <v>3.2</v>
      </c>
      <c r="H139" s="29">
        <f>F138*G139</f>
        <v>8.2560000000000002</v>
      </c>
      <c r="I139" s="257"/>
    </row>
    <row r="140" spans="2:9" x14ac:dyDescent="0.25">
      <c r="B140" s="250">
        <v>60</v>
      </c>
      <c r="C140" s="252" t="s">
        <v>113</v>
      </c>
      <c r="D140" s="252" t="s">
        <v>114</v>
      </c>
      <c r="E140" s="254" t="s">
        <v>26</v>
      </c>
      <c r="F140" s="256">
        <v>2.58</v>
      </c>
      <c r="G140" s="30">
        <v>40.65</v>
      </c>
      <c r="H140" s="30">
        <f>F140*G140</f>
        <v>104.877</v>
      </c>
      <c r="I140" s="256" t="s">
        <v>230</v>
      </c>
    </row>
    <row r="141" spans="2:9" ht="15.75" thickBot="1" x14ac:dyDescent="0.3">
      <c r="B141" s="251"/>
      <c r="C141" s="253"/>
      <c r="D141" s="253"/>
      <c r="E141" s="255"/>
      <c r="F141" s="257"/>
      <c r="G141" s="29">
        <v>1.9</v>
      </c>
      <c r="H141" s="29">
        <f>F140*G141</f>
        <v>4.9020000000000001</v>
      </c>
      <c r="I141" s="257"/>
    </row>
    <row r="142" spans="2:9" x14ac:dyDescent="0.25">
      <c r="B142" s="250">
        <v>61</v>
      </c>
      <c r="C142" s="252" t="s">
        <v>117</v>
      </c>
      <c r="D142" s="252" t="s">
        <v>118</v>
      </c>
      <c r="E142" s="254" t="s">
        <v>26</v>
      </c>
      <c r="F142" s="256">
        <v>2.58</v>
      </c>
      <c r="G142" s="30">
        <v>8.06</v>
      </c>
      <c r="H142" s="30">
        <f>F142*G142</f>
        <v>20.794800000000002</v>
      </c>
      <c r="I142" s="256" t="s">
        <v>251</v>
      </c>
    </row>
    <row r="143" spans="2:9" ht="15.75" customHeight="1" thickBot="1" x14ac:dyDescent="0.3">
      <c r="B143" s="251"/>
      <c r="C143" s="253"/>
      <c r="D143" s="253"/>
      <c r="E143" s="255"/>
      <c r="F143" s="257"/>
      <c r="G143" s="29">
        <v>0.97</v>
      </c>
      <c r="H143" s="29">
        <f>F142*G143</f>
        <v>2.5026000000000002</v>
      </c>
      <c r="I143" s="257"/>
    </row>
    <row r="144" spans="2:9" x14ac:dyDescent="0.25">
      <c r="B144" s="250">
        <v>62</v>
      </c>
      <c r="C144" s="252" t="s">
        <v>119</v>
      </c>
      <c r="D144" s="252" t="s">
        <v>120</v>
      </c>
      <c r="E144" s="254" t="s">
        <v>26</v>
      </c>
      <c r="F144" s="256">
        <v>2.58</v>
      </c>
      <c r="G144" s="30">
        <v>35.19</v>
      </c>
      <c r="H144" s="30">
        <f>F144*G144</f>
        <v>90.790199999999999</v>
      </c>
      <c r="I144" s="256" t="s">
        <v>251</v>
      </c>
    </row>
    <row r="145" spans="2:9" ht="15.75" thickBot="1" x14ac:dyDescent="0.3">
      <c r="B145" s="251"/>
      <c r="C145" s="253"/>
      <c r="D145" s="253"/>
      <c r="E145" s="255"/>
      <c r="F145" s="257"/>
      <c r="G145" s="29">
        <v>1.0900000000000001</v>
      </c>
      <c r="H145" s="29">
        <f>F144*G145</f>
        <v>2.8122000000000003</v>
      </c>
      <c r="I145" s="257"/>
    </row>
    <row r="146" spans="2:9" ht="15" customHeight="1" x14ac:dyDescent="0.25">
      <c r="B146" s="250">
        <v>63</v>
      </c>
      <c r="C146" s="252" t="s">
        <v>121</v>
      </c>
      <c r="D146" s="252" t="s">
        <v>122</v>
      </c>
      <c r="E146" s="254" t="s">
        <v>87</v>
      </c>
      <c r="F146" s="256">
        <v>0.15</v>
      </c>
      <c r="G146" s="30">
        <v>7.65</v>
      </c>
      <c r="H146" s="30">
        <f>F146*G146</f>
        <v>1.1475</v>
      </c>
      <c r="I146" s="256" t="s">
        <v>251</v>
      </c>
    </row>
    <row r="147" spans="2:9" ht="15.75" thickBot="1" x14ac:dyDescent="0.3">
      <c r="B147" s="251"/>
      <c r="C147" s="253"/>
      <c r="D147" s="253"/>
      <c r="E147" s="255"/>
      <c r="F147" s="257"/>
      <c r="G147" s="29">
        <v>0.08</v>
      </c>
      <c r="H147" s="29">
        <f>F146*G147</f>
        <v>1.2E-2</v>
      </c>
      <c r="I147" s="257"/>
    </row>
    <row r="148" spans="2:9" ht="15" customHeight="1" thickBot="1" x14ac:dyDescent="0.3">
      <c r="B148" s="244" t="s">
        <v>123</v>
      </c>
      <c r="C148" s="245"/>
      <c r="D148" s="245"/>
      <c r="E148" s="245"/>
      <c r="F148" s="245"/>
      <c r="G148" s="245"/>
      <c r="H148" s="245"/>
      <c r="I148" s="246"/>
    </row>
    <row r="149" spans="2:9" x14ac:dyDescent="0.25">
      <c r="B149" s="250">
        <v>64</v>
      </c>
      <c r="C149" s="252" t="s">
        <v>124</v>
      </c>
      <c r="D149" s="252" t="s">
        <v>116</v>
      </c>
      <c r="E149" s="254" t="s">
        <v>26</v>
      </c>
      <c r="F149" s="256">
        <v>0.35399999999999998</v>
      </c>
      <c r="G149" s="30">
        <v>33.9</v>
      </c>
      <c r="H149" s="30">
        <f>F149*G149</f>
        <v>12.000599999999999</v>
      </c>
      <c r="I149" s="256" t="s">
        <v>230</v>
      </c>
    </row>
    <row r="150" spans="2:9" ht="15" customHeight="1" thickBot="1" x14ac:dyDescent="0.3">
      <c r="B150" s="251"/>
      <c r="C150" s="253"/>
      <c r="D150" s="253"/>
      <c r="E150" s="255"/>
      <c r="F150" s="257"/>
      <c r="G150" s="29">
        <v>3.2</v>
      </c>
      <c r="H150" s="29">
        <f>F149*G150</f>
        <v>1.1328</v>
      </c>
      <c r="I150" s="257"/>
    </row>
    <row r="151" spans="2:9" x14ac:dyDescent="0.25">
      <c r="B151" s="250">
        <v>65</v>
      </c>
      <c r="C151" s="252" t="s">
        <v>113</v>
      </c>
      <c r="D151" s="252" t="s">
        <v>114</v>
      </c>
      <c r="E151" s="254" t="s">
        <v>26</v>
      </c>
      <c r="F151" s="256">
        <v>0.35399999999999998</v>
      </c>
      <c r="G151" s="30">
        <v>26.97</v>
      </c>
      <c r="H151" s="30">
        <f>F151*G151</f>
        <v>9.5473799999999986</v>
      </c>
      <c r="I151" s="256" t="s">
        <v>230</v>
      </c>
    </row>
    <row r="152" spans="2:9" ht="15" customHeight="1" thickBot="1" x14ac:dyDescent="0.3">
      <c r="B152" s="251"/>
      <c r="C152" s="253"/>
      <c r="D152" s="253"/>
      <c r="E152" s="255"/>
      <c r="F152" s="257"/>
      <c r="G152" s="29">
        <v>1.33</v>
      </c>
      <c r="H152" s="29">
        <f>F151*G152</f>
        <v>0.47082000000000002</v>
      </c>
      <c r="I152" s="257"/>
    </row>
    <row r="153" spans="2:9" x14ac:dyDescent="0.25">
      <c r="B153" s="250">
        <v>66</v>
      </c>
      <c r="C153" s="252" t="s">
        <v>125</v>
      </c>
      <c r="D153" s="252" t="s">
        <v>126</v>
      </c>
      <c r="E153" s="254" t="s">
        <v>26</v>
      </c>
      <c r="F153" s="256">
        <v>0.35399999999999998</v>
      </c>
      <c r="G153" s="30">
        <v>50.23</v>
      </c>
      <c r="H153" s="30">
        <f>F153*G153</f>
        <v>17.781419999999997</v>
      </c>
      <c r="I153" s="256" t="s">
        <v>230</v>
      </c>
    </row>
    <row r="154" spans="2:9" ht="15.75" customHeight="1" thickBot="1" x14ac:dyDescent="0.3">
      <c r="B154" s="251"/>
      <c r="C154" s="253"/>
      <c r="D154" s="253"/>
      <c r="E154" s="255"/>
      <c r="F154" s="257"/>
      <c r="G154" s="29">
        <v>1.9</v>
      </c>
      <c r="H154" s="29">
        <f>F153*G154</f>
        <v>0.67259999999999998</v>
      </c>
      <c r="I154" s="257"/>
    </row>
    <row r="155" spans="2:9" x14ac:dyDescent="0.25">
      <c r="B155" s="250">
        <v>67</v>
      </c>
      <c r="C155" s="252" t="s">
        <v>127</v>
      </c>
      <c r="D155" s="252" t="s">
        <v>128</v>
      </c>
      <c r="E155" s="254" t="s">
        <v>26</v>
      </c>
      <c r="F155" s="256">
        <v>0.35399999999999998</v>
      </c>
      <c r="G155" s="30">
        <v>40.65</v>
      </c>
      <c r="H155" s="30">
        <f>F155*G155</f>
        <v>14.390099999999999</v>
      </c>
      <c r="I155" s="256" t="s">
        <v>230</v>
      </c>
    </row>
    <row r="156" spans="2:9" ht="15.75" thickBot="1" x14ac:dyDescent="0.3">
      <c r="B156" s="251"/>
      <c r="C156" s="253"/>
      <c r="D156" s="253"/>
      <c r="E156" s="255"/>
      <c r="F156" s="257"/>
      <c r="G156" s="29">
        <v>1.9</v>
      </c>
      <c r="H156" s="29">
        <f>F155*G156</f>
        <v>0.67259999999999998</v>
      </c>
      <c r="I156" s="257"/>
    </row>
    <row r="157" spans="2:9" ht="15" customHeight="1" x14ac:dyDescent="0.25">
      <c r="B157" s="250">
        <v>68</v>
      </c>
      <c r="C157" s="252" t="s">
        <v>129</v>
      </c>
      <c r="D157" s="252" t="s">
        <v>130</v>
      </c>
      <c r="E157" s="254" t="s">
        <v>26</v>
      </c>
      <c r="F157" s="256">
        <v>0.35399999999999998</v>
      </c>
      <c r="G157" s="30">
        <v>163.16</v>
      </c>
      <c r="H157" s="30">
        <f>F157*G157</f>
        <v>57.758639999999993</v>
      </c>
      <c r="I157" s="256" t="s">
        <v>252</v>
      </c>
    </row>
    <row r="158" spans="2:9" ht="15.75" thickBot="1" x14ac:dyDescent="0.3">
      <c r="B158" s="251"/>
      <c r="C158" s="253"/>
      <c r="D158" s="253"/>
      <c r="E158" s="255"/>
      <c r="F158" s="257"/>
      <c r="G158" s="29">
        <v>0.19</v>
      </c>
      <c r="H158" s="29">
        <f>F157*G158</f>
        <v>6.726E-2</v>
      </c>
      <c r="I158" s="257"/>
    </row>
    <row r="159" spans="2:9" ht="15" customHeight="1" x14ac:dyDescent="0.25">
      <c r="B159" s="250">
        <v>69</v>
      </c>
      <c r="C159" s="252" t="s">
        <v>131</v>
      </c>
      <c r="D159" s="252" t="s">
        <v>132</v>
      </c>
      <c r="E159" s="254" t="s">
        <v>87</v>
      </c>
      <c r="F159" s="256">
        <v>0.12</v>
      </c>
      <c r="G159" s="30">
        <v>36.47</v>
      </c>
      <c r="H159" s="30">
        <f>F159*G159</f>
        <v>4.3763999999999994</v>
      </c>
      <c r="I159" s="256" t="s">
        <v>252</v>
      </c>
    </row>
    <row r="160" spans="2:9" ht="15.75" thickBot="1" x14ac:dyDescent="0.3">
      <c r="B160" s="251"/>
      <c r="C160" s="253"/>
      <c r="D160" s="253"/>
      <c r="E160" s="255"/>
      <c r="F160" s="257"/>
      <c r="G160" s="29">
        <v>2.8000000000000001E-2</v>
      </c>
      <c r="H160" s="29">
        <f>F159*G160</f>
        <v>3.3600000000000001E-3</v>
      </c>
      <c r="I160" s="257"/>
    </row>
    <row r="161" spans="2:9" ht="15.75" customHeight="1" thickBot="1" x14ac:dyDescent="0.3">
      <c r="B161" s="244" t="s">
        <v>133</v>
      </c>
      <c r="C161" s="245"/>
      <c r="D161" s="245"/>
      <c r="E161" s="245"/>
      <c r="F161" s="245"/>
      <c r="G161" s="245"/>
      <c r="H161" s="245"/>
      <c r="I161" s="246"/>
    </row>
    <row r="162" spans="2:9" x14ac:dyDescent="0.25">
      <c r="B162" s="250">
        <v>70</v>
      </c>
      <c r="C162" s="252" t="s">
        <v>124</v>
      </c>
      <c r="D162" s="252" t="s">
        <v>116</v>
      </c>
      <c r="E162" s="254" t="s">
        <v>26</v>
      </c>
      <c r="F162" s="256">
        <v>8.9600000000000009</v>
      </c>
      <c r="G162" s="30">
        <v>33.9</v>
      </c>
      <c r="H162" s="30">
        <f>F162*G162</f>
        <v>303.74400000000003</v>
      </c>
      <c r="I162" s="256" t="s">
        <v>230</v>
      </c>
    </row>
    <row r="163" spans="2:9" ht="15.75" customHeight="1" thickBot="1" x14ac:dyDescent="0.3">
      <c r="B163" s="251"/>
      <c r="C163" s="253"/>
      <c r="D163" s="253"/>
      <c r="E163" s="255"/>
      <c r="F163" s="257"/>
      <c r="G163" s="29">
        <v>3.2</v>
      </c>
      <c r="H163" s="29">
        <f>F162*G163</f>
        <v>28.672000000000004</v>
      </c>
      <c r="I163" s="257"/>
    </row>
    <row r="164" spans="2:9" x14ac:dyDescent="0.25">
      <c r="B164" s="250">
        <v>71</v>
      </c>
      <c r="C164" s="252" t="s">
        <v>113</v>
      </c>
      <c r="D164" s="252" t="s">
        <v>114</v>
      </c>
      <c r="E164" s="254" t="s">
        <v>26</v>
      </c>
      <c r="F164" s="256">
        <v>8.9600000000000009</v>
      </c>
      <c r="G164" s="30">
        <v>40.65</v>
      </c>
      <c r="H164" s="30">
        <f>F164*G164</f>
        <v>364.22400000000005</v>
      </c>
      <c r="I164" s="256" t="s">
        <v>230</v>
      </c>
    </row>
    <row r="165" spans="2:9" ht="15.75" customHeight="1" thickBot="1" x14ac:dyDescent="0.3">
      <c r="B165" s="251"/>
      <c r="C165" s="253"/>
      <c r="D165" s="253"/>
      <c r="E165" s="255"/>
      <c r="F165" s="257"/>
      <c r="G165" s="29">
        <v>1.9</v>
      </c>
      <c r="H165" s="29">
        <f>F164*G165</f>
        <v>17.024000000000001</v>
      </c>
      <c r="I165" s="257"/>
    </row>
    <row r="166" spans="2:9" x14ac:dyDescent="0.25">
      <c r="B166" s="250">
        <v>72</v>
      </c>
      <c r="C166" s="252" t="s">
        <v>134</v>
      </c>
      <c r="D166" s="252" t="s">
        <v>135</v>
      </c>
      <c r="E166" s="254" t="s">
        <v>26</v>
      </c>
      <c r="F166" s="256">
        <v>8.9600000000000009</v>
      </c>
      <c r="G166" s="30">
        <v>47.06</v>
      </c>
      <c r="H166" s="30">
        <f>F166*G166</f>
        <v>421.65760000000006</v>
      </c>
      <c r="I166" s="256" t="s">
        <v>251</v>
      </c>
    </row>
    <row r="167" spans="2:9" ht="15.75" customHeight="1" thickBot="1" x14ac:dyDescent="0.3">
      <c r="B167" s="251"/>
      <c r="C167" s="253"/>
      <c r="D167" s="253"/>
      <c r="E167" s="255"/>
      <c r="F167" s="257"/>
      <c r="G167" s="29">
        <v>0.7</v>
      </c>
      <c r="H167" s="29">
        <f>F166*G167</f>
        <v>6.2720000000000002</v>
      </c>
      <c r="I167" s="257"/>
    </row>
    <row r="168" spans="2:9" ht="15.75" thickBot="1" x14ac:dyDescent="0.3">
      <c r="B168" s="244" t="s">
        <v>136</v>
      </c>
      <c r="C168" s="245"/>
      <c r="D168" s="245"/>
      <c r="E168" s="245"/>
      <c r="F168" s="245"/>
      <c r="G168" s="245"/>
      <c r="H168" s="245"/>
      <c r="I168" s="246"/>
    </row>
    <row r="169" spans="2:9" x14ac:dyDescent="0.25">
      <c r="B169" s="250">
        <v>73</v>
      </c>
      <c r="C169" s="252" t="s">
        <v>113</v>
      </c>
      <c r="D169" s="252" t="s">
        <v>114</v>
      </c>
      <c r="E169" s="254" t="s">
        <v>26</v>
      </c>
      <c r="F169" s="256">
        <v>20.66</v>
      </c>
      <c r="G169" s="30">
        <v>40.65</v>
      </c>
      <c r="H169" s="30">
        <f>F169*G169</f>
        <v>839.82899999999995</v>
      </c>
      <c r="I169" s="256" t="s">
        <v>230</v>
      </c>
    </row>
    <row r="170" spans="2:9" ht="15.75" customHeight="1" thickBot="1" x14ac:dyDescent="0.3">
      <c r="B170" s="251"/>
      <c r="C170" s="253"/>
      <c r="D170" s="253"/>
      <c r="E170" s="255"/>
      <c r="F170" s="257"/>
      <c r="G170" s="29">
        <v>1.9</v>
      </c>
      <c r="H170" s="29">
        <f>F169*G170</f>
        <v>39.253999999999998</v>
      </c>
      <c r="I170" s="257"/>
    </row>
    <row r="171" spans="2:9" x14ac:dyDescent="0.25">
      <c r="B171" s="250">
        <v>74</v>
      </c>
      <c r="C171" s="252" t="s">
        <v>117</v>
      </c>
      <c r="D171" s="252" t="s">
        <v>118</v>
      </c>
      <c r="E171" s="254" t="s">
        <v>26</v>
      </c>
      <c r="F171" s="256">
        <v>20.66</v>
      </c>
      <c r="G171" s="30">
        <v>8.06</v>
      </c>
      <c r="H171" s="30">
        <f>F171*G171</f>
        <v>166.51960000000003</v>
      </c>
      <c r="I171" s="256" t="s">
        <v>251</v>
      </c>
    </row>
    <row r="172" spans="2:9" ht="15.75" customHeight="1" thickBot="1" x14ac:dyDescent="0.3">
      <c r="B172" s="251"/>
      <c r="C172" s="253"/>
      <c r="D172" s="253"/>
      <c r="E172" s="255"/>
      <c r="F172" s="257"/>
      <c r="G172" s="29">
        <v>0.97</v>
      </c>
      <c r="H172" s="29">
        <f>F171*G172</f>
        <v>20.040199999999999</v>
      </c>
      <c r="I172" s="257"/>
    </row>
    <row r="173" spans="2:9" x14ac:dyDescent="0.25">
      <c r="B173" s="250">
        <v>75</v>
      </c>
      <c r="C173" s="252" t="s">
        <v>119</v>
      </c>
      <c r="D173" s="252" t="s">
        <v>120</v>
      </c>
      <c r="E173" s="254" t="s">
        <v>26</v>
      </c>
      <c r="F173" s="256">
        <v>20.66</v>
      </c>
      <c r="G173" s="30">
        <v>35.19</v>
      </c>
      <c r="H173" s="30">
        <f>F173*G173</f>
        <v>727.02539999999999</v>
      </c>
      <c r="I173" s="256" t="s">
        <v>251</v>
      </c>
    </row>
    <row r="174" spans="2:9" ht="15.75" customHeight="1" thickBot="1" x14ac:dyDescent="0.3">
      <c r="B174" s="251"/>
      <c r="C174" s="253"/>
      <c r="D174" s="253"/>
      <c r="E174" s="255"/>
      <c r="F174" s="257"/>
      <c r="G174" s="29">
        <v>1.0900000000000001</v>
      </c>
      <c r="H174" s="29">
        <f>F173*G174</f>
        <v>22.519400000000001</v>
      </c>
      <c r="I174" s="257"/>
    </row>
    <row r="175" spans="2:9" x14ac:dyDescent="0.25">
      <c r="B175" s="250">
        <v>76</v>
      </c>
      <c r="C175" s="252" t="s">
        <v>121</v>
      </c>
      <c r="D175" s="252" t="s">
        <v>122</v>
      </c>
      <c r="E175" s="254" t="s">
        <v>87</v>
      </c>
      <c r="F175" s="256">
        <v>1.2</v>
      </c>
      <c r="G175" s="30">
        <v>7.65</v>
      </c>
      <c r="H175" s="30">
        <f>F175*G175</f>
        <v>9.18</v>
      </c>
      <c r="I175" s="256" t="s">
        <v>251</v>
      </c>
    </row>
    <row r="176" spans="2:9" ht="15.75" thickBot="1" x14ac:dyDescent="0.3">
      <c r="B176" s="251"/>
      <c r="C176" s="253"/>
      <c r="D176" s="253"/>
      <c r="E176" s="255"/>
      <c r="F176" s="257"/>
      <c r="G176" s="29">
        <v>0.08</v>
      </c>
      <c r="H176" s="29">
        <f>F175*G176</f>
        <v>9.6000000000000002E-2</v>
      </c>
      <c r="I176" s="257"/>
    </row>
    <row r="177" spans="2:9" ht="15" customHeight="1" thickBot="1" x14ac:dyDescent="0.3">
      <c r="B177" s="244" t="s">
        <v>137</v>
      </c>
      <c r="C177" s="245"/>
      <c r="D177" s="245"/>
      <c r="E177" s="245"/>
      <c r="F177" s="245"/>
      <c r="G177" s="245"/>
      <c r="H177" s="245"/>
      <c r="I177" s="246"/>
    </row>
    <row r="178" spans="2:9" x14ac:dyDescent="0.25">
      <c r="B178" s="250">
        <v>77</v>
      </c>
      <c r="C178" s="252" t="s">
        <v>113</v>
      </c>
      <c r="D178" s="252" t="s">
        <v>114</v>
      </c>
      <c r="E178" s="254" t="s">
        <v>26</v>
      </c>
      <c r="F178" s="256">
        <v>4.96</v>
      </c>
      <c r="G178" s="30">
        <v>40.65</v>
      </c>
      <c r="H178" s="30">
        <f>F178*G178</f>
        <v>201.624</v>
      </c>
      <c r="I178" s="256" t="s">
        <v>230</v>
      </c>
    </row>
    <row r="179" spans="2:9" ht="15" customHeight="1" thickBot="1" x14ac:dyDescent="0.3">
      <c r="B179" s="251"/>
      <c r="C179" s="253"/>
      <c r="D179" s="253"/>
      <c r="E179" s="255"/>
      <c r="F179" s="257"/>
      <c r="G179" s="29">
        <v>1.9</v>
      </c>
      <c r="H179" s="29">
        <f>F178*G179</f>
        <v>9.4239999999999995</v>
      </c>
      <c r="I179" s="257"/>
    </row>
    <row r="180" spans="2:9" x14ac:dyDescent="0.25">
      <c r="B180" s="250">
        <v>78</v>
      </c>
      <c r="C180" s="252" t="s">
        <v>125</v>
      </c>
      <c r="D180" s="252" t="s">
        <v>126</v>
      </c>
      <c r="E180" s="254" t="s">
        <v>26</v>
      </c>
      <c r="F180" s="256">
        <v>4.96</v>
      </c>
      <c r="G180" s="30">
        <v>26.97</v>
      </c>
      <c r="H180" s="30">
        <f>F180*G180</f>
        <v>133.77119999999999</v>
      </c>
      <c r="I180" s="256" t="s">
        <v>230</v>
      </c>
    </row>
    <row r="181" spans="2:9" ht="15.75" customHeight="1" thickBot="1" x14ac:dyDescent="0.3">
      <c r="B181" s="251"/>
      <c r="C181" s="253"/>
      <c r="D181" s="253"/>
      <c r="E181" s="255"/>
      <c r="F181" s="257"/>
      <c r="G181" s="29">
        <v>1.33</v>
      </c>
      <c r="H181" s="29">
        <f>F180*G181</f>
        <v>6.5968</v>
      </c>
      <c r="I181" s="257"/>
    </row>
    <row r="182" spans="2:9" x14ac:dyDescent="0.25">
      <c r="B182" s="250">
        <v>79</v>
      </c>
      <c r="C182" s="252" t="s">
        <v>127</v>
      </c>
      <c r="D182" s="252" t="s">
        <v>128</v>
      </c>
      <c r="E182" s="254" t="s">
        <v>26</v>
      </c>
      <c r="F182" s="256">
        <v>4.96</v>
      </c>
      <c r="G182" s="30">
        <v>50.23</v>
      </c>
      <c r="H182" s="30">
        <f>F182*G182</f>
        <v>249.14079999999998</v>
      </c>
      <c r="I182" s="256" t="s">
        <v>230</v>
      </c>
    </row>
    <row r="183" spans="2:9" ht="15.75" customHeight="1" thickBot="1" x14ac:dyDescent="0.3">
      <c r="B183" s="251"/>
      <c r="C183" s="253"/>
      <c r="D183" s="253"/>
      <c r="E183" s="255"/>
      <c r="F183" s="257"/>
      <c r="G183" s="29">
        <v>1.9</v>
      </c>
      <c r="H183" s="29">
        <f>F182*G183</f>
        <v>9.4239999999999995</v>
      </c>
      <c r="I183" s="257"/>
    </row>
    <row r="184" spans="2:9" x14ac:dyDescent="0.25">
      <c r="B184" s="250">
        <v>80</v>
      </c>
      <c r="C184" s="252" t="s">
        <v>129</v>
      </c>
      <c r="D184" s="252" t="s">
        <v>130</v>
      </c>
      <c r="E184" s="254" t="s">
        <v>26</v>
      </c>
      <c r="F184" s="256">
        <v>4.96</v>
      </c>
      <c r="G184" s="30">
        <v>163.16</v>
      </c>
      <c r="H184" s="30">
        <f>F184*G184</f>
        <v>809.27359999999999</v>
      </c>
      <c r="I184" s="256" t="s">
        <v>252</v>
      </c>
    </row>
    <row r="185" spans="2:9" ht="15.75" thickBot="1" x14ac:dyDescent="0.3">
      <c r="B185" s="251"/>
      <c r="C185" s="253"/>
      <c r="D185" s="253"/>
      <c r="E185" s="255"/>
      <c r="F185" s="257"/>
      <c r="G185" s="29">
        <v>0.19</v>
      </c>
      <c r="H185" s="29">
        <f>F184*G185</f>
        <v>0.94240000000000002</v>
      </c>
      <c r="I185" s="257"/>
    </row>
    <row r="186" spans="2:9" ht="15.75" customHeight="1" x14ac:dyDescent="0.25">
      <c r="B186" s="250">
        <v>81</v>
      </c>
      <c r="C186" s="252" t="s">
        <v>131</v>
      </c>
      <c r="D186" s="252" t="s">
        <v>132</v>
      </c>
      <c r="E186" s="254" t="s">
        <v>87</v>
      </c>
      <c r="F186" s="256">
        <v>4</v>
      </c>
      <c r="G186" s="30">
        <v>36.47</v>
      </c>
      <c r="H186" s="30">
        <f>F186*G186</f>
        <v>145.88</v>
      </c>
      <c r="I186" s="256" t="s">
        <v>252</v>
      </c>
    </row>
    <row r="187" spans="2:9" ht="22.5" customHeight="1" thickBot="1" x14ac:dyDescent="0.3">
      <c r="B187" s="251"/>
      <c r="C187" s="253"/>
      <c r="D187" s="253"/>
      <c r="E187" s="255"/>
      <c r="F187" s="257"/>
      <c r="G187" s="29">
        <v>2.8000000000000001E-2</v>
      </c>
      <c r="H187" s="29">
        <f>F186*G187</f>
        <v>0.112</v>
      </c>
      <c r="I187" s="257"/>
    </row>
    <row r="188" spans="2:9" ht="15.75" customHeight="1" thickBot="1" x14ac:dyDescent="0.3">
      <c r="B188" s="244" t="s">
        <v>138</v>
      </c>
      <c r="C188" s="245"/>
      <c r="D188" s="245"/>
      <c r="E188" s="245"/>
      <c r="F188" s="245"/>
      <c r="G188" s="245"/>
      <c r="H188" s="245"/>
      <c r="I188" s="246"/>
    </row>
    <row r="189" spans="2:9" x14ac:dyDescent="0.25">
      <c r="B189" s="250">
        <v>82</v>
      </c>
      <c r="C189" s="252" t="s">
        <v>113</v>
      </c>
      <c r="D189" s="252" t="s">
        <v>114</v>
      </c>
      <c r="E189" s="254" t="s">
        <v>26</v>
      </c>
      <c r="F189" s="256">
        <v>71.680000000000007</v>
      </c>
      <c r="G189" s="30">
        <v>40.65</v>
      </c>
      <c r="H189" s="30">
        <f>F189*G189</f>
        <v>2913.7920000000004</v>
      </c>
      <c r="I189" s="256" t="s">
        <v>230</v>
      </c>
    </row>
    <row r="190" spans="2:9" ht="15.75" customHeight="1" thickBot="1" x14ac:dyDescent="0.3">
      <c r="B190" s="251"/>
      <c r="C190" s="253"/>
      <c r="D190" s="253"/>
      <c r="E190" s="255"/>
      <c r="F190" s="257"/>
      <c r="G190" s="29">
        <v>1.9</v>
      </c>
      <c r="H190" s="29">
        <f>F189*G190</f>
        <v>136.19200000000001</v>
      </c>
      <c r="I190" s="257"/>
    </row>
    <row r="191" spans="2:9" x14ac:dyDescent="0.25">
      <c r="B191" s="250">
        <v>83</v>
      </c>
      <c r="C191" s="252" t="s">
        <v>134</v>
      </c>
      <c r="D191" s="252" t="s">
        <v>135</v>
      </c>
      <c r="E191" s="254" t="s">
        <v>26</v>
      </c>
      <c r="F191" s="256">
        <v>71.680000000000007</v>
      </c>
      <c r="G191" s="30">
        <v>47.06</v>
      </c>
      <c r="H191" s="30">
        <f>F191*G191</f>
        <v>3373.2608000000005</v>
      </c>
      <c r="I191" s="256" t="s">
        <v>251</v>
      </c>
    </row>
    <row r="192" spans="2:9" ht="15.75" customHeight="1" thickBot="1" x14ac:dyDescent="0.3">
      <c r="B192" s="251"/>
      <c r="C192" s="253"/>
      <c r="D192" s="253"/>
      <c r="E192" s="255"/>
      <c r="F192" s="257"/>
      <c r="G192" s="29">
        <v>0.7</v>
      </c>
      <c r="H192" s="29">
        <f>F191*G192</f>
        <v>50.176000000000002</v>
      </c>
      <c r="I192" s="257"/>
    </row>
    <row r="193" spans="2:9" ht="15.75" thickBot="1" x14ac:dyDescent="0.3">
      <c r="B193" s="244" t="s">
        <v>139</v>
      </c>
      <c r="C193" s="245"/>
      <c r="D193" s="245"/>
      <c r="E193" s="245"/>
      <c r="F193" s="245"/>
      <c r="G193" s="245"/>
      <c r="H193" s="245"/>
      <c r="I193" s="246"/>
    </row>
    <row r="194" spans="2:9" ht="22.5" customHeight="1" x14ac:dyDescent="0.25">
      <c r="B194" s="250">
        <v>84</v>
      </c>
      <c r="C194" s="252" t="s">
        <v>140</v>
      </c>
      <c r="D194" s="252" t="s">
        <v>199</v>
      </c>
      <c r="E194" s="254" t="s">
        <v>15</v>
      </c>
      <c r="F194" s="256">
        <v>1.1200000000000001</v>
      </c>
      <c r="G194" s="30">
        <v>137.22999999999999</v>
      </c>
      <c r="H194" s="30">
        <f>F194*G194</f>
        <v>153.69759999999999</v>
      </c>
      <c r="I194" s="256" t="s">
        <v>253</v>
      </c>
    </row>
    <row r="195" spans="2:9" ht="15.75" thickBot="1" x14ac:dyDescent="0.3">
      <c r="B195" s="251"/>
      <c r="C195" s="253"/>
      <c r="D195" s="253"/>
      <c r="E195" s="255"/>
      <c r="F195" s="257"/>
      <c r="G195" s="29">
        <v>0</v>
      </c>
      <c r="H195" s="29">
        <f>F194*G195</f>
        <v>0</v>
      </c>
      <c r="I195" s="257"/>
    </row>
    <row r="196" spans="2:9" x14ac:dyDescent="0.25">
      <c r="B196" s="250">
        <v>85</v>
      </c>
      <c r="C196" s="252" t="s">
        <v>141</v>
      </c>
      <c r="D196" s="252" t="s">
        <v>142</v>
      </c>
      <c r="E196" s="254" t="s">
        <v>18</v>
      </c>
      <c r="F196" s="256">
        <v>26.5</v>
      </c>
      <c r="G196" s="30">
        <v>3.41</v>
      </c>
      <c r="H196" s="30">
        <f>F196*G196</f>
        <v>90.365000000000009</v>
      </c>
      <c r="I196" s="256" t="s">
        <v>253</v>
      </c>
    </row>
    <row r="197" spans="2:9" ht="15" customHeight="1" thickBot="1" x14ac:dyDescent="0.3">
      <c r="B197" s="251"/>
      <c r="C197" s="253"/>
      <c r="D197" s="253"/>
      <c r="E197" s="255"/>
      <c r="F197" s="257"/>
      <c r="G197" s="29">
        <v>0.22</v>
      </c>
      <c r="H197" s="29">
        <f>F196*G197</f>
        <v>5.83</v>
      </c>
      <c r="I197" s="257"/>
    </row>
    <row r="198" spans="2:9" ht="23.25" customHeight="1" x14ac:dyDescent="0.25">
      <c r="B198" s="250">
        <v>86</v>
      </c>
      <c r="C198" s="252" t="s">
        <v>143</v>
      </c>
      <c r="D198" s="252" t="s">
        <v>144</v>
      </c>
      <c r="E198" s="254" t="s">
        <v>18</v>
      </c>
      <c r="F198" s="256">
        <v>23.2</v>
      </c>
      <c r="G198" s="30">
        <v>3.73</v>
      </c>
      <c r="H198" s="30">
        <f>F198*G198</f>
        <v>86.536000000000001</v>
      </c>
      <c r="I198" s="256" t="s">
        <v>253</v>
      </c>
    </row>
    <row r="199" spans="2:9" ht="15" customHeight="1" thickBot="1" x14ac:dyDescent="0.3">
      <c r="B199" s="251"/>
      <c r="C199" s="253"/>
      <c r="D199" s="253"/>
      <c r="E199" s="255"/>
      <c r="F199" s="257"/>
      <c r="G199" s="29">
        <v>0.46</v>
      </c>
      <c r="H199" s="29">
        <f>F198*G199</f>
        <v>10.672000000000001</v>
      </c>
      <c r="I199" s="257"/>
    </row>
    <row r="200" spans="2:9" x14ac:dyDescent="0.25">
      <c r="B200" s="250">
        <v>87</v>
      </c>
      <c r="C200" s="252" t="s">
        <v>145</v>
      </c>
      <c r="D200" s="252" t="s">
        <v>146</v>
      </c>
      <c r="E200" s="254" t="s">
        <v>26</v>
      </c>
      <c r="F200" s="256">
        <v>0.16</v>
      </c>
      <c r="G200" s="30">
        <v>16.16</v>
      </c>
      <c r="H200" s="30">
        <f>F200*G200</f>
        <v>2.5855999999999999</v>
      </c>
      <c r="I200" s="256" t="s">
        <v>230</v>
      </c>
    </row>
    <row r="201" spans="2:9" ht="15.75" thickBot="1" x14ac:dyDescent="0.3">
      <c r="B201" s="251"/>
      <c r="C201" s="253"/>
      <c r="D201" s="253"/>
      <c r="E201" s="255"/>
      <c r="F201" s="257"/>
      <c r="G201" s="29">
        <v>3.27</v>
      </c>
      <c r="H201" s="29">
        <f>F200*G201</f>
        <v>0.5232</v>
      </c>
      <c r="I201" s="257"/>
    </row>
    <row r="202" spans="2:9" x14ac:dyDescent="0.25">
      <c r="B202" s="250">
        <v>88</v>
      </c>
      <c r="C202" s="252" t="s">
        <v>147</v>
      </c>
      <c r="D202" s="252" t="s">
        <v>148</v>
      </c>
      <c r="E202" s="254" t="s">
        <v>149</v>
      </c>
      <c r="F202" s="256">
        <v>66.33</v>
      </c>
      <c r="G202" s="30">
        <v>1.67</v>
      </c>
      <c r="H202" s="30">
        <f>F202*G202</f>
        <v>110.77109999999999</v>
      </c>
      <c r="I202" s="256" t="s">
        <v>230</v>
      </c>
    </row>
    <row r="203" spans="2:9" ht="15.75" thickBot="1" x14ac:dyDescent="0.3">
      <c r="B203" s="251"/>
      <c r="C203" s="253"/>
      <c r="D203" s="253"/>
      <c r="E203" s="255"/>
      <c r="F203" s="257"/>
      <c r="G203" s="29">
        <v>0.11</v>
      </c>
      <c r="H203" s="29">
        <f>F202*G203</f>
        <v>7.2962999999999996</v>
      </c>
      <c r="I203" s="257"/>
    </row>
    <row r="204" spans="2:9" x14ac:dyDescent="0.25">
      <c r="B204" s="250">
        <v>89</v>
      </c>
      <c r="C204" s="252" t="s">
        <v>57</v>
      </c>
      <c r="D204" s="252" t="s">
        <v>150</v>
      </c>
      <c r="E204" s="254" t="s">
        <v>26</v>
      </c>
      <c r="F204" s="256">
        <v>0.16</v>
      </c>
      <c r="G204" s="30">
        <v>17.510000000000002</v>
      </c>
      <c r="H204" s="30">
        <f>F204*G204</f>
        <v>2.8016000000000001</v>
      </c>
      <c r="I204" s="256" t="s">
        <v>228</v>
      </c>
    </row>
    <row r="205" spans="2:9" ht="15.75" thickBot="1" x14ac:dyDescent="0.3">
      <c r="B205" s="251"/>
      <c r="C205" s="253"/>
      <c r="D205" s="253"/>
      <c r="E205" s="255"/>
      <c r="F205" s="257"/>
      <c r="G205" s="29">
        <v>1.3</v>
      </c>
      <c r="H205" s="29">
        <f>F204*G205</f>
        <v>0.20800000000000002</v>
      </c>
      <c r="I205" s="257"/>
    </row>
    <row r="206" spans="2:9" x14ac:dyDescent="0.25">
      <c r="B206" s="250">
        <v>90</v>
      </c>
      <c r="C206" s="252" t="s">
        <v>151</v>
      </c>
      <c r="D206" s="252" t="s">
        <v>152</v>
      </c>
      <c r="E206" s="254" t="s">
        <v>87</v>
      </c>
      <c r="F206" s="256">
        <v>0.30499999999999999</v>
      </c>
      <c r="G206" s="30">
        <v>26.1</v>
      </c>
      <c r="H206" s="30">
        <f>F206*G206</f>
        <v>7.9605000000000006</v>
      </c>
      <c r="I206" s="256" t="s">
        <v>228</v>
      </c>
    </row>
    <row r="207" spans="2:9" ht="15.75" thickBot="1" x14ac:dyDescent="0.3">
      <c r="B207" s="251"/>
      <c r="C207" s="253"/>
      <c r="D207" s="253"/>
      <c r="E207" s="255"/>
      <c r="F207" s="257"/>
      <c r="G207" s="29">
        <v>1.1599999999999999</v>
      </c>
      <c r="H207" s="29">
        <f>F206*G207</f>
        <v>0.35379999999999995</v>
      </c>
      <c r="I207" s="257"/>
    </row>
    <row r="208" spans="2:9" x14ac:dyDescent="0.25">
      <c r="B208" s="272" t="s">
        <v>170</v>
      </c>
      <c r="C208" s="273"/>
      <c r="D208" s="273"/>
      <c r="E208" s="273"/>
      <c r="F208" s="273"/>
      <c r="G208" s="274"/>
      <c r="H208" s="34">
        <f>H7+H9+H11+H13+H15+H17+H20+H22+H24+H26+H28+H30+H32+H34+H36+H38+H40+H42+H46+H48+H50+H52+H54+H56+H59+H61+H63+H66+H68+H70+H73+H75+H77+H80+H82+H85+H87+H89+H91+H93+H96+H98+H100+H102+H104+H106+H108+H111+H114+H116+H119+H121+H123+H125+H127+H129+H131+H135+H138+H140+H142+H144+H146+H149+H151+H153+H155+H157+H159+H162+H164+H166+H169+H171+H173+H175+H180+H178+H182+H184+H186+H189+H191+H194+H196+H198+H200+H202+H204+H206</f>
        <v>142885.03078099998</v>
      </c>
      <c r="I208" s="256"/>
    </row>
    <row r="209" spans="2:9" ht="15.75" thickBot="1" x14ac:dyDescent="0.3">
      <c r="B209" s="275"/>
      <c r="C209" s="276"/>
      <c r="D209" s="276"/>
      <c r="E209" s="276"/>
      <c r="F209" s="276"/>
      <c r="G209" s="277"/>
      <c r="H209" s="29">
        <f>H8+H10+H12+H14+H16+H18+H21+H23+H25+H27+H29+H31+H33+H35+H37+H39+H41+H43+H47+H49+H51+H53+H55+H57+H60+H62+H64+H67+H69+H71+H74+H76+H78+H81+H83+H86+H88+H90+H92+H94+H97+H99+H101+H103+H105+H107+H109+H112+H115+H117+H120+H122+H124+H126+H128+H130+H132+H136+H139+H141+H143+H145+H147+H150+H152+H154+H156+H158+H160+H163+H165+H167+H170+H172+H174+H176+H179+H181+H183+H185+H187+H190+H192+H195+H197+H199+H201+H203+H205+H207</f>
        <v>5498.1662429999969</v>
      </c>
      <c r="I209" s="257"/>
    </row>
    <row r="210" spans="2:9" ht="15.75" thickBot="1" x14ac:dyDescent="0.3">
      <c r="B210" s="244" t="s">
        <v>171</v>
      </c>
      <c r="C210" s="245"/>
      <c r="D210" s="245"/>
      <c r="E210" s="245"/>
      <c r="F210" s="245"/>
      <c r="G210" s="246"/>
      <c r="H210" s="29">
        <f>H208*0.1</f>
        <v>14288.503078099999</v>
      </c>
      <c r="I210" s="29"/>
    </row>
    <row r="211" spans="2:9" ht="15.75" thickBot="1" x14ac:dyDescent="0.3">
      <c r="B211" s="244" t="s">
        <v>172</v>
      </c>
      <c r="C211" s="245"/>
      <c r="D211" s="245"/>
      <c r="E211" s="245"/>
      <c r="F211" s="245"/>
      <c r="G211" s="246"/>
      <c r="H211" s="29">
        <f>H208*0.08</f>
        <v>11430.802462479998</v>
      </c>
      <c r="I211" s="29"/>
    </row>
    <row r="212" spans="2:9" ht="15.75" thickBot="1" x14ac:dyDescent="0.3">
      <c r="B212" s="244" t="s">
        <v>173</v>
      </c>
      <c r="C212" s="245"/>
      <c r="D212" s="245"/>
      <c r="E212" s="245"/>
      <c r="F212" s="245"/>
      <c r="G212" s="246"/>
      <c r="H212" s="29">
        <f>H208*0.02</f>
        <v>2857.7006156199996</v>
      </c>
      <c r="I212" s="29"/>
    </row>
    <row r="213" spans="2:9" ht="15.75" thickBot="1" x14ac:dyDescent="0.3">
      <c r="B213" s="247" t="s">
        <v>174</v>
      </c>
      <c r="C213" s="248"/>
      <c r="D213" s="248"/>
      <c r="E213" s="248"/>
      <c r="F213" s="248"/>
      <c r="G213" s="249"/>
      <c r="H213" s="29">
        <f>SUM(H210:H212)+H208</f>
        <v>171462.03693719997</v>
      </c>
      <c r="I213" s="29"/>
    </row>
    <row r="214" spans="2:9" ht="15.75" thickBot="1" x14ac:dyDescent="0.3">
      <c r="B214" s="244" t="s">
        <v>175</v>
      </c>
      <c r="C214" s="245"/>
      <c r="D214" s="245"/>
      <c r="E214" s="245"/>
      <c r="F214" s="245"/>
      <c r="G214" s="246"/>
      <c r="H214" s="29" t="s">
        <v>212</v>
      </c>
      <c r="I214" s="29"/>
    </row>
    <row r="215" spans="2:9" ht="15.75" thickBot="1" x14ac:dyDescent="0.3">
      <c r="B215" s="244" t="s">
        <v>176</v>
      </c>
      <c r="C215" s="245"/>
      <c r="D215" s="245"/>
      <c r="E215" s="245"/>
      <c r="F215" s="245"/>
      <c r="G215" s="246"/>
      <c r="H215" s="29" t="s">
        <v>212</v>
      </c>
      <c r="I215" s="29"/>
    </row>
    <row r="216" spans="2:9" ht="15.75" thickBot="1" x14ac:dyDescent="0.3">
      <c r="B216" s="244" t="s">
        <v>177</v>
      </c>
      <c r="C216" s="245"/>
      <c r="D216" s="245"/>
      <c r="E216" s="245"/>
      <c r="F216" s="245"/>
      <c r="G216" s="246"/>
      <c r="H216" s="28">
        <f>H213*0.03</f>
        <v>5143.8611081159988</v>
      </c>
      <c r="I216" s="29"/>
    </row>
    <row r="217" spans="2:9" ht="15.75" thickBot="1" x14ac:dyDescent="0.3">
      <c r="B217" s="247" t="s">
        <v>174</v>
      </c>
      <c r="C217" s="248"/>
      <c r="D217" s="248"/>
      <c r="E217" s="248"/>
      <c r="F217" s="248"/>
      <c r="G217" s="249"/>
      <c r="H217" s="28">
        <f>H213+H216</f>
        <v>176605.89804531596</v>
      </c>
      <c r="I217" s="29"/>
    </row>
    <row r="218" spans="2:9" ht="15.75" thickBot="1" x14ac:dyDescent="0.3">
      <c r="B218" s="244" t="s">
        <v>166</v>
      </c>
      <c r="C218" s="245"/>
      <c r="D218" s="245"/>
      <c r="E218" s="245"/>
      <c r="F218" s="245"/>
      <c r="G218" s="246"/>
      <c r="H218" s="28">
        <f>H217*0.12</f>
        <v>21192.707765437914</v>
      </c>
      <c r="I218" s="29"/>
    </row>
    <row r="219" spans="2:9" ht="15.75" thickBot="1" x14ac:dyDescent="0.3">
      <c r="B219" s="247" t="s">
        <v>174</v>
      </c>
      <c r="C219" s="248"/>
      <c r="D219" s="248"/>
      <c r="E219" s="248"/>
      <c r="F219" s="248"/>
      <c r="G219" s="249"/>
      <c r="H219" s="28">
        <f>H218+H217</f>
        <v>197798.60581075388</v>
      </c>
      <c r="I219" s="29"/>
    </row>
    <row r="220" spans="2:9" ht="15.75" thickBot="1" x14ac:dyDescent="0.3">
      <c r="B220" s="244" t="s">
        <v>178</v>
      </c>
      <c r="C220" s="245"/>
      <c r="D220" s="245"/>
      <c r="E220" s="245"/>
      <c r="F220" s="245"/>
      <c r="G220" s="246"/>
      <c r="H220" s="28">
        <f>H219*0.06</f>
        <v>11867.916348645233</v>
      </c>
      <c r="I220" s="29"/>
    </row>
    <row r="221" spans="2:9" ht="15.75" thickBot="1" x14ac:dyDescent="0.3">
      <c r="B221" s="244" t="s">
        <v>164</v>
      </c>
      <c r="C221" s="245"/>
      <c r="D221" s="245"/>
      <c r="E221" s="245"/>
      <c r="F221" s="245"/>
      <c r="G221" s="246"/>
      <c r="H221" s="28">
        <f>H219*0.01</f>
        <v>1977.9860581075388</v>
      </c>
      <c r="I221" s="29"/>
    </row>
    <row r="222" spans="2:9" ht="15.75" thickBot="1" x14ac:dyDescent="0.3">
      <c r="B222" s="247" t="s">
        <v>174</v>
      </c>
      <c r="C222" s="248"/>
      <c r="D222" s="248"/>
      <c r="E222" s="248"/>
      <c r="F222" s="248"/>
      <c r="G222" s="249"/>
      <c r="H222" s="41">
        <f>H221+H220+H219</f>
        <v>211644.50821750666</v>
      </c>
      <c r="I222" s="67"/>
    </row>
    <row r="223" spans="2:9" x14ac:dyDescent="0.25">
      <c r="B223" s="44"/>
      <c r="C223" s="44"/>
      <c r="D223" s="44"/>
      <c r="E223" s="68"/>
      <c r="F223" s="68"/>
      <c r="G223" s="68"/>
      <c r="H223" s="23"/>
      <c r="I223" s="69"/>
    </row>
    <row r="224" spans="2:9" x14ac:dyDescent="0.25">
      <c r="B224" s="43"/>
      <c r="C224" s="43"/>
      <c r="D224" s="43"/>
      <c r="E224" s="70"/>
      <c r="F224" s="70"/>
      <c r="G224" s="70"/>
      <c r="H224" s="23"/>
      <c r="I224" s="69"/>
    </row>
    <row r="225" spans="2:10" x14ac:dyDescent="0.25">
      <c r="B225" s="43"/>
      <c r="C225" s="43"/>
      <c r="D225" s="43"/>
      <c r="E225" s="70"/>
      <c r="F225" s="70"/>
      <c r="G225" s="70"/>
      <c r="H225" s="23"/>
      <c r="I225" s="69"/>
    </row>
    <row r="226" spans="2:10" x14ac:dyDescent="0.25">
      <c r="B226" s="43"/>
      <c r="C226" s="43"/>
      <c r="D226" s="43"/>
      <c r="E226" s="70"/>
      <c r="F226" s="70"/>
      <c r="G226" s="70"/>
      <c r="H226" s="23"/>
      <c r="I226" s="69"/>
    </row>
    <row r="227" spans="2:10" x14ac:dyDescent="0.25">
      <c r="B227" s="24"/>
      <c r="C227" s="24"/>
      <c r="D227" s="24"/>
      <c r="E227" s="25"/>
      <c r="F227" s="25"/>
      <c r="G227" s="25"/>
      <c r="H227" s="25"/>
      <c r="I227" s="25"/>
    </row>
    <row r="233" spans="2:10" ht="15.75" thickBot="1" x14ac:dyDescent="0.3"/>
    <row r="234" spans="2:10" ht="31.5" customHeight="1" x14ac:dyDescent="0.25">
      <c r="B234" s="8" t="s">
        <v>0</v>
      </c>
      <c r="C234" s="4" t="s">
        <v>201</v>
      </c>
      <c r="D234" s="159" t="s">
        <v>203</v>
      </c>
      <c r="E234" s="13" t="s">
        <v>204</v>
      </c>
      <c r="F234" s="13" t="s">
        <v>204</v>
      </c>
      <c r="G234" s="202" t="s">
        <v>208</v>
      </c>
      <c r="H234" s="13" t="s">
        <v>209</v>
      </c>
      <c r="I234" s="202" t="s">
        <v>211</v>
      </c>
    </row>
    <row r="235" spans="2:10" ht="15.75" x14ac:dyDescent="0.25">
      <c r="B235" s="9" t="s">
        <v>200</v>
      </c>
      <c r="C235" s="5" t="s">
        <v>202</v>
      </c>
      <c r="D235" s="243"/>
      <c r="E235" s="12" t="s">
        <v>205</v>
      </c>
      <c r="F235" s="12" t="s">
        <v>205</v>
      </c>
      <c r="G235" s="239"/>
      <c r="H235" s="12" t="s">
        <v>210</v>
      </c>
      <c r="I235" s="239"/>
    </row>
    <row r="236" spans="2:10" ht="16.5" thickBot="1" x14ac:dyDescent="0.3">
      <c r="B236" s="3"/>
      <c r="C236" s="1"/>
      <c r="D236" s="160"/>
      <c r="E236" s="11" t="s">
        <v>206</v>
      </c>
      <c r="F236" s="11" t="s">
        <v>207</v>
      </c>
      <c r="G236" s="203"/>
      <c r="H236" s="35"/>
      <c r="I236" s="203"/>
    </row>
    <row r="237" spans="2:10" ht="16.5" thickBot="1" x14ac:dyDescent="0.3">
      <c r="B237" s="10">
        <v>1</v>
      </c>
      <c r="C237" s="6">
        <v>2</v>
      </c>
      <c r="D237" s="6">
        <v>3</v>
      </c>
      <c r="E237" s="11">
        <v>4</v>
      </c>
      <c r="F237" s="11">
        <v>5</v>
      </c>
      <c r="G237" s="11">
        <v>6</v>
      </c>
      <c r="H237" s="11">
        <v>7</v>
      </c>
      <c r="I237" s="11">
        <v>8</v>
      </c>
    </row>
    <row r="238" spans="2:10" ht="16.5" thickBot="1" x14ac:dyDescent="0.3">
      <c r="B238" s="10"/>
      <c r="C238" s="6" t="s">
        <v>212</v>
      </c>
      <c r="D238" s="7" t="s">
        <v>213</v>
      </c>
      <c r="E238" s="36">
        <f>H220</f>
        <v>11867.916348645233</v>
      </c>
      <c r="F238" s="36">
        <f>E238/8</f>
        <v>1483.4895435806541</v>
      </c>
      <c r="G238" s="36">
        <v>22</v>
      </c>
      <c r="H238" s="36">
        <v>2</v>
      </c>
      <c r="I238" s="36">
        <f>F238/(G238*H238)</f>
        <v>33.715671445014863</v>
      </c>
      <c r="J238" s="16">
        <v>32</v>
      </c>
    </row>
    <row r="239" spans="2:10" ht="32.25" thickBot="1" x14ac:dyDescent="0.3">
      <c r="B239" s="10"/>
      <c r="C239" s="26">
        <v>43833</v>
      </c>
      <c r="D239" s="7" t="s">
        <v>214</v>
      </c>
      <c r="E239" s="36">
        <f>H8+H10+H12</f>
        <v>7.6772879999999999</v>
      </c>
      <c r="F239" s="36">
        <f t="shared" ref="F239:F292" si="0">E239/8</f>
        <v>0.95966099999999999</v>
      </c>
      <c r="G239" s="36">
        <v>1</v>
      </c>
      <c r="H239" s="36">
        <v>2</v>
      </c>
      <c r="I239" s="36">
        <f>F239/(G239*H239*1.2)</f>
        <v>0.39985874999999999</v>
      </c>
      <c r="J239" s="16">
        <v>1</v>
      </c>
    </row>
    <row r="240" spans="2:10" ht="16.5" thickBot="1" x14ac:dyDescent="0.3">
      <c r="B240" s="10"/>
      <c r="C240" s="6" t="s">
        <v>212</v>
      </c>
      <c r="D240" s="7" t="s">
        <v>215</v>
      </c>
      <c r="E240" s="36">
        <f>H218</f>
        <v>21192.707765437914</v>
      </c>
      <c r="F240" s="36">
        <f t="shared" si="0"/>
        <v>2649.0884706797392</v>
      </c>
      <c r="G240" s="36">
        <v>3</v>
      </c>
      <c r="H240" s="36">
        <v>2</v>
      </c>
      <c r="I240" s="36">
        <f>F240/(G240*H240)</f>
        <v>441.51474511328985</v>
      </c>
      <c r="J240" s="16">
        <v>416</v>
      </c>
    </row>
    <row r="241" spans="2:12" ht="16.5" thickBot="1" x14ac:dyDescent="0.3">
      <c r="B241" s="10"/>
      <c r="C241" s="26">
        <v>43926</v>
      </c>
      <c r="D241" s="7" t="s">
        <v>216</v>
      </c>
      <c r="E241" s="36">
        <f>H14+H16</f>
        <v>98.607107999999997</v>
      </c>
      <c r="F241" s="36">
        <f t="shared" si="0"/>
        <v>12.3258885</v>
      </c>
      <c r="G241" s="36">
        <v>2</v>
      </c>
      <c r="H241" s="36">
        <v>2</v>
      </c>
      <c r="I241" s="36">
        <f>F241/(G241*H241*1.2)</f>
        <v>2.5678934375</v>
      </c>
      <c r="J241" s="16">
        <v>3</v>
      </c>
    </row>
    <row r="242" spans="2:12" ht="16.5" thickBot="1" x14ac:dyDescent="0.3">
      <c r="B242" s="10"/>
      <c r="C242" s="6">
        <v>7</v>
      </c>
      <c r="D242" s="7" t="s">
        <v>217</v>
      </c>
      <c r="E242" s="36">
        <f>H21</f>
        <v>717.44</v>
      </c>
      <c r="F242" s="36">
        <f t="shared" si="0"/>
        <v>89.68</v>
      </c>
      <c r="G242" s="36">
        <v>4</v>
      </c>
      <c r="H242" s="36">
        <v>1</v>
      </c>
      <c r="I242" s="36">
        <f>F242/(G242*H242*1.2)</f>
        <v>18.683333333333337</v>
      </c>
      <c r="J242" s="16">
        <v>20</v>
      </c>
    </row>
    <row r="243" spans="2:12" ht="29.25" customHeight="1" x14ac:dyDescent="0.25">
      <c r="B243" s="37"/>
      <c r="C243" s="5" t="s">
        <v>311</v>
      </c>
      <c r="D243" s="39" t="s">
        <v>218</v>
      </c>
      <c r="E243" s="40">
        <f>H17+H22+H24</f>
        <v>12311.19983</v>
      </c>
      <c r="F243" s="40">
        <f t="shared" si="0"/>
        <v>1538.8999787499999</v>
      </c>
      <c r="G243" s="40">
        <v>14</v>
      </c>
      <c r="H243" s="40">
        <v>2</v>
      </c>
      <c r="I243" s="40">
        <f>F243/(G243*H243*1.2)</f>
        <v>45.800594605654759</v>
      </c>
      <c r="J243" s="16">
        <v>46</v>
      </c>
      <c r="K243" s="16">
        <f>56+J243</f>
        <v>102</v>
      </c>
    </row>
    <row r="244" spans="2:12" ht="32.25" thickBot="1" x14ac:dyDescent="0.3">
      <c r="B244" s="10"/>
      <c r="C244" s="26">
        <v>44122</v>
      </c>
      <c r="D244" s="7" t="s">
        <v>255</v>
      </c>
      <c r="E244" s="36">
        <f>H26+H28+H30+H32+H34+H36+H38+H40+H42</f>
        <v>7301.3065500000002</v>
      </c>
      <c r="F244" s="36">
        <f t="shared" si="0"/>
        <v>912.66331875000003</v>
      </c>
      <c r="G244" s="36">
        <f>G246-G245</f>
        <v>14</v>
      </c>
      <c r="H244" s="36">
        <v>2</v>
      </c>
      <c r="I244" s="36">
        <f>F244/(G244*H244*1.2)</f>
        <v>27.162598772321427</v>
      </c>
      <c r="J244" s="16">
        <v>28</v>
      </c>
      <c r="K244" s="16">
        <f>K243+J244</f>
        <v>130</v>
      </c>
    </row>
    <row r="245" spans="2:12" ht="16.5" thickBot="1" x14ac:dyDescent="0.3">
      <c r="B245" s="10"/>
      <c r="C245" s="6" t="s">
        <v>212</v>
      </c>
      <c r="D245" s="7" t="s">
        <v>219</v>
      </c>
      <c r="E245" s="36">
        <v>1399.68</v>
      </c>
      <c r="F245" s="36">
        <f t="shared" si="0"/>
        <v>174.96</v>
      </c>
      <c r="G245" s="36">
        <v>3</v>
      </c>
      <c r="H245" s="36">
        <v>2</v>
      </c>
      <c r="I245" s="36">
        <f t="shared" ref="I245:I291" si="1">F245/(G245*H245*1.2)</f>
        <v>24.300000000000004</v>
      </c>
      <c r="J245" s="16">
        <v>25</v>
      </c>
      <c r="L245" s="16">
        <f>J246+J244+J243</f>
        <v>264</v>
      </c>
    </row>
    <row r="246" spans="2:12" ht="32.25" thickBot="1" x14ac:dyDescent="0.3">
      <c r="B246" s="10"/>
      <c r="C246" s="6" t="s">
        <v>256</v>
      </c>
      <c r="D246" s="7" t="s">
        <v>257</v>
      </c>
      <c r="E246" s="36">
        <f>H46+H48+H50+H52+H54+H56+H70</f>
        <v>61399.074240000002</v>
      </c>
      <c r="F246" s="36">
        <f t="shared" si="0"/>
        <v>7674.8842800000002</v>
      </c>
      <c r="G246" s="36">
        <v>17</v>
      </c>
      <c r="H246" s="36">
        <v>2</v>
      </c>
      <c r="I246" s="36">
        <f t="shared" si="1"/>
        <v>188.10990882352942</v>
      </c>
      <c r="J246" s="16">
        <v>190</v>
      </c>
      <c r="K246" s="16">
        <f>K244+J246</f>
        <v>320</v>
      </c>
      <c r="L246" s="16">
        <f>16*11</f>
        <v>176</v>
      </c>
    </row>
    <row r="247" spans="2:12" ht="16.5" thickBot="1" x14ac:dyDescent="0.3">
      <c r="B247" s="10"/>
      <c r="C247" s="159" t="s">
        <v>310</v>
      </c>
      <c r="D247" s="7" t="s">
        <v>258</v>
      </c>
      <c r="E247" s="36">
        <v>4336</v>
      </c>
      <c r="F247" s="36">
        <f t="shared" si="0"/>
        <v>542</v>
      </c>
      <c r="G247" s="36">
        <v>17</v>
      </c>
      <c r="H247" s="36">
        <v>2</v>
      </c>
      <c r="I247" s="36">
        <f>F247/(G247*H247)</f>
        <v>15.941176470588236</v>
      </c>
      <c r="J247" s="16">
        <v>16</v>
      </c>
    </row>
    <row r="248" spans="2:12" ht="16.5" thickBot="1" x14ac:dyDescent="0.3">
      <c r="B248" s="10"/>
      <c r="C248" s="243"/>
      <c r="D248" s="7" t="s">
        <v>259</v>
      </c>
      <c r="E248" s="36">
        <f>E247</f>
        <v>4336</v>
      </c>
      <c r="F248" s="36">
        <f t="shared" si="0"/>
        <v>542</v>
      </c>
      <c r="G248" s="36">
        <v>17</v>
      </c>
      <c r="H248" s="36">
        <v>2</v>
      </c>
      <c r="I248" s="36">
        <f>F248/(G248*H248)</f>
        <v>15.941176470588236</v>
      </c>
      <c r="J248" s="16">
        <v>16</v>
      </c>
      <c r="L248" s="16">
        <f>L245+L246</f>
        <v>440</v>
      </c>
    </row>
    <row r="249" spans="2:12" ht="16.5" thickBot="1" x14ac:dyDescent="0.3">
      <c r="B249" s="10"/>
      <c r="C249" s="243"/>
      <c r="D249" s="7" t="s">
        <v>260</v>
      </c>
      <c r="E249" s="36">
        <f>E248</f>
        <v>4336</v>
      </c>
      <c r="F249" s="36">
        <f t="shared" si="0"/>
        <v>542</v>
      </c>
      <c r="G249" s="36">
        <v>17</v>
      </c>
      <c r="H249" s="36">
        <v>2</v>
      </c>
      <c r="I249" s="36">
        <f>F249/(G249*H249)</f>
        <v>15.941176470588236</v>
      </c>
      <c r="J249" s="16">
        <v>16</v>
      </c>
    </row>
    <row r="250" spans="2:12" ht="16.5" thickBot="1" x14ac:dyDescent="0.3">
      <c r="B250" s="10"/>
      <c r="C250" s="243"/>
      <c r="D250" s="7" t="s">
        <v>261</v>
      </c>
      <c r="E250" s="36">
        <f>E249</f>
        <v>4336</v>
      </c>
      <c r="F250" s="36">
        <f t="shared" si="0"/>
        <v>542</v>
      </c>
      <c r="G250" s="36">
        <v>17</v>
      </c>
      <c r="H250" s="36">
        <v>2</v>
      </c>
      <c r="I250" s="36">
        <f>F250/(G250*H250)</f>
        <v>15.941176470588236</v>
      </c>
      <c r="J250" s="16">
        <v>16</v>
      </c>
    </row>
    <row r="251" spans="2:12" ht="32.25" thickBot="1" x14ac:dyDescent="0.3">
      <c r="B251" s="10"/>
      <c r="C251" s="160"/>
      <c r="D251" s="7" t="s">
        <v>262</v>
      </c>
      <c r="E251" s="36">
        <f>E250</f>
        <v>4336</v>
      </c>
      <c r="F251" s="36">
        <f t="shared" si="0"/>
        <v>542</v>
      </c>
      <c r="G251" s="36">
        <v>17</v>
      </c>
      <c r="H251" s="36">
        <v>2</v>
      </c>
      <c r="I251" s="36">
        <f t="shared" si="1"/>
        <v>13.284313725490197</v>
      </c>
      <c r="J251" s="16">
        <v>16</v>
      </c>
    </row>
    <row r="252" spans="2:12" ht="16.5" thickBot="1" x14ac:dyDescent="0.3">
      <c r="B252" s="10"/>
      <c r="C252" s="6" t="s">
        <v>263</v>
      </c>
      <c r="D252" s="7" t="s">
        <v>220</v>
      </c>
      <c r="E252" s="36">
        <f>H73+H75+H77+H80+H82+H85+H87+H89+H91+H93</f>
        <v>2095.0444000000002</v>
      </c>
      <c r="F252" s="36">
        <f t="shared" si="0"/>
        <v>261.88055000000003</v>
      </c>
      <c r="G252" s="36">
        <v>16</v>
      </c>
      <c r="H252" s="36">
        <v>1</v>
      </c>
      <c r="I252" s="36">
        <f t="shared" si="1"/>
        <v>13.639611979166668</v>
      </c>
      <c r="J252" s="16">
        <v>14</v>
      </c>
    </row>
    <row r="253" spans="2:12" ht="16.5" thickBot="1" x14ac:dyDescent="0.3">
      <c r="B253" s="38"/>
      <c r="C253" s="6" t="s">
        <v>309</v>
      </c>
      <c r="D253" s="7" t="s">
        <v>308</v>
      </c>
      <c r="E253" s="36">
        <f>H61+H63</f>
        <v>13651.0164</v>
      </c>
      <c r="F253" s="36">
        <f t="shared" si="0"/>
        <v>1706.3770500000001</v>
      </c>
      <c r="G253" s="36">
        <v>20</v>
      </c>
      <c r="H253" s="36">
        <v>2</v>
      </c>
      <c r="I253" s="36">
        <f t="shared" si="1"/>
        <v>35.549521875000003</v>
      </c>
      <c r="J253" s="16">
        <v>36</v>
      </c>
    </row>
    <row r="254" spans="2:12" ht="16.5" thickBot="1" x14ac:dyDescent="0.3">
      <c r="B254" s="10"/>
      <c r="C254" s="6" t="s">
        <v>264</v>
      </c>
      <c r="D254" s="7" t="s">
        <v>221</v>
      </c>
      <c r="E254" s="36">
        <f>H194+H196+H198+H200+H202+H204+H206</f>
        <v>454.71740000000005</v>
      </c>
      <c r="F254" s="36">
        <f t="shared" si="0"/>
        <v>56.839675000000007</v>
      </c>
      <c r="G254" s="36">
        <v>16</v>
      </c>
      <c r="H254" s="36">
        <v>1</v>
      </c>
      <c r="I254" s="36">
        <f>F254/(G254*H254)</f>
        <v>3.5524796875000004</v>
      </c>
    </row>
    <row r="255" spans="2:12" ht="16.5" thickBot="1" x14ac:dyDescent="0.3">
      <c r="B255" s="10"/>
      <c r="C255" s="159" t="s">
        <v>265</v>
      </c>
      <c r="D255" s="7" t="s">
        <v>266</v>
      </c>
      <c r="E255" s="36">
        <f>(H96+H98+H100+H102+H104+H106+H108+H111+H114+H116)/5</f>
        <v>462.55648520000005</v>
      </c>
      <c r="F255" s="36">
        <f t="shared" si="0"/>
        <v>57.819560650000007</v>
      </c>
      <c r="G255" s="36">
        <v>7</v>
      </c>
      <c r="H255" s="36">
        <v>1</v>
      </c>
      <c r="I255" s="36">
        <f>F255/(G255*H255)</f>
        <v>8.2599372357142862</v>
      </c>
      <c r="J255" s="16">
        <v>8</v>
      </c>
    </row>
    <row r="256" spans="2:12" ht="16.5" thickBot="1" x14ac:dyDescent="0.3">
      <c r="B256" s="10"/>
      <c r="C256" s="243"/>
      <c r="D256" s="7" t="s">
        <v>267</v>
      </c>
      <c r="E256" s="36">
        <f>E255</f>
        <v>462.55648520000005</v>
      </c>
      <c r="F256" s="36">
        <f t="shared" si="0"/>
        <v>57.819560650000007</v>
      </c>
      <c r="G256" s="36">
        <v>7</v>
      </c>
      <c r="H256" s="36">
        <v>1</v>
      </c>
      <c r="I256" s="36">
        <f t="shared" si="1"/>
        <v>6.8832810297619051</v>
      </c>
      <c r="J256" s="16">
        <v>8</v>
      </c>
    </row>
    <row r="257" spans="2:10" ht="16.5" thickBot="1" x14ac:dyDescent="0.3">
      <c r="B257" s="10"/>
      <c r="C257" s="243"/>
      <c r="D257" s="7" t="s">
        <v>268</v>
      </c>
      <c r="E257" s="36">
        <f>E256</f>
        <v>462.55648520000005</v>
      </c>
      <c r="F257" s="36">
        <f t="shared" si="0"/>
        <v>57.819560650000007</v>
      </c>
      <c r="G257" s="36">
        <v>7</v>
      </c>
      <c r="H257" s="36">
        <v>1</v>
      </c>
      <c r="I257" s="36">
        <f t="shared" si="1"/>
        <v>6.8832810297619051</v>
      </c>
      <c r="J257" s="16">
        <v>8</v>
      </c>
    </row>
    <row r="258" spans="2:10" ht="16.5" thickBot="1" x14ac:dyDescent="0.3">
      <c r="B258" s="10"/>
      <c r="C258" s="243"/>
      <c r="D258" s="7" t="s">
        <v>269</v>
      </c>
      <c r="E258" s="36">
        <f>E257</f>
        <v>462.55648520000005</v>
      </c>
      <c r="F258" s="36">
        <f t="shared" si="0"/>
        <v>57.819560650000007</v>
      </c>
      <c r="G258" s="36">
        <v>7</v>
      </c>
      <c r="H258" s="36">
        <v>1</v>
      </c>
      <c r="I258" s="36">
        <f t="shared" si="1"/>
        <v>6.8832810297619051</v>
      </c>
      <c r="J258" s="16">
        <v>8</v>
      </c>
    </row>
    <row r="259" spans="2:10" ht="16.5" thickBot="1" x14ac:dyDescent="0.3">
      <c r="B259" s="10"/>
      <c r="C259" s="160"/>
      <c r="D259" s="7" t="s">
        <v>270</v>
      </c>
      <c r="E259" s="36">
        <f>E258</f>
        <v>462.55648520000005</v>
      </c>
      <c r="F259" s="36">
        <f t="shared" si="0"/>
        <v>57.819560650000007</v>
      </c>
      <c r="G259" s="36">
        <v>7</v>
      </c>
      <c r="H259" s="36">
        <v>1</v>
      </c>
      <c r="I259" s="36">
        <f t="shared" si="1"/>
        <v>6.8832810297619051</v>
      </c>
      <c r="J259" s="16">
        <v>8</v>
      </c>
    </row>
    <row r="260" spans="2:10" ht="16.5" thickBot="1" x14ac:dyDescent="0.3">
      <c r="B260" s="10"/>
      <c r="C260" s="159" t="s">
        <v>271</v>
      </c>
      <c r="D260" s="7" t="s">
        <v>272</v>
      </c>
      <c r="E260" s="36">
        <f>(H135+H138+H140+H149+H151+H153+H155+H162+H164+H169+H178+H180+H182+H189)/5</f>
        <v>1062.20894</v>
      </c>
      <c r="F260" s="36">
        <f t="shared" si="0"/>
        <v>132.7761175</v>
      </c>
      <c r="G260" s="36">
        <v>10</v>
      </c>
      <c r="H260" s="36">
        <v>2</v>
      </c>
      <c r="I260" s="36">
        <f>F260/(G260*H260)</f>
        <v>6.6388058750000001</v>
      </c>
      <c r="J260" s="16">
        <v>8</v>
      </c>
    </row>
    <row r="261" spans="2:10" ht="16.5" thickBot="1" x14ac:dyDescent="0.3">
      <c r="B261" s="10"/>
      <c r="C261" s="243"/>
      <c r="D261" s="7" t="s">
        <v>273</v>
      </c>
      <c r="E261" s="36">
        <f>E260</f>
        <v>1062.20894</v>
      </c>
      <c r="F261" s="36">
        <f t="shared" si="0"/>
        <v>132.7761175</v>
      </c>
      <c r="G261" s="36">
        <v>10</v>
      </c>
      <c r="H261" s="36">
        <v>2</v>
      </c>
      <c r="I261" s="36">
        <f t="shared" si="1"/>
        <v>5.5323382291666663</v>
      </c>
      <c r="J261" s="16">
        <v>8</v>
      </c>
    </row>
    <row r="262" spans="2:10" ht="16.5" thickBot="1" x14ac:dyDescent="0.3">
      <c r="B262" s="10"/>
      <c r="C262" s="243"/>
      <c r="D262" s="7" t="s">
        <v>274</v>
      </c>
      <c r="E262" s="36">
        <f>E261</f>
        <v>1062.20894</v>
      </c>
      <c r="F262" s="36">
        <f t="shared" si="0"/>
        <v>132.7761175</v>
      </c>
      <c r="G262" s="36">
        <v>10</v>
      </c>
      <c r="H262" s="36">
        <v>2</v>
      </c>
      <c r="I262" s="36">
        <f t="shared" si="1"/>
        <v>5.5323382291666663</v>
      </c>
      <c r="J262" s="16">
        <v>8</v>
      </c>
    </row>
    <row r="263" spans="2:10" ht="16.5" thickBot="1" x14ac:dyDescent="0.3">
      <c r="B263" s="10"/>
      <c r="C263" s="243"/>
      <c r="D263" s="7" t="s">
        <v>275</v>
      </c>
      <c r="E263" s="36">
        <f>E262</f>
        <v>1062.20894</v>
      </c>
      <c r="F263" s="36">
        <f t="shared" si="0"/>
        <v>132.7761175</v>
      </c>
      <c r="G263" s="36">
        <v>10</v>
      </c>
      <c r="H263" s="36">
        <v>2</v>
      </c>
      <c r="I263" s="36">
        <f t="shared" si="1"/>
        <v>5.5323382291666663</v>
      </c>
      <c r="J263" s="16">
        <v>8</v>
      </c>
    </row>
    <row r="264" spans="2:10" ht="32.25" thickBot="1" x14ac:dyDescent="0.3">
      <c r="B264" s="10"/>
      <c r="C264" s="160"/>
      <c r="D264" s="7" t="s">
        <v>276</v>
      </c>
      <c r="E264" s="36">
        <f>E263</f>
        <v>1062.20894</v>
      </c>
      <c r="F264" s="36">
        <f t="shared" si="0"/>
        <v>132.7761175</v>
      </c>
      <c r="G264" s="36">
        <v>7</v>
      </c>
      <c r="H264" s="36">
        <v>2</v>
      </c>
      <c r="I264" s="36">
        <f t="shared" si="1"/>
        <v>7.9033403273809517</v>
      </c>
      <c r="J264" s="16">
        <v>8</v>
      </c>
    </row>
    <row r="265" spans="2:10" ht="16.5" thickBot="1" x14ac:dyDescent="0.3">
      <c r="B265" s="10"/>
      <c r="C265" s="5" t="s">
        <v>277</v>
      </c>
      <c r="D265" s="7" t="s">
        <v>279</v>
      </c>
      <c r="E265" s="36">
        <f>(H123+H125+H127)/5</f>
        <v>1821.1403800000001</v>
      </c>
      <c r="F265" s="36">
        <f t="shared" si="0"/>
        <v>227.64254750000001</v>
      </c>
      <c r="G265" s="36">
        <v>12</v>
      </c>
      <c r="H265" s="36">
        <v>2</v>
      </c>
      <c r="I265" s="36">
        <f t="shared" si="1"/>
        <v>7.904255121527779</v>
      </c>
      <c r="J265" s="16">
        <v>8</v>
      </c>
    </row>
    <row r="266" spans="2:10" ht="16.5" thickBot="1" x14ac:dyDescent="0.3">
      <c r="B266" s="10"/>
      <c r="C266" s="5" t="s">
        <v>278</v>
      </c>
      <c r="D266" s="7" t="s">
        <v>280</v>
      </c>
      <c r="E266" s="36">
        <f>E265</f>
        <v>1821.1403800000001</v>
      </c>
      <c r="F266" s="36">
        <f t="shared" si="0"/>
        <v>227.64254750000001</v>
      </c>
      <c r="G266" s="36">
        <v>12</v>
      </c>
      <c r="H266" s="36">
        <v>2</v>
      </c>
      <c r="I266" s="36">
        <f t="shared" si="1"/>
        <v>7.904255121527779</v>
      </c>
      <c r="J266" s="16">
        <v>8</v>
      </c>
    </row>
    <row r="267" spans="2:10" ht="16.5" thickBot="1" x14ac:dyDescent="0.3">
      <c r="B267" s="10"/>
      <c r="C267" s="5"/>
      <c r="D267" s="7" t="s">
        <v>281</v>
      </c>
      <c r="E267" s="36">
        <f>E266</f>
        <v>1821.1403800000001</v>
      </c>
      <c r="F267" s="36">
        <f t="shared" si="0"/>
        <v>227.64254750000001</v>
      </c>
      <c r="G267" s="36">
        <v>12</v>
      </c>
      <c r="H267" s="36">
        <v>2</v>
      </c>
      <c r="I267" s="36">
        <f t="shared" si="1"/>
        <v>7.904255121527779</v>
      </c>
      <c r="J267" s="16">
        <v>8</v>
      </c>
    </row>
    <row r="268" spans="2:10" ht="16.5" thickBot="1" x14ac:dyDescent="0.3">
      <c r="B268" s="10"/>
      <c r="C268" s="27"/>
      <c r="D268" s="7" t="s">
        <v>282</v>
      </c>
      <c r="E268" s="36">
        <f>E267</f>
        <v>1821.1403800000001</v>
      </c>
      <c r="F268" s="36">
        <f t="shared" si="0"/>
        <v>227.64254750000001</v>
      </c>
      <c r="G268" s="36">
        <v>12</v>
      </c>
      <c r="H268" s="36">
        <v>2</v>
      </c>
      <c r="I268" s="36">
        <f t="shared" si="1"/>
        <v>7.904255121527779</v>
      </c>
      <c r="J268" s="16">
        <v>8</v>
      </c>
    </row>
    <row r="269" spans="2:10" ht="32.25" thickBot="1" x14ac:dyDescent="0.3">
      <c r="B269" s="10"/>
      <c r="C269" s="1"/>
      <c r="D269" s="7" t="s">
        <v>283</v>
      </c>
      <c r="E269" s="36">
        <f>E268</f>
        <v>1821.1403800000001</v>
      </c>
      <c r="F269" s="36">
        <f t="shared" si="0"/>
        <v>227.64254750000001</v>
      </c>
      <c r="G269" s="36">
        <v>12</v>
      </c>
      <c r="H269" s="36">
        <v>2</v>
      </c>
      <c r="I269" s="36">
        <f t="shared" si="1"/>
        <v>7.904255121527779</v>
      </c>
      <c r="J269" s="16">
        <v>8</v>
      </c>
    </row>
    <row r="270" spans="2:10" ht="32.25" thickBot="1" x14ac:dyDescent="0.3">
      <c r="B270" s="10"/>
      <c r="C270" s="159" t="s">
        <v>284</v>
      </c>
      <c r="D270" s="7" t="s">
        <v>285</v>
      </c>
      <c r="E270" s="36">
        <f>(H129+H121)/5</f>
        <v>1058.06052</v>
      </c>
      <c r="F270" s="36">
        <f t="shared" si="0"/>
        <v>132.257565</v>
      </c>
      <c r="G270" s="36">
        <v>8</v>
      </c>
      <c r="H270" s="36">
        <v>2</v>
      </c>
      <c r="I270" s="36">
        <f t="shared" si="1"/>
        <v>6.8884148437500006</v>
      </c>
      <c r="J270" s="16">
        <v>8</v>
      </c>
    </row>
    <row r="271" spans="2:10" ht="32.25" thickBot="1" x14ac:dyDescent="0.3">
      <c r="B271" s="10"/>
      <c r="C271" s="243"/>
      <c r="D271" s="7" t="s">
        <v>286</v>
      </c>
      <c r="E271" s="36">
        <f>E270</f>
        <v>1058.06052</v>
      </c>
      <c r="F271" s="36">
        <f t="shared" si="0"/>
        <v>132.257565</v>
      </c>
      <c r="G271" s="36">
        <v>8</v>
      </c>
      <c r="H271" s="36">
        <v>2</v>
      </c>
      <c r="I271" s="36">
        <f t="shared" si="1"/>
        <v>6.8884148437500006</v>
      </c>
      <c r="J271" s="16">
        <v>8</v>
      </c>
    </row>
    <row r="272" spans="2:10" ht="32.25" thickBot="1" x14ac:dyDescent="0.3">
      <c r="B272" s="10"/>
      <c r="C272" s="243"/>
      <c r="D272" s="7" t="s">
        <v>287</v>
      </c>
      <c r="E272" s="36">
        <f>E271</f>
        <v>1058.06052</v>
      </c>
      <c r="F272" s="36">
        <f t="shared" si="0"/>
        <v>132.257565</v>
      </c>
      <c r="G272" s="36">
        <v>8</v>
      </c>
      <c r="H272" s="36">
        <v>2</v>
      </c>
      <c r="I272" s="36">
        <f t="shared" si="1"/>
        <v>6.8884148437500006</v>
      </c>
      <c r="J272" s="16">
        <v>8</v>
      </c>
    </row>
    <row r="273" spans="2:14" ht="32.25" thickBot="1" x14ac:dyDescent="0.3">
      <c r="B273" s="10"/>
      <c r="C273" s="243"/>
      <c r="D273" s="7" t="s">
        <v>288</v>
      </c>
      <c r="E273" s="36">
        <f>E272</f>
        <v>1058.06052</v>
      </c>
      <c r="F273" s="36">
        <f t="shared" si="0"/>
        <v>132.257565</v>
      </c>
      <c r="G273" s="36">
        <v>8</v>
      </c>
      <c r="H273" s="36">
        <v>2</v>
      </c>
      <c r="I273" s="36">
        <f t="shared" si="1"/>
        <v>6.8884148437500006</v>
      </c>
      <c r="J273" s="16">
        <v>8</v>
      </c>
      <c r="K273" s="16">
        <f>20*30</f>
        <v>600</v>
      </c>
    </row>
    <row r="274" spans="2:14" ht="32.25" thickBot="1" x14ac:dyDescent="0.3">
      <c r="B274" s="10"/>
      <c r="C274" s="160"/>
      <c r="D274" s="7" t="s">
        <v>289</v>
      </c>
      <c r="E274" s="36">
        <f>E273</f>
        <v>1058.06052</v>
      </c>
      <c r="F274" s="36">
        <f t="shared" si="0"/>
        <v>132.257565</v>
      </c>
      <c r="G274" s="36">
        <v>8</v>
      </c>
      <c r="H274" s="36">
        <v>2</v>
      </c>
      <c r="I274" s="36">
        <f t="shared" si="1"/>
        <v>6.8884148437500006</v>
      </c>
      <c r="J274" s="16">
        <v>8</v>
      </c>
    </row>
    <row r="275" spans="2:14" ht="16.5" thickBot="1" x14ac:dyDescent="0.3">
      <c r="B275" s="10"/>
      <c r="C275" s="159" t="s">
        <v>290</v>
      </c>
      <c r="D275" s="7" t="s">
        <v>291</v>
      </c>
      <c r="E275" s="36">
        <f>(H191+H186+H184+H175+H173+H166+H164+H159+H157+H146+H144+H142)/5</f>
        <v>1205.0737880000001</v>
      </c>
      <c r="F275" s="36">
        <f t="shared" si="0"/>
        <v>150.63422350000002</v>
      </c>
      <c r="G275" s="36">
        <v>8</v>
      </c>
      <c r="H275" s="36">
        <v>2</v>
      </c>
      <c r="I275" s="36">
        <f t="shared" si="1"/>
        <v>7.8455324739583343</v>
      </c>
      <c r="J275" s="16">
        <v>8</v>
      </c>
    </row>
    <row r="276" spans="2:14" ht="16.5" thickBot="1" x14ac:dyDescent="0.3">
      <c r="B276" s="10"/>
      <c r="C276" s="243"/>
      <c r="D276" s="7" t="s">
        <v>292</v>
      </c>
      <c r="E276" s="36">
        <f>E275</f>
        <v>1205.0737880000001</v>
      </c>
      <c r="F276" s="36">
        <f t="shared" si="0"/>
        <v>150.63422350000002</v>
      </c>
      <c r="G276" s="36">
        <v>8</v>
      </c>
      <c r="H276" s="36">
        <v>2</v>
      </c>
      <c r="I276" s="36">
        <f t="shared" si="1"/>
        <v>7.8455324739583343</v>
      </c>
      <c r="J276" s="16">
        <v>8</v>
      </c>
    </row>
    <row r="277" spans="2:14" ht="16.5" thickBot="1" x14ac:dyDescent="0.3">
      <c r="B277" s="10"/>
      <c r="C277" s="243"/>
      <c r="D277" s="7" t="s">
        <v>293</v>
      </c>
      <c r="E277" s="36">
        <f>E276</f>
        <v>1205.0737880000001</v>
      </c>
      <c r="F277" s="36">
        <f t="shared" si="0"/>
        <v>150.63422350000002</v>
      </c>
      <c r="G277" s="36">
        <v>8</v>
      </c>
      <c r="H277" s="36">
        <v>2</v>
      </c>
      <c r="I277" s="36">
        <f t="shared" si="1"/>
        <v>7.8455324739583343</v>
      </c>
      <c r="J277" s="16">
        <v>8</v>
      </c>
      <c r="N277" s="16">
        <f>408-336</f>
        <v>72</v>
      </c>
    </row>
    <row r="278" spans="2:14" ht="16.5" thickBot="1" x14ac:dyDescent="0.3">
      <c r="B278" s="10"/>
      <c r="C278" s="243"/>
      <c r="D278" s="7" t="s">
        <v>294</v>
      </c>
      <c r="E278" s="36">
        <f>E277</f>
        <v>1205.0737880000001</v>
      </c>
      <c r="F278" s="36">
        <f t="shared" si="0"/>
        <v>150.63422350000002</v>
      </c>
      <c r="G278" s="36">
        <v>8</v>
      </c>
      <c r="H278" s="36">
        <v>2</v>
      </c>
      <c r="I278" s="36">
        <f t="shared" si="1"/>
        <v>7.8455324739583343</v>
      </c>
      <c r="J278" s="16">
        <v>8</v>
      </c>
    </row>
    <row r="279" spans="2:14" ht="16.5" thickBot="1" x14ac:dyDescent="0.3">
      <c r="B279" s="10"/>
      <c r="C279" s="160"/>
      <c r="D279" s="7" t="s">
        <v>295</v>
      </c>
      <c r="E279" s="36">
        <f>E278</f>
        <v>1205.0737880000001</v>
      </c>
      <c r="F279" s="36">
        <f t="shared" si="0"/>
        <v>150.63422350000002</v>
      </c>
      <c r="G279" s="36">
        <v>8</v>
      </c>
      <c r="H279" s="36">
        <v>2</v>
      </c>
      <c r="I279" s="36">
        <f t="shared" si="1"/>
        <v>7.8455324739583343</v>
      </c>
      <c r="J279" s="16">
        <v>8</v>
      </c>
    </row>
    <row r="280" spans="2:14" ht="16.5" thickBot="1" x14ac:dyDescent="0.3">
      <c r="B280" s="10"/>
      <c r="C280" s="159" t="s">
        <v>296</v>
      </c>
      <c r="D280" s="7" t="s">
        <v>297</v>
      </c>
      <c r="E280" s="36">
        <f>(H131+H119)/5</f>
        <v>1208.1936200000002</v>
      </c>
      <c r="F280" s="36">
        <f t="shared" si="0"/>
        <v>151.02420250000003</v>
      </c>
      <c r="G280" s="36">
        <v>8</v>
      </c>
      <c r="H280" s="36">
        <v>2</v>
      </c>
      <c r="I280" s="36">
        <f>F280/(G280*H280*1.2)</f>
        <v>7.8658438802083355</v>
      </c>
      <c r="J280" s="16">
        <v>8</v>
      </c>
    </row>
    <row r="281" spans="2:14" ht="16.5" thickBot="1" x14ac:dyDescent="0.3">
      <c r="B281" s="10"/>
      <c r="C281" s="243"/>
      <c r="D281" s="7" t="s">
        <v>298</v>
      </c>
      <c r="E281" s="36">
        <f>E280</f>
        <v>1208.1936200000002</v>
      </c>
      <c r="F281" s="36">
        <f t="shared" si="0"/>
        <v>151.02420250000003</v>
      </c>
      <c r="G281" s="36">
        <v>8</v>
      </c>
      <c r="H281" s="36">
        <v>2</v>
      </c>
      <c r="I281" s="36">
        <f t="shared" si="1"/>
        <v>7.8658438802083355</v>
      </c>
      <c r="J281" s="16">
        <v>8</v>
      </c>
    </row>
    <row r="282" spans="2:14" ht="16.5" thickBot="1" x14ac:dyDescent="0.3">
      <c r="B282" s="10"/>
      <c r="C282" s="243"/>
      <c r="D282" s="7" t="s">
        <v>299</v>
      </c>
      <c r="E282" s="36">
        <f>E281</f>
        <v>1208.1936200000002</v>
      </c>
      <c r="F282" s="36">
        <f t="shared" si="0"/>
        <v>151.02420250000003</v>
      </c>
      <c r="G282" s="36">
        <v>8</v>
      </c>
      <c r="H282" s="36">
        <v>2</v>
      </c>
      <c r="I282" s="36">
        <f t="shared" si="1"/>
        <v>7.8658438802083355</v>
      </c>
      <c r="J282" s="16">
        <v>8</v>
      </c>
    </row>
    <row r="283" spans="2:14" ht="16.5" thickBot="1" x14ac:dyDescent="0.3">
      <c r="B283" s="10"/>
      <c r="C283" s="243"/>
      <c r="D283" s="7" t="s">
        <v>300</v>
      </c>
      <c r="E283" s="36">
        <f>E282</f>
        <v>1208.1936200000002</v>
      </c>
      <c r="F283" s="36">
        <f t="shared" si="0"/>
        <v>151.02420250000003</v>
      </c>
      <c r="G283" s="36">
        <v>8</v>
      </c>
      <c r="H283" s="36">
        <v>2</v>
      </c>
      <c r="I283" s="36">
        <f t="shared" si="1"/>
        <v>7.8658438802083355</v>
      </c>
      <c r="J283" s="16">
        <v>8</v>
      </c>
      <c r="M283" s="16">
        <f>448-432</f>
        <v>16</v>
      </c>
    </row>
    <row r="284" spans="2:14" ht="16.5" thickBot="1" x14ac:dyDescent="0.3">
      <c r="B284" s="10"/>
      <c r="C284" s="160"/>
      <c r="D284" s="7" t="s">
        <v>301</v>
      </c>
      <c r="E284" s="36">
        <f>E283</f>
        <v>1208.1936200000002</v>
      </c>
      <c r="F284" s="36">
        <f t="shared" si="0"/>
        <v>151.02420250000003</v>
      </c>
      <c r="G284" s="36">
        <v>8</v>
      </c>
      <c r="H284" s="36">
        <v>2</v>
      </c>
      <c r="I284" s="36">
        <f t="shared" si="1"/>
        <v>7.8658438802083355</v>
      </c>
      <c r="J284" s="16">
        <v>8</v>
      </c>
    </row>
    <row r="285" spans="2:14" ht="32.25" thickBot="1" x14ac:dyDescent="0.3">
      <c r="B285" s="10"/>
      <c r="C285" s="6" t="s">
        <v>212</v>
      </c>
      <c r="D285" s="7" t="s">
        <v>302</v>
      </c>
      <c r="E285" s="36">
        <f>H211*0.6</f>
        <v>6858.4814774879987</v>
      </c>
      <c r="F285" s="36">
        <f t="shared" si="0"/>
        <v>857.31018468599984</v>
      </c>
      <c r="G285" s="36">
        <v>6</v>
      </c>
      <c r="H285" s="36">
        <v>2</v>
      </c>
      <c r="I285" s="36">
        <f t="shared" si="1"/>
        <v>59.535429492083331</v>
      </c>
      <c r="J285" s="16">
        <v>72</v>
      </c>
    </row>
    <row r="286" spans="2:14" ht="16.5" thickBot="1" x14ac:dyDescent="0.3">
      <c r="B286" s="10"/>
      <c r="C286" s="6" t="s">
        <v>212</v>
      </c>
      <c r="D286" s="7" t="s">
        <v>303</v>
      </c>
      <c r="E286" s="36">
        <f>H210*0.6</f>
        <v>8573.1018468599996</v>
      </c>
      <c r="F286" s="36">
        <f t="shared" si="0"/>
        <v>1071.6377308574999</v>
      </c>
      <c r="G286" s="36">
        <v>8</v>
      </c>
      <c r="H286" s="36">
        <v>2</v>
      </c>
      <c r="I286" s="36">
        <f t="shared" si="1"/>
        <v>55.814465148828127</v>
      </c>
      <c r="J286" s="16">
        <v>72</v>
      </c>
    </row>
    <row r="287" spans="2:14" ht="32.25" thickBot="1" x14ac:dyDescent="0.3">
      <c r="B287" s="10"/>
      <c r="C287" s="6" t="s">
        <v>212</v>
      </c>
      <c r="D287" s="7" t="s">
        <v>304</v>
      </c>
      <c r="E287" s="29">
        <f>H212*0.6</f>
        <v>1714.6203693719997</v>
      </c>
      <c r="F287" s="36">
        <f t="shared" si="0"/>
        <v>214.32754617149996</v>
      </c>
      <c r="G287" s="29">
        <v>3</v>
      </c>
      <c r="H287" s="29">
        <v>1</v>
      </c>
      <c r="I287" s="36">
        <f>F287/(G287*H287)</f>
        <v>71.442515390499992</v>
      </c>
      <c r="J287" s="16">
        <v>72</v>
      </c>
    </row>
    <row r="288" spans="2:14" ht="32.25" thickBot="1" x14ac:dyDescent="0.3">
      <c r="B288" s="10"/>
      <c r="C288" s="6" t="s">
        <v>212</v>
      </c>
      <c r="D288" s="7" t="s">
        <v>305</v>
      </c>
      <c r="E288" s="36">
        <f>H211*0.4</f>
        <v>4572.3209849919995</v>
      </c>
      <c r="F288" s="36">
        <f t="shared" si="0"/>
        <v>571.54012312399993</v>
      </c>
      <c r="G288" s="36">
        <v>6</v>
      </c>
      <c r="H288" s="36">
        <v>2</v>
      </c>
      <c r="I288" s="36">
        <f t="shared" si="1"/>
        <v>39.690286328055556</v>
      </c>
      <c r="J288" s="16">
        <v>38</v>
      </c>
    </row>
    <row r="289" spans="2:14" ht="32.25" thickBot="1" x14ac:dyDescent="0.3">
      <c r="B289" s="10"/>
      <c r="C289" s="6" t="s">
        <v>212</v>
      </c>
      <c r="D289" s="7" t="s">
        <v>306</v>
      </c>
      <c r="E289" s="36">
        <f>H210*0.4</f>
        <v>5715.40123124</v>
      </c>
      <c r="F289" s="36">
        <f t="shared" si="0"/>
        <v>714.425153905</v>
      </c>
      <c r="G289" s="36">
        <v>8</v>
      </c>
      <c r="H289" s="36">
        <v>2</v>
      </c>
      <c r="I289" s="36">
        <f t="shared" si="1"/>
        <v>37.209643432552085</v>
      </c>
      <c r="J289" s="16">
        <v>38</v>
      </c>
    </row>
    <row r="290" spans="2:14" ht="32.25" thickBot="1" x14ac:dyDescent="0.3">
      <c r="B290" s="10"/>
      <c r="C290" s="6" t="s">
        <v>212</v>
      </c>
      <c r="D290" s="7" t="s">
        <v>307</v>
      </c>
      <c r="E290" s="36">
        <f>H212*0.4</f>
        <v>1143.0802462479999</v>
      </c>
      <c r="F290" s="36">
        <f t="shared" si="0"/>
        <v>142.88503078099998</v>
      </c>
      <c r="G290" s="36">
        <v>3</v>
      </c>
      <c r="H290" s="36">
        <v>1</v>
      </c>
      <c r="I290" s="36">
        <f t="shared" si="1"/>
        <v>39.690286328055556</v>
      </c>
      <c r="J290" s="16">
        <v>38</v>
      </c>
    </row>
    <row r="291" spans="2:14" ht="16.5" thickBot="1" x14ac:dyDescent="0.3">
      <c r="B291" s="10"/>
      <c r="C291" s="6" t="s">
        <v>212</v>
      </c>
      <c r="D291" s="7" t="s">
        <v>222</v>
      </c>
      <c r="E291" s="36">
        <f>H216</f>
        <v>5143.8611081159988</v>
      </c>
      <c r="F291" s="36">
        <f t="shared" si="0"/>
        <v>642.98263851449985</v>
      </c>
      <c r="G291" s="36">
        <v>12</v>
      </c>
      <c r="H291" s="36">
        <v>1</v>
      </c>
      <c r="I291" s="36">
        <f t="shared" si="1"/>
        <v>44.651572119062493</v>
      </c>
      <c r="J291" s="16">
        <v>40</v>
      </c>
    </row>
    <row r="292" spans="2:14" ht="16.5" thickBot="1" x14ac:dyDescent="0.3">
      <c r="B292" s="10"/>
      <c r="C292" s="6" t="s">
        <v>212</v>
      </c>
      <c r="D292" s="7" t="s">
        <v>223</v>
      </c>
      <c r="E292" s="36">
        <f>H221</f>
        <v>1977.9860581075388</v>
      </c>
      <c r="F292" s="36">
        <f t="shared" si="0"/>
        <v>247.24825726344235</v>
      </c>
      <c r="G292" s="36">
        <v>12</v>
      </c>
      <c r="H292" s="36">
        <v>1</v>
      </c>
      <c r="I292" s="36">
        <f>F292/(G292*H292)</f>
        <v>20.604021438620197</v>
      </c>
      <c r="J292" s="16">
        <v>20</v>
      </c>
    </row>
    <row r="293" spans="2:14" x14ac:dyDescent="0.25">
      <c r="F293" s="15">
        <f>SUM(F238:F292)</f>
        <v>27995.176164813351</v>
      </c>
    </row>
    <row r="295" spans="2:14" ht="15.75" thickBot="1" x14ac:dyDescent="0.3"/>
    <row r="296" spans="2:14" ht="22.5" customHeight="1" x14ac:dyDescent="0.25">
      <c r="D296" s="45"/>
      <c r="E296" s="177" t="s">
        <v>313</v>
      </c>
      <c r="F296" s="179"/>
      <c r="G296" s="180"/>
      <c r="H296" s="181"/>
      <c r="I296" s="71" t="s">
        <v>315</v>
      </c>
      <c r="L296" s="61"/>
      <c r="M296" s="63"/>
      <c r="N296" s="57" t="s">
        <v>387</v>
      </c>
    </row>
    <row r="297" spans="2:14" ht="32.25" thickBot="1" x14ac:dyDescent="0.3">
      <c r="D297" s="46" t="s">
        <v>312</v>
      </c>
      <c r="E297" s="178"/>
      <c r="F297" s="182" t="s">
        <v>314</v>
      </c>
      <c r="G297" s="183"/>
      <c r="H297" s="184"/>
      <c r="I297" s="72" t="s">
        <v>316</v>
      </c>
      <c r="L297" s="62" t="s">
        <v>385</v>
      </c>
      <c r="M297" s="49" t="s">
        <v>386</v>
      </c>
      <c r="N297" s="49" t="s">
        <v>388</v>
      </c>
    </row>
    <row r="298" spans="2:14" ht="16.5" thickBot="1" x14ac:dyDescent="0.3">
      <c r="D298" s="47">
        <v>1</v>
      </c>
      <c r="E298" s="73">
        <v>2</v>
      </c>
      <c r="F298" s="185">
        <v>3</v>
      </c>
      <c r="G298" s="186"/>
      <c r="H298" s="187"/>
      <c r="I298" s="73">
        <v>4</v>
      </c>
      <c r="L298" s="56">
        <v>1</v>
      </c>
      <c r="M298" s="49">
        <v>2</v>
      </c>
      <c r="N298" s="49">
        <v>3</v>
      </c>
    </row>
    <row r="299" spans="2:14" ht="47.25" customHeight="1" thickBot="1" x14ac:dyDescent="0.3">
      <c r="D299" s="48" t="s">
        <v>317</v>
      </c>
      <c r="E299" s="74" t="s">
        <v>318</v>
      </c>
      <c r="F299" s="188" t="s">
        <v>319</v>
      </c>
      <c r="G299" s="189"/>
      <c r="H299" s="190"/>
      <c r="I299" s="107">
        <v>157</v>
      </c>
      <c r="L299" s="163" t="s">
        <v>389</v>
      </c>
      <c r="M299" s="164"/>
      <c r="N299" s="165"/>
    </row>
    <row r="300" spans="2:14" ht="65.25" customHeight="1" thickBot="1" x14ac:dyDescent="0.3">
      <c r="D300" s="51" t="s">
        <v>320</v>
      </c>
      <c r="E300" s="74" t="s">
        <v>321</v>
      </c>
      <c r="F300" s="191" t="s">
        <v>322</v>
      </c>
      <c r="G300" s="192"/>
      <c r="H300" s="193"/>
      <c r="I300" s="107">
        <f>(I299*100)/83.9</f>
        <v>187.12753277711559</v>
      </c>
      <c r="L300" s="51" t="s">
        <v>390</v>
      </c>
      <c r="M300" s="49" t="s">
        <v>391</v>
      </c>
      <c r="N300" s="107">
        <f>I318</f>
        <v>12.051013110846245</v>
      </c>
    </row>
    <row r="301" spans="2:14" ht="81" customHeight="1" thickBot="1" x14ac:dyDescent="0.3">
      <c r="D301" s="210" t="s">
        <v>323</v>
      </c>
      <c r="E301" s="194" t="s">
        <v>324</v>
      </c>
      <c r="F301" s="196" t="s">
        <v>325</v>
      </c>
      <c r="G301" s="197"/>
      <c r="H301" s="198"/>
      <c r="I301" s="155">
        <f>(I300*11)/100</f>
        <v>20.584028605482715</v>
      </c>
      <c r="L301" s="51" t="s">
        <v>392</v>
      </c>
      <c r="M301" s="49" t="s">
        <v>393</v>
      </c>
      <c r="N301" s="107">
        <v>34</v>
      </c>
    </row>
    <row r="302" spans="2:14" ht="34.5" customHeight="1" thickBot="1" x14ac:dyDescent="0.3">
      <c r="D302" s="211"/>
      <c r="E302" s="195"/>
      <c r="F302" s="199" t="s">
        <v>326</v>
      </c>
      <c r="G302" s="200"/>
      <c r="H302" s="201"/>
      <c r="I302" s="156"/>
      <c r="L302" s="51" t="s">
        <v>394</v>
      </c>
      <c r="M302" s="64" t="s">
        <v>395</v>
      </c>
      <c r="N302" s="93">
        <v>1</v>
      </c>
    </row>
    <row r="303" spans="2:14" ht="37.5" customHeight="1" x14ac:dyDescent="0.25">
      <c r="D303" s="210" t="s">
        <v>327</v>
      </c>
      <c r="E303" s="194" t="s">
        <v>328</v>
      </c>
      <c r="F303" s="223" t="s">
        <v>329</v>
      </c>
      <c r="G303" s="224"/>
      <c r="H303" s="225"/>
      <c r="I303" s="155">
        <f>(I300*1.5)/100</f>
        <v>2.8069129916567341</v>
      </c>
      <c r="L303" s="139" t="s">
        <v>396</v>
      </c>
      <c r="M303" s="52" t="s">
        <v>397</v>
      </c>
      <c r="N303" s="155">
        <f>I320</f>
        <v>127.44601311084622</v>
      </c>
    </row>
    <row r="304" spans="2:14" ht="34.5" customHeight="1" thickBot="1" x14ac:dyDescent="0.3">
      <c r="D304" s="211"/>
      <c r="E304" s="195"/>
      <c r="F304" s="199" t="s">
        <v>330</v>
      </c>
      <c r="G304" s="200"/>
      <c r="H304" s="201"/>
      <c r="I304" s="156"/>
      <c r="L304" s="140"/>
      <c r="M304" s="49" t="s">
        <v>358</v>
      </c>
      <c r="N304" s="156"/>
    </row>
    <row r="305" spans="4:14" ht="53.25" customHeight="1" thickBot="1" x14ac:dyDescent="0.3">
      <c r="D305" s="48" t="s">
        <v>331</v>
      </c>
      <c r="E305" s="74" t="s">
        <v>332</v>
      </c>
      <c r="F305" s="226" t="s">
        <v>333</v>
      </c>
      <c r="G305" s="227"/>
      <c r="H305" s="228"/>
      <c r="I305" s="107">
        <f>(I300*3.6)/100</f>
        <v>6.7365911799761617</v>
      </c>
      <c r="L305" s="166" t="s">
        <v>398</v>
      </c>
      <c r="M305" s="167"/>
      <c r="N305" s="168"/>
    </row>
    <row r="306" spans="4:14" ht="15.75" x14ac:dyDescent="0.25">
      <c r="D306" s="53" t="s">
        <v>334</v>
      </c>
      <c r="E306" s="194" t="s">
        <v>336</v>
      </c>
      <c r="F306" s="229" t="s">
        <v>337</v>
      </c>
      <c r="G306" s="230"/>
      <c r="H306" s="231"/>
      <c r="I306" s="155">
        <f>I299*1.05</f>
        <v>164.85</v>
      </c>
      <c r="L306" s="139" t="s">
        <v>399</v>
      </c>
      <c r="M306" s="52" t="s">
        <v>377</v>
      </c>
      <c r="N306" s="155">
        <f>I308</f>
        <v>109.89999999999999</v>
      </c>
    </row>
    <row r="307" spans="4:14" ht="16.5" thickBot="1" x14ac:dyDescent="0.3">
      <c r="D307" s="51" t="s">
        <v>335</v>
      </c>
      <c r="E307" s="195"/>
      <c r="F307" s="232"/>
      <c r="G307" s="233"/>
      <c r="H307" s="234"/>
      <c r="I307" s="156"/>
      <c r="L307" s="140"/>
      <c r="M307" s="49" t="s">
        <v>340</v>
      </c>
      <c r="N307" s="156"/>
    </row>
    <row r="308" spans="4:14" ht="18.75" customHeight="1" x14ac:dyDescent="0.25">
      <c r="D308" s="210" t="s">
        <v>338</v>
      </c>
      <c r="E308" s="75" t="s">
        <v>339</v>
      </c>
      <c r="F308" s="235" t="s">
        <v>341</v>
      </c>
      <c r="G308" s="236"/>
      <c r="H308" s="237"/>
      <c r="I308" s="155">
        <f>0.7*I299</f>
        <v>109.89999999999999</v>
      </c>
      <c r="L308" s="139" t="s">
        <v>400</v>
      </c>
      <c r="M308" s="52" t="s">
        <v>401</v>
      </c>
      <c r="N308" s="155">
        <f>I310</f>
        <v>47.1</v>
      </c>
    </row>
    <row r="309" spans="4:14" ht="16.5" thickBot="1" x14ac:dyDescent="0.3">
      <c r="D309" s="211"/>
      <c r="E309" s="76" t="s">
        <v>340</v>
      </c>
      <c r="F309" s="212" t="s">
        <v>342</v>
      </c>
      <c r="G309" s="213"/>
      <c r="H309" s="214"/>
      <c r="I309" s="156"/>
      <c r="L309" s="140"/>
      <c r="M309" s="49" t="s">
        <v>340</v>
      </c>
      <c r="N309" s="156"/>
    </row>
    <row r="310" spans="4:14" ht="18.75" customHeight="1" x14ac:dyDescent="0.25">
      <c r="D310" s="53" t="s">
        <v>343</v>
      </c>
      <c r="E310" s="75" t="s">
        <v>345</v>
      </c>
      <c r="F310" s="215" t="s">
        <v>346</v>
      </c>
      <c r="G310" s="216"/>
      <c r="H310" s="217"/>
      <c r="I310" s="155">
        <f>I299*0.3</f>
        <v>47.1</v>
      </c>
      <c r="L310" s="139" t="s">
        <v>402</v>
      </c>
      <c r="M310" s="52" t="s">
        <v>397</v>
      </c>
      <c r="N310" s="155">
        <f>I320</f>
        <v>127.44601311084622</v>
      </c>
    </row>
    <row r="311" spans="4:14" ht="16.5" thickBot="1" x14ac:dyDescent="0.3">
      <c r="D311" s="54" t="s">
        <v>344</v>
      </c>
      <c r="E311" s="77" t="s">
        <v>340</v>
      </c>
      <c r="F311" s="218" t="s">
        <v>342</v>
      </c>
      <c r="G311" s="219"/>
      <c r="H311" s="220"/>
      <c r="I311" s="221"/>
      <c r="L311" s="140"/>
      <c r="M311" s="49" t="s">
        <v>358</v>
      </c>
      <c r="N311" s="156"/>
    </row>
    <row r="312" spans="4:14" ht="15.75" x14ac:dyDescent="0.25">
      <c r="D312" s="157" t="s">
        <v>347</v>
      </c>
      <c r="E312" s="202" t="s">
        <v>348</v>
      </c>
      <c r="F312" s="204" t="s">
        <v>349</v>
      </c>
      <c r="G312" s="205"/>
      <c r="H312" s="206"/>
      <c r="I312" s="161">
        <f>0.7*I306</f>
        <v>115.39499999999998</v>
      </c>
      <c r="L312" s="139" t="s">
        <v>403</v>
      </c>
      <c r="M312" s="52" t="s">
        <v>377</v>
      </c>
      <c r="N312" s="155">
        <f>I308</f>
        <v>109.89999999999999</v>
      </c>
    </row>
    <row r="313" spans="4:14" ht="16.5" thickBot="1" x14ac:dyDescent="0.3">
      <c r="D313" s="238"/>
      <c r="E313" s="239"/>
      <c r="F313" s="240"/>
      <c r="G313" s="241"/>
      <c r="H313" s="242"/>
      <c r="I313" s="222"/>
      <c r="L313" s="140"/>
      <c r="M313" s="49" t="s">
        <v>367</v>
      </c>
      <c r="N313" s="156"/>
    </row>
    <row r="314" spans="4:14" ht="15.75" x14ac:dyDescent="0.25">
      <c r="D314" s="238"/>
      <c r="E314" s="239"/>
      <c r="F314" s="240"/>
      <c r="G314" s="241"/>
      <c r="H314" s="242"/>
      <c r="I314" s="222"/>
      <c r="L314" s="139" t="s">
        <v>404</v>
      </c>
      <c r="M314" s="52" t="s">
        <v>401</v>
      </c>
      <c r="N314" s="155">
        <f>I310</f>
        <v>47.1</v>
      </c>
    </row>
    <row r="315" spans="4:14" ht="16.5" thickBot="1" x14ac:dyDescent="0.3">
      <c r="D315" s="238"/>
      <c r="E315" s="239"/>
      <c r="F315" s="240"/>
      <c r="G315" s="241"/>
      <c r="H315" s="242"/>
      <c r="I315" s="222"/>
      <c r="L315" s="140"/>
      <c r="M315" s="49" t="s">
        <v>367</v>
      </c>
      <c r="N315" s="156"/>
    </row>
    <row r="316" spans="4:14" ht="15.75" x14ac:dyDescent="0.25">
      <c r="D316" s="238"/>
      <c r="E316" s="239"/>
      <c r="F316" s="240"/>
      <c r="G316" s="241"/>
      <c r="H316" s="242"/>
      <c r="I316" s="222"/>
      <c r="L316" s="139" t="s">
        <v>405</v>
      </c>
      <c r="M316" s="52" t="s">
        <v>406</v>
      </c>
      <c r="N316" s="155">
        <f>I308</f>
        <v>109.89999999999999</v>
      </c>
    </row>
    <row r="317" spans="4:14" ht="16.5" thickBot="1" x14ac:dyDescent="0.3">
      <c r="D317" s="158"/>
      <c r="E317" s="203"/>
      <c r="F317" s="207"/>
      <c r="G317" s="208"/>
      <c r="H317" s="209"/>
      <c r="I317" s="162"/>
      <c r="L317" s="140"/>
      <c r="M317" s="49" t="s">
        <v>368</v>
      </c>
      <c r="N317" s="156"/>
    </row>
    <row r="318" spans="4:14" ht="47.25" x14ac:dyDescent="0.25">
      <c r="D318" s="42" t="s">
        <v>350</v>
      </c>
      <c r="E318" s="202" t="s">
        <v>352</v>
      </c>
      <c r="F318" s="204" t="s">
        <v>353</v>
      </c>
      <c r="G318" s="205"/>
      <c r="H318" s="206"/>
      <c r="I318" s="161">
        <f>((I301+I305+I303)*0.8*0.5)</f>
        <v>12.051013110846245</v>
      </c>
      <c r="L318" s="139" t="s">
        <v>407</v>
      </c>
      <c r="M318" s="52" t="s">
        <v>372</v>
      </c>
      <c r="N318" s="155">
        <f>I310</f>
        <v>47.1</v>
      </c>
    </row>
    <row r="319" spans="4:14" ht="16.5" thickBot="1" x14ac:dyDescent="0.3">
      <c r="D319" s="55" t="s">
        <v>351</v>
      </c>
      <c r="E319" s="203"/>
      <c r="F319" s="207" t="s">
        <v>354</v>
      </c>
      <c r="G319" s="208"/>
      <c r="H319" s="209"/>
      <c r="I319" s="162"/>
      <c r="L319" s="140"/>
      <c r="M319" s="49" t="s">
        <v>368</v>
      </c>
      <c r="N319" s="156"/>
    </row>
    <row r="320" spans="4:14" ht="21.75" customHeight="1" x14ac:dyDescent="0.25">
      <c r="D320" s="53" t="s">
        <v>355</v>
      </c>
      <c r="E320" s="75" t="s">
        <v>357</v>
      </c>
      <c r="F320" s="169" t="s">
        <v>359</v>
      </c>
      <c r="G320" s="171" t="s">
        <v>360</v>
      </c>
      <c r="H320" s="172"/>
      <c r="I320" s="175">
        <f>I312+I318</f>
        <v>127.44601311084622</v>
      </c>
      <c r="L320" s="139" t="s">
        <v>408</v>
      </c>
      <c r="M320" s="52" t="s">
        <v>406</v>
      </c>
      <c r="N320" s="155">
        <f>I308</f>
        <v>109.89999999999999</v>
      </c>
    </row>
    <row r="321" spans="4:14" ht="16.5" thickBot="1" x14ac:dyDescent="0.3">
      <c r="D321" s="53" t="s">
        <v>356</v>
      </c>
      <c r="E321" s="78" t="s">
        <v>358</v>
      </c>
      <c r="F321" s="170"/>
      <c r="G321" s="173"/>
      <c r="H321" s="174"/>
      <c r="I321" s="176"/>
      <c r="L321" s="140"/>
      <c r="M321" s="49" t="s">
        <v>368</v>
      </c>
      <c r="N321" s="156"/>
    </row>
    <row r="322" spans="4:14" ht="15.75" x14ac:dyDescent="0.25">
      <c r="D322" s="53" t="s">
        <v>361</v>
      </c>
      <c r="E322" s="79"/>
      <c r="F322" s="80"/>
      <c r="G322" s="80"/>
      <c r="H322" s="79"/>
      <c r="I322" s="108"/>
      <c r="L322" s="139" t="s">
        <v>409</v>
      </c>
      <c r="M322" s="52" t="s">
        <v>372</v>
      </c>
      <c r="N322" s="155">
        <f>I310</f>
        <v>47.1</v>
      </c>
    </row>
    <row r="323" spans="4:14" ht="16.5" thickBot="1" x14ac:dyDescent="0.3">
      <c r="D323" s="53" t="s">
        <v>362</v>
      </c>
      <c r="E323" s="79"/>
      <c r="F323" s="80"/>
      <c r="G323" s="80"/>
      <c r="H323" s="79"/>
      <c r="I323" s="108"/>
      <c r="L323" s="140"/>
      <c r="M323" s="49" t="s">
        <v>368</v>
      </c>
      <c r="N323" s="156"/>
    </row>
    <row r="324" spans="4:14" ht="16.5" thickBot="1" x14ac:dyDescent="0.3">
      <c r="D324" s="54" t="s">
        <v>351</v>
      </c>
      <c r="E324" s="81"/>
      <c r="F324" s="82"/>
      <c r="G324" s="82"/>
      <c r="H324" s="81"/>
      <c r="I324" s="81"/>
      <c r="L324" s="139" t="s">
        <v>410</v>
      </c>
      <c r="M324" s="52" t="s">
        <v>372</v>
      </c>
      <c r="N324" s="155">
        <f>N322</f>
        <v>47.1</v>
      </c>
    </row>
    <row r="325" spans="4:14" ht="99" customHeight="1" thickBot="1" x14ac:dyDescent="0.3">
      <c r="D325" s="50" t="s">
        <v>363</v>
      </c>
      <c r="E325" s="83" t="s">
        <v>369</v>
      </c>
      <c r="F325" s="84" t="s">
        <v>374</v>
      </c>
      <c r="G325" s="84" t="s">
        <v>375</v>
      </c>
      <c r="H325" s="84" t="s">
        <v>376</v>
      </c>
      <c r="I325" s="110">
        <f>I308*0.7</f>
        <v>76.929999999999993</v>
      </c>
      <c r="L325" s="140"/>
      <c r="M325" s="49" t="s">
        <v>368</v>
      </c>
      <c r="N325" s="156"/>
    </row>
    <row r="326" spans="4:14" ht="60.75" customHeight="1" thickBot="1" x14ac:dyDescent="0.3">
      <c r="D326" s="50" t="s">
        <v>364</v>
      </c>
      <c r="E326" s="83" t="s">
        <v>370</v>
      </c>
      <c r="F326" s="84" t="s">
        <v>378</v>
      </c>
      <c r="G326" s="84" t="s">
        <v>379</v>
      </c>
      <c r="H326" s="84" t="s">
        <v>380</v>
      </c>
      <c r="I326" s="110">
        <f>I310*0.7</f>
        <v>32.97</v>
      </c>
      <c r="L326" s="51" t="s">
        <v>411</v>
      </c>
      <c r="M326" s="49" t="s">
        <v>412</v>
      </c>
      <c r="N326" s="107">
        <f>I312</f>
        <v>115.39499999999998</v>
      </c>
    </row>
    <row r="327" spans="4:14" ht="48" thickBot="1" x14ac:dyDescent="0.3">
      <c r="D327" s="50" t="s">
        <v>365</v>
      </c>
      <c r="E327" s="85" t="s">
        <v>371</v>
      </c>
      <c r="F327" s="84" t="s">
        <v>381</v>
      </c>
      <c r="G327" s="84" t="s">
        <v>382</v>
      </c>
      <c r="H327" s="60"/>
      <c r="I327" s="110">
        <f>I320*0.7</f>
        <v>89.212209177592356</v>
      </c>
      <c r="L327" s="51" t="s">
        <v>413</v>
      </c>
      <c r="M327" s="49" t="s">
        <v>412</v>
      </c>
      <c r="N327" s="107">
        <f>N326</f>
        <v>115.39499999999998</v>
      </c>
    </row>
    <row r="328" spans="4:14" ht="48" thickBot="1" x14ac:dyDescent="0.3">
      <c r="D328" s="50" t="s">
        <v>366</v>
      </c>
      <c r="E328" s="86" t="s">
        <v>373</v>
      </c>
      <c r="F328" s="84" t="s">
        <v>383</v>
      </c>
      <c r="G328" s="84" t="s">
        <v>384</v>
      </c>
      <c r="H328" s="60"/>
      <c r="I328" s="110">
        <f>0.3*I320</f>
        <v>38.233803933253867</v>
      </c>
      <c r="L328" s="51" t="s">
        <v>414</v>
      </c>
      <c r="M328" s="49" t="s">
        <v>412</v>
      </c>
      <c r="N328" s="107">
        <f>N327</f>
        <v>115.39499999999998</v>
      </c>
    </row>
    <row r="329" spans="4:14" ht="35.25" thickBot="1" x14ac:dyDescent="0.3">
      <c r="D329" s="59" t="s">
        <v>351</v>
      </c>
      <c r="L329" s="90" t="s">
        <v>415</v>
      </c>
      <c r="M329" s="65" t="s">
        <v>478</v>
      </c>
      <c r="N329" s="109">
        <f>I320*0.25</f>
        <v>31.861503277711556</v>
      </c>
    </row>
    <row r="330" spans="4:14" ht="47.25" customHeight="1" x14ac:dyDescent="0.25">
      <c r="D330" s="58"/>
      <c r="E330" s="85"/>
      <c r="L330" s="157" t="s">
        <v>416</v>
      </c>
      <c r="M330" s="159" t="s">
        <v>479</v>
      </c>
      <c r="N330" s="161">
        <f>I306</f>
        <v>164.85</v>
      </c>
    </row>
    <row r="331" spans="4:14" ht="15.75" thickBot="1" x14ac:dyDescent="0.3">
      <c r="D331" s="58"/>
      <c r="E331" s="87"/>
      <c r="L331" s="158"/>
      <c r="M331" s="160"/>
      <c r="N331" s="162"/>
    </row>
    <row r="332" spans="4:14" ht="15.75" thickBot="1" x14ac:dyDescent="0.3">
      <c r="D332" s="58"/>
    </row>
    <row r="333" spans="4:14" ht="95.25" thickBot="1" x14ac:dyDescent="0.3">
      <c r="D333" s="88" t="s">
        <v>477</v>
      </c>
      <c r="E333" s="57" t="s">
        <v>474</v>
      </c>
      <c r="F333" s="57" t="s">
        <v>475</v>
      </c>
      <c r="G333" s="57" t="s">
        <v>476</v>
      </c>
      <c r="H333" s="63" t="s">
        <v>417</v>
      </c>
      <c r="I333" s="63" t="s">
        <v>418</v>
      </c>
      <c r="J333" s="63" t="s">
        <v>472</v>
      </c>
      <c r="K333" s="63" t="s">
        <v>473</v>
      </c>
    </row>
    <row r="334" spans="4:14" ht="16.5" thickBot="1" x14ac:dyDescent="0.3">
      <c r="D334" s="101">
        <v>1</v>
      </c>
      <c r="E334" s="102">
        <v>2</v>
      </c>
      <c r="F334" s="103">
        <v>3</v>
      </c>
      <c r="G334" s="103">
        <v>4</v>
      </c>
      <c r="H334" s="103">
        <v>5</v>
      </c>
      <c r="I334" s="103">
        <v>6</v>
      </c>
      <c r="J334" s="103">
        <v>7</v>
      </c>
      <c r="K334" s="104">
        <v>8</v>
      </c>
    </row>
    <row r="335" spans="4:14" ht="16.5" thickBot="1" x14ac:dyDescent="0.3">
      <c r="D335" s="89" t="s">
        <v>390</v>
      </c>
      <c r="E335" s="105">
        <f>N300</f>
        <v>12.051013110846245</v>
      </c>
      <c r="F335" s="49">
        <v>4</v>
      </c>
      <c r="G335" s="49">
        <f>F335*E335</f>
        <v>48.204052443384981</v>
      </c>
      <c r="H335" s="95">
        <v>24.4</v>
      </c>
      <c r="I335" s="97" t="s">
        <v>419</v>
      </c>
      <c r="J335" s="98" t="s">
        <v>480</v>
      </c>
      <c r="K335" s="49">
        <v>2</v>
      </c>
      <c r="L335" s="16">
        <f>H335*K335</f>
        <v>48.8</v>
      </c>
    </row>
    <row r="336" spans="4:14" ht="32.25" thickBot="1" x14ac:dyDescent="0.3">
      <c r="D336" s="89" t="s">
        <v>392</v>
      </c>
      <c r="E336" s="106">
        <f>N301</f>
        <v>34</v>
      </c>
      <c r="F336" s="49">
        <v>0.3</v>
      </c>
      <c r="G336" s="49">
        <f>F336*E336</f>
        <v>10.199999999999999</v>
      </c>
      <c r="H336" s="49">
        <v>17</v>
      </c>
      <c r="I336" s="49" t="s">
        <v>466</v>
      </c>
      <c r="J336" s="97" t="s">
        <v>467</v>
      </c>
      <c r="K336" s="96">
        <v>1</v>
      </c>
      <c r="L336" s="16">
        <f>K336*H336</f>
        <v>17</v>
      </c>
    </row>
    <row r="337" spans="4:12" ht="16.5" thickBot="1" x14ac:dyDescent="0.3">
      <c r="D337" s="89" t="s">
        <v>394</v>
      </c>
      <c r="E337" s="105">
        <f>N302</f>
        <v>1</v>
      </c>
      <c r="F337" s="49">
        <v>7</v>
      </c>
      <c r="G337" s="49">
        <f>F337*E337</f>
        <v>7</v>
      </c>
      <c r="H337" s="95" t="s">
        <v>420</v>
      </c>
      <c r="I337" s="98" t="s">
        <v>483</v>
      </c>
      <c r="J337" s="98" t="s">
        <v>421</v>
      </c>
      <c r="K337" s="49">
        <v>1</v>
      </c>
    </row>
    <row r="338" spans="4:12" ht="16.5" thickBot="1" x14ac:dyDescent="0.3">
      <c r="D338" s="89" t="s">
        <v>396</v>
      </c>
      <c r="E338" s="106">
        <f>N303</f>
        <v>127.44601311084622</v>
      </c>
      <c r="F338" s="49">
        <v>0.75</v>
      </c>
      <c r="G338" s="49">
        <f>F338*E338</f>
        <v>95.584509833134661</v>
      </c>
      <c r="H338" s="49">
        <v>24.4</v>
      </c>
      <c r="I338" s="49" t="s">
        <v>482</v>
      </c>
      <c r="J338" s="97" t="s">
        <v>481</v>
      </c>
      <c r="K338" s="96">
        <v>4</v>
      </c>
      <c r="L338" s="16">
        <f>H338*K338</f>
        <v>97.6</v>
      </c>
    </row>
    <row r="339" spans="4:12" ht="15.75" x14ac:dyDescent="0.25">
      <c r="D339" s="53" t="s">
        <v>422</v>
      </c>
      <c r="E339" s="137">
        <f>N306</f>
        <v>109.89999999999999</v>
      </c>
      <c r="F339" s="130">
        <v>0.7</v>
      </c>
      <c r="G339" s="130">
        <f>E339*F339</f>
        <v>76.929999999999993</v>
      </c>
      <c r="H339" s="141">
        <v>20.7</v>
      </c>
      <c r="I339" s="143">
        <v>5055</v>
      </c>
      <c r="J339" s="145" t="s">
        <v>425</v>
      </c>
      <c r="K339" s="130">
        <v>4</v>
      </c>
      <c r="L339" s="16">
        <f>K339*H339</f>
        <v>82.8</v>
      </c>
    </row>
    <row r="340" spans="4:12" ht="16.5" thickBot="1" x14ac:dyDescent="0.3">
      <c r="D340" s="53" t="s">
        <v>423</v>
      </c>
      <c r="E340" s="147"/>
      <c r="F340" s="131"/>
      <c r="G340" s="131"/>
      <c r="H340" s="148"/>
      <c r="I340" s="149"/>
      <c r="J340" s="150"/>
      <c r="K340" s="131"/>
    </row>
    <row r="341" spans="4:12" ht="15.75" x14ac:dyDescent="0.25">
      <c r="D341" s="53" t="s">
        <v>426</v>
      </c>
      <c r="E341" s="137">
        <f>N316</f>
        <v>109.89999999999999</v>
      </c>
      <c r="F341" s="130">
        <v>6.5000000000000002E-2</v>
      </c>
      <c r="G341" s="130">
        <f>E341*F341</f>
        <v>7.1434999999999995</v>
      </c>
      <c r="H341" s="148"/>
      <c r="I341" s="149"/>
      <c r="J341" s="150"/>
      <c r="K341" s="131"/>
    </row>
    <row r="342" spans="4:12" ht="16.5" thickBot="1" x14ac:dyDescent="0.3">
      <c r="D342" s="89" t="s">
        <v>423</v>
      </c>
      <c r="E342" s="138"/>
      <c r="F342" s="132"/>
      <c r="G342" s="131"/>
      <c r="H342" s="142"/>
      <c r="I342" s="144"/>
      <c r="J342" s="146"/>
      <c r="K342" s="132"/>
    </row>
    <row r="343" spans="4:12" ht="15.75" x14ac:dyDescent="0.25">
      <c r="D343" s="53" t="s">
        <v>422</v>
      </c>
      <c r="E343" s="137">
        <f>N318</f>
        <v>47.1</v>
      </c>
      <c r="F343" s="130">
        <v>0.7</v>
      </c>
      <c r="G343" s="130">
        <f>E343*F343</f>
        <v>32.97</v>
      </c>
      <c r="H343" s="151">
        <v>20.7</v>
      </c>
      <c r="I343" s="145">
        <v>5055</v>
      </c>
      <c r="J343" s="145" t="s">
        <v>428</v>
      </c>
      <c r="K343" s="130">
        <v>2</v>
      </c>
      <c r="L343" s="16">
        <f>H343*K343</f>
        <v>41.4</v>
      </c>
    </row>
    <row r="344" spans="4:12" ht="16.5" thickBot="1" x14ac:dyDescent="0.3">
      <c r="D344" s="89" t="s">
        <v>427</v>
      </c>
      <c r="E344" s="138"/>
      <c r="F344" s="132"/>
      <c r="G344" s="131"/>
      <c r="H344" s="152"/>
      <c r="I344" s="150"/>
      <c r="J344" s="150"/>
      <c r="K344" s="131"/>
    </row>
    <row r="345" spans="4:12" ht="15.75" x14ac:dyDescent="0.25">
      <c r="D345" s="53" t="s">
        <v>426</v>
      </c>
      <c r="E345" s="137">
        <f>E343</f>
        <v>47.1</v>
      </c>
      <c r="F345" s="130">
        <v>6.5000000000000002E-2</v>
      </c>
      <c r="G345" s="130">
        <f>E345*F345</f>
        <v>3.0615000000000001</v>
      </c>
      <c r="H345" s="152"/>
      <c r="I345" s="150"/>
      <c r="J345" s="150"/>
      <c r="K345" s="131"/>
    </row>
    <row r="346" spans="4:12" ht="16.5" thickBot="1" x14ac:dyDescent="0.3">
      <c r="D346" s="89" t="s">
        <v>427</v>
      </c>
      <c r="E346" s="138"/>
      <c r="F346" s="132"/>
      <c r="G346" s="131"/>
      <c r="H346" s="153"/>
      <c r="I346" s="146"/>
      <c r="J346" s="146"/>
      <c r="K346" s="132"/>
    </row>
    <row r="347" spans="4:12" ht="15.75" x14ac:dyDescent="0.25">
      <c r="D347" s="53" t="s">
        <v>429</v>
      </c>
      <c r="E347" s="137">
        <f>N328</f>
        <v>115.39499999999998</v>
      </c>
      <c r="F347" s="130">
        <v>0.15</v>
      </c>
      <c r="G347" s="130">
        <f t="shared" ref="G347:G359" si="2">E347*F347</f>
        <v>17.309249999999995</v>
      </c>
      <c r="H347" s="130">
        <v>22</v>
      </c>
      <c r="I347" s="139" t="s">
        <v>431</v>
      </c>
      <c r="J347" s="139" t="s">
        <v>432</v>
      </c>
      <c r="K347" s="130">
        <v>1</v>
      </c>
    </row>
    <row r="348" spans="4:12" ht="16.5" thickBot="1" x14ac:dyDescent="0.3">
      <c r="D348" s="89" t="s">
        <v>430</v>
      </c>
      <c r="E348" s="138"/>
      <c r="F348" s="132"/>
      <c r="G348" s="131"/>
      <c r="H348" s="131"/>
      <c r="I348" s="154"/>
      <c r="J348" s="154"/>
      <c r="K348" s="131"/>
    </row>
    <row r="349" spans="4:12" ht="15.75" x14ac:dyDescent="0.25">
      <c r="D349" s="53" t="s">
        <v>433</v>
      </c>
      <c r="E349" s="137">
        <f>E347</f>
        <v>115.39499999999998</v>
      </c>
      <c r="F349" s="130">
        <v>0.1</v>
      </c>
      <c r="G349" s="130">
        <f t="shared" si="2"/>
        <v>11.539499999999999</v>
      </c>
      <c r="H349" s="131"/>
      <c r="I349" s="154"/>
      <c r="J349" s="154"/>
      <c r="K349" s="131"/>
    </row>
    <row r="350" spans="4:12" ht="16.5" thickBot="1" x14ac:dyDescent="0.3">
      <c r="D350" s="89" t="s">
        <v>434</v>
      </c>
      <c r="E350" s="138"/>
      <c r="F350" s="132"/>
      <c r="G350" s="131"/>
      <c r="H350" s="132"/>
      <c r="I350" s="140"/>
      <c r="J350" s="140"/>
      <c r="K350" s="132"/>
    </row>
    <row r="351" spans="4:12" ht="15.75" x14ac:dyDescent="0.25">
      <c r="D351" s="53" t="s">
        <v>435</v>
      </c>
      <c r="E351" s="137">
        <f>N312</f>
        <v>109.89999999999999</v>
      </c>
      <c r="F351" s="130">
        <v>0.28699999999999998</v>
      </c>
      <c r="G351" s="130">
        <f t="shared" si="2"/>
        <v>31.541299999999996</v>
      </c>
      <c r="H351" s="130" t="s">
        <v>437</v>
      </c>
      <c r="I351" s="143" t="s">
        <v>438</v>
      </c>
      <c r="J351" s="145" t="s">
        <v>439</v>
      </c>
      <c r="K351" s="141">
        <v>2</v>
      </c>
    </row>
    <row r="352" spans="4:12" ht="16.5" thickBot="1" x14ac:dyDescent="0.3">
      <c r="D352" s="89" t="s">
        <v>436</v>
      </c>
      <c r="E352" s="138"/>
      <c r="F352" s="132"/>
      <c r="G352" s="131"/>
      <c r="H352" s="132"/>
      <c r="I352" s="144"/>
      <c r="J352" s="146"/>
      <c r="K352" s="142"/>
    </row>
    <row r="353" spans="4:18" ht="15.75" x14ac:dyDescent="0.25">
      <c r="D353" s="99" t="s">
        <v>440</v>
      </c>
      <c r="E353" s="137">
        <f>N314</f>
        <v>47.1</v>
      </c>
      <c r="F353" s="130">
        <v>0.28699999999999998</v>
      </c>
      <c r="G353" s="130">
        <f t="shared" si="2"/>
        <v>13.5177</v>
      </c>
      <c r="H353" s="130" t="s">
        <v>442</v>
      </c>
      <c r="I353" s="130" t="s">
        <v>443</v>
      </c>
      <c r="J353" s="139" t="s">
        <v>444</v>
      </c>
      <c r="K353" s="141">
        <v>1</v>
      </c>
    </row>
    <row r="354" spans="4:18" ht="16.5" thickBot="1" x14ac:dyDescent="0.3">
      <c r="D354" s="89" t="s">
        <v>441</v>
      </c>
      <c r="E354" s="138"/>
      <c r="F354" s="132"/>
      <c r="G354" s="131"/>
      <c r="H354" s="132"/>
      <c r="I354" s="132"/>
      <c r="J354" s="140"/>
      <c r="K354" s="142"/>
    </row>
    <row r="355" spans="4:18" ht="15.75" x14ac:dyDescent="0.25">
      <c r="D355" s="100" t="s">
        <v>445</v>
      </c>
      <c r="E355" s="137">
        <f>N324</f>
        <v>47.1</v>
      </c>
      <c r="F355" s="130">
        <v>0.13300000000000001</v>
      </c>
      <c r="G355" s="130">
        <f t="shared" si="2"/>
        <v>6.2643000000000004</v>
      </c>
      <c r="H355" s="130" t="s">
        <v>447</v>
      </c>
      <c r="I355" s="139" t="s">
        <v>448</v>
      </c>
      <c r="J355" s="139" t="s">
        <v>449</v>
      </c>
      <c r="K355" s="130">
        <v>2</v>
      </c>
    </row>
    <row r="356" spans="4:18" ht="16.5" thickBot="1" x14ac:dyDescent="0.3">
      <c r="D356" s="92" t="s">
        <v>446</v>
      </c>
      <c r="E356" s="138"/>
      <c r="F356" s="132"/>
      <c r="G356" s="131"/>
      <c r="H356" s="131"/>
      <c r="I356" s="154"/>
      <c r="J356" s="154"/>
      <c r="K356" s="131"/>
    </row>
    <row r="357" spans="4:18" ht="15.75" x14ac:dyDescent="0.25">
      <c r="D357" s="53" t="s">
        <v>450</v>
      </c>
      <c r="E357" s="137">
        <f>E355</f>
        <v>47.1</v>
      </c>
      <c r="F357" s="130">
        <v>0.14000000000000001</v>
      </c>
      <c r="G357" s="130">
        <f t="shared" si="2"/>
        <v>6.5940000000000012</v>
      </c>
      <c r="H357" s="131"/>
      <c r="I357" s="154"/>
      <c r="J357" s="154"/>
      <c r="K357" s="131"/>
    </row>
    <row r="358" spans="4:18" ht="16.5" thickBot="1" x14ac:dyDescent="0.3">
      <c r="D358" s="89" t="s">
        <v>451</v>
      </c>
      <c r="E358" s="138"/>
      <c r="F358" s="132"/>
      <c r="G358" s="131"/>
      <c r="H358" s="132"/>
      <c r="I358" s="140"/>
      <c r="J358" s="140"/>
      <c r="K358" s="132"/>
    </row>
    <row r="359" spans="4:18" ht="15.75" x14ac:dyDescent="0.25">
      <c r="D359" s="53" t="s">
        <v>450</v>
      </c>
      <c r="E359" s="137">
        <f>E341</f>
        <v>109.89999999999999</v>
      </c>
      <c r="F359" s="130">
        <v>7.0000000000000007E-2</v>
      </c>
      <c r="G359" s="130">
        <f t="shared" si="2"/>
        <v>7.6930000000000005</v>
      </c>
      <c r="H359" s="130" t="s">
        <v>453</v>
      </c>
      <c r="I359" s="143" t="s">
        <v>454</v>
      </c>
      <c r="J359" s="145" t="s">
        <v>455</v>
      </c>
      <c r="K359" s="141">
        <v>1</v>
      </c>
    </row>
    <row r="360" spans="4:18" ht="16.5" thickBot="1" x14ac:dyDescent="0.3">
      <c r="D360" s="89" t="s">
        <v>452</v>
      </c>
      <c r="E360" s="138"/>
      <c r="F360" s="132"/>
      <c r="G360" s="131"/>
      <c r="H360" s="132"/>
      <c r="I360" s="144"/>
      <c r="J360" s="146"/>
      <c r="K360" s="142"/>
    </row>
    <row r="361" spans="4:18" ht="15.75" x14ac:dyDescent="0.25">
      <c r="D361" s="53" t="s">
        <v>456</v>
      </c>
      <c r="E361" s="137">
        <f>E338</f>
        <v>127.44601311084622</v>
      </c>
      <c r="F361" s="130">
        <v>0.2</v>
      </c>
      <c r="G361" s="130">
        <f>F361*E361</f>
        <v>25.489202622169245</v>
      </c>
      <c r="H361" s="130" t="s">
        <v>424</v>
      </c>
      <c r="I361" s="130" t="s">
        <v>458</v>
      </c>
      <c r="J361" s="139" t="s">
        <v>425</v>
      </c>
      <c r="K361" s="141">
        <v>2</v>
      </c>
    </row>
    <row r="362" spans="4:18" ht="16.5" thickBot="1" x14ac:dyDescent="0.3">
      <c r="D362" s="89" t="s">
        <v>457</v>
      </c>
      <c r="E362" s="138"/>
      <c r="F362" s="132"/>
      <c r="G362" s="132"/>
      <c r="H362" s="132"/>
      <c r="I362" s="132"/>
      <c r="J362" s="140"/>
      <c r="K362" s="142"/>
    </row>
    <row r="363" spans="4:18" ht="16.5" thickBot="1" x14ac:dyDescent="0.3">
      <c r="D363" s="89" t="s">
        <v>415</v>
      </c>
      <c r="E363" s="106">
        <f>N329</f>
        <v>31.861503277711556</v>
      </c>
      <c r="F363" s="49">
        <v>0.25</v>
      </c>
      <c r="G363" s="49">
        <f>F363*E363</f>
        <v>7.965375819427889</v>
      </c>
      <c r="H363" s="49" t="s">
        <v>459</v>
      </c>
      <c r="I363" s="49" t="s">
        <v>460</v>
      </c>
      <c r="J363" s="97" t="s">
        <v>461</v>
      </c>
      <c r="K363" s="96">
        <v>1</v>
      </c>
    </row>
    <row r="364" spans="4:18" ht="15.75" x14ac:dyDescent="0.25">
      <c r="D364" s="53" t="s">
        <v>462</v>
      </c>
      <c r="E364" s="137">
        <f>N326</f>
        <v>115.39499999999998</v>
      </c>
      <c r="F364" s="130">
        <v>0.1</v>
      </c>
      <c r="G364" s="130">
        <f>F364*E364</f>
        <v>11.539499999999999</v>
      </c>
      <c r="H364" s="130" t="s">
        <v>464</v>
      </c>
      <c r="I364" s="143" t="s">
        <v>465</v>
      </c>
      <c r="J364" s="145" t="s">
        <v>455</v>
      </c>
      <c r="K364" s="141">
        <v>1</v>
      </c>
    </row>
    <row r="365" spans="4:18" ht="16.5" thickBot="1" x14ac:dyDescent="0.3">
      <c r="D365" s="89" t="s">
        <v>463</v>
      </c>
      <c r="E365" s="138"/>
      <c r="F365" s="132"/>
      <c r="G365" s="132"/>
      <c r="H365" s="132"/>
      <c r="I365" s="144"/>
      <c r="J365" s="146"/>
      <c r="K365" s="142"/>
    </row>
    <row r="366" spans="4:18" ht="16.5" thickBot="1" x14ac:dyDescent="0.3">
      <c r="D366" s="89" t="s">
        <v>416</v>
      </c>
      <c r="E366" s="128" t="s">
        <v>468</v>
      </c>
      <c r="F366" s="129"/>
      <c r="G366" s="49" t="s">
        <v>469</v>
      </c>
      <c r="H366" s="49" t="s">
        <v>470</v>
      </c>
      <c r="I366" s="64" t="s">
        <v>471</v>
      </c>
      <c r="J366" s="98" t="s">
        <v>432</v>
      </c>
      <c r="K366" s="96">
        <v>1</v>
      </c>
    </row>
    <row r="367" spans="4:18" ht="15.75" thickBot="1" x14ac:dyDescent="0.3"/>
    <row r="368" spans="4:18" ht="27" customHeight="1" thickBot="1" x14ac:dyDescent="0.3">
      <c r="D368" s="123" t="s">
        <v>484</v>
      </c>
      <c r="E368" s="123" t="s">
        <v>485</v>
      </c>
      <c r="F368" s="123" t="s">
        <v>486</v>
      </c>
      <c r="G368" s="133" t="s">
        <v>487</v>
      </c>
      <c r="H368" s="123" t="s">
        <v>488</v>
      </c>
      <c r="I368" s="123" t="s">
        <v>489</v>
      </c>
      <c r="J368" s="135" t="s">
        <v>490</v>
      </c>
      <c r="K368" s="136"/>
      <c r="L368" s="123" t="s">
        <v>491</v>
      </c>
      <c r="M368" s="123" t="s">
        <v>492</v>
      </c>
      <c r="N368" s="123" t="s">
        <v>493</v>
      </c>
      <c r="O368" s="123" t="s">
        <v>494</v>
      </c>
      <c r="P368" s="123" t="s">
        <v>495</v>
      </c>
      <c r="Q368" s="123" t="s">
        <v>496</v>
      </c>
      <c r="R368" s="123" t="s">
        <v>497</v>
      </c>
    </row>
    <row r="369" spans="4:19" ht="78.75" customHeight="1" thickBot="1" x14ac:dyDescent="0.3">
      <c r="D369" s="124"/>
      <c r="E369" s="124"/>
      <c r="F369" s="124"/>
      <c r="G369" s="134"/>
      <c r="H369" s="124"/>
      <c r="I369" s="124"/>
      <c r="J369" s="111" t="s">
        <v>498</v>
      </c>
      <c r="K369" s="112" t="s">
        <v>499</v>
      </c>
      <c r="L369" s="124"/>
      <c r="M369" s="124"/>
      <c r="N369" s="124"/>
      <c r="O369" s="124"/>
      <c r="P369" s="124"/>
      <c r="Q369" s="124"/>
      <c r="R369" s="124"/>
    </row>
    <row r="370" spans="4:19" ht="16.5" thickBot="1" x14ac:dyDescent="0.3">
      <c r="D370" s="91">
        <v>1</v>
      </c>
      <c r="E370" s="6">
        <v>2</v>
      </c>
      <c r="F370" s="6">
        <v>3</v>
      </c>
      <c r="G370" s="120">
        <v>4</v>
      </c>
      <c r="H370" s="6">
        <v>5</v>
      </c>
      <c r="I370" s="6">
        <v>6</v>
      </c>
      <c r="J370" s="6">
        <v>7</v>
      </c>
      <c r="K370" s="6">
        <v>8</v>
      </c>
      <c r="L370" s="6">
        <v>9</v>
      </c>
      <c r="M370" s="6">
        <v>10</v>
      </c>
      <c r="N370" s="6">
        <v>11</v>
      </c>
      <c r="O370" s="6">
        <v>12</v>
      </c>
      <c r="P370" s="6">
        <v>13</v>
      </c>
      <c r="Q370" s="6">
        <v>14</v>
      </c>
      <c r="R370" s="6">
        <v>15</v>
      </c>
    </row>
    <row r="371" spans="4:19" ht="32.25" customHeight="1" thickBot="1" x14ac:dyDescent="0.3">
      <c r="D371" s="91" t="s">
        <v>507</v>
      </c>
      <c r="E371" s="6" t="s">
        <v>516</v>
      </c>
      <c r="F371" s="94">
        <v>107.9</v>
      </c>
      <c r="G371" s="120">
        <v>85</v>
      </c>
      <c r="H371" s="94">
        <f>(F371*J371*K371)/G371</f>
        <v>1.815258823529412</v>
      </c>
      <c r="I371" s="94">
        <v>6</v>
      </c>
      <c r="J371" s="94">
        <v>1.1000000000000001</v>
      </c>
      <c r="K371" s="94">
        <v>1.3</v>
      </c>
      <c r="L371" s="94">
        <f>I371*H371</f>
        <v>10.891552941176473</v>
      </c>
      <c r="M371" s="94">
        <v>0.7</v>
      </c>
      <c r="N371" s="94">
        <f>L371/M371</f>
        <v>15.55936134453782</v>
      </c>
      <c r="O371" s="94">
        <v>0.6</v>
      </c>
      <c r="P371" s="94">
        <f>N371/O371</f>
        <v>25.932268907563035</v>
      </c>
      <c r="Q371" s="114"/>
      <c r="R371" s="125" t="s">
        <v>501</v>
      </c>
    </row>
    <row r="372" spans="4:19" ht="32.25" customHeight="1" thickBot="1" x14ac:dyDescent="0.3">
      <c r="D372" s="91" t="s">
        <v>170</v>
      </c>
      <c r="E372" s="6"/>
      <c r="F372" s="94"/>
      <c r="G372" s="120"/>
      <c r="H372" s="94"/>
      <c r="I372" s="94"/>
      <c r="J372" s="94"/>
      <c r="K372" s="94"/>
      <c r="L372" s="94"/>
      <c r="M372" s="94"/>
      <c r="N372" s="122"/>
      <c r="O372" s="94"/>
      <c r="P372" s="122"/>
      <c r="Q372" s="114"/>
      <c r="R372" s="126"/>
    </row>
    <row r="373" spans="4:19" ht="34.5" customHeight="1" thickBot="1" x14ac:dyDescent="0.3">
      <c r="D373" s="91" t="s">
        <v>508</v>
      </c>
      <c r="E373" s="6" t="s">
        <v>500</v>
      </c>
      <c r="F373" s="94">
        <v>2013.98</v>
      </c>
      <c r="G373" s="120">
        <v>265</v>
      </c>
      <c r="H373" s="94">
        <f>(J373*K373*F373)/G373</f>
        <v>10.867892075471699</v>
      </c>
      <c r="I373" s="94">
        <v>12</v>
      </c>
      <c r="J373" s="94">
        <v>1.1000000000000001</v>
      </c>
      <c r="K373" s="94">
        <v>1.3</v>
      </c>
      <c r="L373" s="94">
        <f>H373*I373</f>
        <v>130.41470490566039</v>
      </c>
      <c r="M373" s="94">
        <v>4.2</v>
      </c>
      <c r="N373" s="122">
        <f t="shared" ref="N373:N381" si="3">L373/M373</f>
        <v>31.051120215633425</v>
      </c>
      <c r="O373" s="94">
        <v>0.6</v>
      </c>
      <c r="P373" s="122">
        <f t="shared" ref="P373:P382" si="4">N373/O373</f>
        <v>51.751867026055713</v>
      </c>
      <c r="Q373" s="115"/>
      <c r="R373" s="125" t="s">
        <v>504</v>
      </c>
    </row>
    <row r="374" spans="4:19" ht="16.5" thickBot="1" x14ac:dyDescent="0.3">
      <c r="D374" s="91" t="s">
        <v>170</v>
      </c>
      <c r="E374" s="6"/>
      <c r="F374" s="94"/>
      <c r="G374" s="120"/>
      <c r="H374" s="94"/>
      <c r="I374" s="94"/>
      <c r="J374" s="94"/>
      <c r="K374" s="94"/>
      <c r="L374" s="122"/>
      <c r="M374" s="94"/>
      <c r="N374" s="122"/>
      <c r="O374" s="94"/>
      <c r="P374" s="122"/>
      <c r="Q374" s="116"/>
      <c r="R374" s="126"/>
    </row>
    <row r="375" spans="4:19" ht="16.5" thickBot="1" x14ac:dyDescent="0.3">
      <c r="D375" s="91" t="s">
        <v>509</v>
      </c>
      <c r="E375" s="6" t="s">
        <v>500</v>
      </c>
      <c r="F375" s="94">
        <v>55.584000000000003</v>
      </c>
      <c r="G375" s="120">
        <v>40</v>
      </c>
      <c r="H375" s="122">
        <f t="shared" ref="H375:H377" si="5">(F375*J375*K375)/G375</f>
        <v>1.9871280000000002</v>
      </c>
      <c r="I375" s="122">
        <v>8</v>
      </c>
      <c r="J375" s="94">
        <v>1.1000000000000001</v>
      </c>
      <c r="K375" s="94">
        <v>1.3</v>
      </c>
      <c r="L375" s="122">
        <f t="shared" ref="L375:L382" si="6">H375*I375</f>
        <v>15.897024000000002</v>
      </c>
      <c r="M375" s="94">
        <v>3.6</v>
      </c>
      <c r="N375" s="122">
        <f t="shared" si="3"/>
        <v>4.4158400000000002</v>
      </c>
      <c r="O375" s="94">
        <v>0.6</v>
      </c>
      <c r="P375" s="122">
        <f t="shared" si="4"/>
        <v>7.3597333333333337</v>
      </c>
      <c r="Q375" s="117"/>
      <c r="R375" s="125" t="s">
        <v>506</v>
      </c>
    </row>
    <row r="376" spans="4:19" ht="19.5" thickBot="1" x14ac:dyDescent="0.3">
      <c r="D376" s="91" t="s">
        <v>510</v>
      </c>
      <c r="E376" s="6" t="s">
        <v>503</v>
      </c>
      <c r="F376" s="94">
        <v>2969.2</v>
      </c>
      <c r="G376" s="120">
        <v>40</v>
      </c>
      <c r="H376" s="122">
        <f t="shared" si="5"/>
        <v>106.1489</v>
      </c>
      <c r="I376" s="122">
        <v>5</v>
      </c>
      <c r="J376" s="94">
        <v>1.1000000000000001</v>
      </c>
      <c r="K376" s="94">
        <v>1.3</v>
      </c>
      <c r="L376" s="122">
        <f t="shared" si="6"/>
        <v>530.74450000000002</v>
      </c>
      <c r="M376" s="94">
        <v>35</v>
      </c>
      <c r="N376" s="122">
        <f t="shared" si="3"/>
        <v>15.164128571428572</v>
      </c>
      <c r="O376" s="94">
        <v>0.6</v>
      </c>
      <c r="P376" s="122">
        <f t="shared" si="4"/>
        <v>25.273547619047619</v>
      </c>
      <c r="Q376" s="117"/>
      <c r="R376" s="127"/>
      <c r="S376" s="16" t="s">
        <v>18</v>
      </c>
    </row>
    <row r="377" spans="4:19" ht="20.25" customHeight="1" thickBot="1" x14ac:dyDescent="0.3">
      <c r="D377" s="91" t="s">
        <v>511</v>
      </c>
      <c r="E377" s="6" t="s">
        <v>502</v>
      </c>
      <c r="F377" s="94">
        <v>80.64</v>
      </c>
      <c r="G377" s="120">
        <v>40</v>
      </c>
      <c r="H377" s="122">
        <f t="shared" si="5"/>
        <v>2.8828800000000006</v>
      </c>
      <c r="I377" s="122">
        <v>5</v>
      </c>
      <c r="J377" s="94">
        <v>1.1000000000000001</v>
      </c>
      <c r="K377" s="94">
        <v>1.3</v>
      </c>
      <c r="L377" s="122">
        <f t="shared" si="6"/>
        <v>14.414400000000002</v>
      </c>
      <c r="M377" s="94">
        <v>3.5</v>
      </c>
      <c r="N377" s="122">
        <f t="shared" si="3"/>
        <v>4.1184000000000003</v>
      </c>
      <c r="O377" s="94">
        <v>0.6</v>
      </c>
      <c r="P377" s="122">
        <f t="shared" si="4"/>
        <v>6.8640000000000008</v>
      </c>
      <c r="Q377" s="117"/>
      <c r="R377" s="127"/>
      <c r="S377" s="16" t="s">
        <v>149</v>
      </c>
    </row>
    <row r="378" spans="4:19" ht="16.5" thickBot="1" x14ac:dyDescent="0.3">
      <c r="D378" s="91" t="s">
        <v>170</v>
      </c>
      <c r="E378" s="6"/>
      <c r="F378" s="94"/>
      <c r="G378" s="120"/>
      <c r="H378" s="122"/>
      <c r="I378" s="122"/>
      <c r="J378" s="94"/>
      <c r="K378" s="94"/>
      <c r="L378" s="122"/>
      <c r="M378" s="94"/>
      <c r="N378" s="122"/>
      <c r="O378" s="94"/>
      <c r="P378" s="122"/>
      <c r="Q378" s="117"/>
      <c r="R378" s="126"/>
    </row>
    <row r="379" spans="4:19" ht="16.5" thickBot="1" x14ac:dyDescent="0.3">
      <c r="D379" s="91" t="s">
        <v>512</v>
      </c>
      <c r="E379" s="6" t="s">
        <v>500</v>
      </c>
      <c r="F379" s="94">
        <v>15.512</v>
      </c>
      <c r="G379" s="120">
        <v>40</v>
      </c>
      <c r="H379" s="122">
        <f>(F379*J379*K379)/G379</f>
        <v>0.5545540000000001</v>
      </c>
      <c r="I379" s="122">
        <v>12</v>
      </c>
      <c r="J379" s="94">
        <v>1.1000000000000001</v>
      </c>
      <c r="K379" s="94">
        <v>1.3</v>
      </c>
      <c r="L379" s="122">
        <f t="shared" si="6"/>
        <v>6.6546480000000017</v>
      </c>
      <c r="M379" s="94">
        <v>1</v>
      </c>
      <c r="N379" s="122">
        <f t="shared" si="3"/>
        <v>6.6546480000000017</v>
      </c>
      <c r="O379" s="94">
        <v>0.6</v>
      </c>
      <c r="P379" s="122">
        <f t="shared" si="4"/>
        <v>11.091080000000003</v>
      </c>
      <c r="Q379" s="117"/>
      <c r="R379" s="125" t="s">
        <v>505</v>
      </c>
    </row>
    <row r="380" spans="4:19" ht="16.5" thickBot="1" x14ac:dyDescent="0.3">
      <c r="D380" s="91" t="s">
        <v>513</v>
      </c>
      <c r="E380" s="6" t="s">
        <v>500</v>
      </c>
      <c r="F380" s="94">
        <f>18808.73*20/1000</f>
        <v>376.1746</v>
      </c>
      <c r="G380" s="120">
        <v>40</v>
      </c>
      <c r="H380" s="94">
        <f>(F380*J380*K380)/G380</f>
        <v>13.448241950000002</v>
      </c>
      <c r="I380" s="94">
        <v>8</v>
      </c>
      <c r="J380" s="94">
        <v>1.1000000000000001</v>
      </c>
      <c r="K380" s="94">
        <v>1.3</v>
      </c>
      <c r="L380" s="122">
        <f t="shared" si="6"/>
        <v>107.58593560000001</v>
      </c>
      <c r="M380" s="94">
        <v>2.5</v>
      </c>
      <c r="N380" s="122">
        <f>L380/M380</f>
        <v>43.034374240000005</v>
      </c>
      <c r="O380" s="94">
        <v>0.6</v>
      </c>
      <c r="P380" s="122">
        <f t="shared" si="4"/>
        <v>71.723957066666685</v>
      </c>
      <c r="Q380" s="118"/>
      <c r="R380" s="127"/>
      <c r="S380" s="16" t="s">
        <v>500</v>
      </c>
    </row>
    <row r="381" spans="4:19" ht="19.5" thickBot="1" x14ac:dyDescent="0.3">
      <c r="D381" s="91" t="s">
        <v>514</v>
      </c>
      <c r="E381" s="6" t="s">
        <v>503</v>
      </c>
      <c r="F381" s="94">
        <f>173.62*30/1000</f>
        <v>5.2086000000000006</v>
      </c>
      <c r="G381" s="120">
        <v>40</v>
      </c>
      <c r="H381" s="122">
        <f t="shared" ref="H381:H382" si="7">(F381*J381*K381)/G381</f>
        <v>0.18620745000000005</v>
      </c>
      <c r="I381" s="122">
        <v>8</v>
      </c>
      <c r="J381" s="94">
        <v>1.1000000000000001</v>
      </c>
      <c r="K381" s="94">
        <v>1.3</v>
      </c>
      <c r="L381" s="122">
        <f t="shared" si="6"/>
        <v>1.4896596000000004</v>
      </c>
      <c r="M381" s="94">
        <v>2.5</v>
      </c>
      <c r="N381" s="122">
        <f t="shared" si="3"/>
        <v>0.59586384000000014</v>
      </c>
      <c r="O381" s="94">
        <v>0.6</v>
      </c>
      <c r="P381" s="122">
        <f t="shared" si="4"/>
        <v>0.99310640000000028</v>
      </c>
      <c r="Q381" s="117"/>
      <c r="R381" s="127"/>
      <c r="S381" s="16" t="s">
        <v>500</v>
      </c>
    </row>
    <row r="382" spans="4:19" ht="16.5" thickBot="1" x14ac:dyDescent="0.3">
      <c r="D382" s="91" t="s">
        <v>515</v>
      </c>
      <c r="E382" s="6" t="s">
        <v>149</v>
      </c>
      <c r="F382" s="94">
        <v>140.88</v>
      </c>
      <c r="G382" s="120">
        <v>40</v>
      </c>
      <c r="H382" s="122">
        <f t="shared" si="7"/>
        <v>5.0364600000000008</v>
      </c>
      <c r="I382" s="122">
        <v>12</v>
      </c>
      <c r="J382" s="94">
        <v>1.1000000000000001</v>
      </c>
      <c r="K382" s="94">
        <v>1.3</v>
      </c>
      <c r="L382" s="122">
        <f t="shared" si="6"/>
        <v>60.437520000000006</v>
      </c>
      <c r="M382" s="94">
        <v>42</v>
      </c>
      <c r="N382" s="122">
        <f>L382/M382</f>
        <v>1.4389885714285715</v>
      </c>
      <c r="O382" s="94">
        <v>0.6</v>
      </c>
      <c r="P382" s="122">
        <f t="shared" si="4"/>
        <v>2.3983142857142861</v>
      </c>
      <c r="Q382" s="117"/>
      <c r="R382" s="127"/>
      <c r="S382" s="16" t="s">
        <v>149</v>
      </c>
    </row>
    <row r="383" spans="4:19" ht="15.75" customHeight="1" thickBot="1" x14ac:dyDescent="0.3">
      <c r="D383" s="113" t="s">
        <v>170</v>
      </c>
      <c r="E383" s="113"/>
      <c r="F383" s="119"/>
      <c r="G383" s="121"/>
      <c r="H383" s="119"/>
      <c r="I383" s="119"/>
      <c r="J383" s="119"/>
      <c r="K383" s="119"/>
      <c r="L383" s="119"/>
      <c r="M383" s="119"/>
      <c r="N383" s="122"/>
      <c r="O383" s="119"/>
      <c r="P383" s="122"/>
      <c r="Q383" s="117"/>
      <c r="R383" s="126"/>
    </row>
  </sheetData>
  <mergeCells count="741">
    <mergeCell ref="C270:C274"/>
    <mergeCell ref="C275:C279"/>
    <mergeCell ref="C280:C284"/>
    <mergeCell ref="D196:D197"/>
    <mergeCell ref="E196:E197"/>
    <mergeCell ref="F196:F197"/>
    <mergeCell ref="I196:I197"/>
    <mergeCell ref="B208:G209"/>
    <mergeCell ref="B210:G210"/>
    <mergeCell ref="B211:G211"/>
    <mergeCell ref="B212:G212"/>
    <mergeCell ref="B213:G213"/>
    <mergeCell ref="B198:B199"/>
    <mergeCell ref="C198:C199"/>
    <mergeCell ref="D198:D199"/>
    <mergeCell ref="E198:E199"/>
    <mergeCell ref="F198:F199"/>
    <mergeCell ref="I198:I199"/>
    <mergeCell ref="B200:B201"/>
    <mergeCell ref="C200:C201"/>
    <mergeCell ref="D200:D201"/>
    <mergeCell ref="E200:E201"/>
    <mergeCell ref="F200:F201"/>
    <mergeCell ref="I200:I201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B171:B172"/>
    <mergeCell ref="C171:C172"/>
    <mergeCell ref="D171:D172"/>
    <mergeCell ref="E171:E172"/>
    <mergeCell ref="F171:F172"/>
    <mergeCell ref="I171:I172"/>
    <mergeCell ref="F178:F179"/>
    <mergeCell ref="I178:I179"/>
    <mergeCell ref="B180:B181"/>
    <mergeCell ref="C180:C181"/>
    <mergeCell ref="D180:D181"/>
    <mergeCell ref="E180:E181"/>
    <mergeCell ref="F180:F181"/>
    <mergeCell ref="I180:I181"/>
    <mergeCell ref="B173:B174"/>
    <mergeCell ref="C173:C174"/>
    <mergeCell ref="D173:D174"/>
    <mergeCell ref="E173:E174"/>
    <mergeCell ref="F173:F174"/>
    <mergeCell ref="B175:B176"/>
    <mergeCell ref="C175:C176"/>
    <mergeCell ref="I173:I174"/>
    <mergeCell ref="I175:I176"/>
    <mergeCell ref="D175:D176"/>
    <mergeCell ref="C151:C152"/>
    <mergeCell ref="D151:D152"/>
    <mergeCell ref="E151:E152"/>
    <mergeCell ref="F151:F152"/>
    <mergeCell ref="I151:I152"/>
    <mergeCell ref="B168:I168"/>
    <mergeCell ref="B169:B170"/>
    <mergeCell ref="C169:C170"/>
    <mergeCell ref="D169:D170"/>
    <mergeCell ref="E169:E170"/>
    <mergeCell ref="F169:F170"/>
    <mergeCell ref="I169:I170"/>
    <mergeCell ref="I166:I167"/>
    <mergeCell ref="B162:B163"/>
    <mergeCell ref="C162:C163"/>
    <mergeCell ref="D162:D163"/>
    <mergeCell ref="E162:E163"/>
    <mergeCell ref="F162:F163"/>
    <mergeCell ref="I162:I163"/>
    <mergeCell ref="B164:B165"/>
    <mergeCell ref="C164:C165"/>
    <mergeCell ref="D164:D165"/>
    <mergeCell ref="E164:E165"/>
    <mergeCell ref="F164:F165"/>
    <mergeCell ref="B138:B139"/>
    <mergeCell ref="C138:C139"/>
    <mergeCell ref="D138:D139"/>
    <mergeCell ref="E138:E139"/>
    <mergeCell ref="F138:F139"/>
    <mergeCell ref="I138:I139"/>
    <mergeCell ref="B140:B141"/>
    <mergeCell ref="C140:C141"/>
    <mergeCell ref="D140:D141"/>
    <mergeCell ref="E140:E141"/>
    <mergeCell ref="F140:F141"/>
    <mergeCell ref="I140:I141"/>
    <mergeCell ref="F119:F120"/>
    <mergeCell ref="I119:I120"/>
    <mergeCell ref="B121:B122"/>
    <mergeCell ref="C121:C122"/>
    <mergeCell ref="D121:D122"/>
    <mergeCell ref="E121:E122"/>
    <mergeCell ref="F121:F122"/>
    <mergeCell ref="I121:I122"/>
    <mergeCell ref="E127:E128"/>
    <mergeCell ref="D125:D126"/>
    <mergeCell ref="E125:E126"/>
    <mergeCell ref="F125:F126"/>
    <mergeCell ref="I125:I126"/>
    <mergeCell ref="B127:B128"/>
    <mergeCell ref="C127:C128"/>
    <mergeCell ref="D127:D128"/>
    <mergeCell ref="F127:F128"/>
    <mergeCell ref="I127:I128"/>
    <mergeCell ref="B125:B126"/>
    <mergeCell ref="C125:C126"/>
    <mergeCell ref="I98:I99"/>
    <mergeCell ref="D102:D103"/>
    <mergeCell ref="B110:I110"/>
    <mergeCell ref="B111:B113"/>
    <mergeCell ref="C111:C113"/>
    <mergeCell ref="E111:E113"/>
    <mergeCell ref="F111:F113"/>
    <mergeCell ref="I111:I113"/>
    <mergeCell ref="B114:B115"/>
    <mergeCell ref="C114:C115"/>
    <mergeCell ref="D114:D115"/>
    <mergeCell ref="E114:E115"/>
    <mergeCell ref="F114:F115"/>
    <mergeCell ref="I114:I115"/>
    <mergeCell ref="I108:I109"/>
    <mergeCell ref="B108:B109"/>
    <mergeCell ref="C108:C109"/>
    <mergeCell ref="D108:D109"/>
    <mergeCell ref="E108:E109"/>
    <mergeCell ref="F108:F109"/>
    <mergeCell ref="B98:B99"/>
    <mergeCell ref="C98:C99"/>
    <mergeCell ref="E98:E99"/>
    <mergeCell ref="F98:F99"/>
    <mergeCell ref="B87:B88"/>
    <mergeCell ref="C87:C88"/>
    <mergeCell ref="D87:D88"/>
    <mergeCell ref="E87:E88"/>
    <mergeCell ref="F87:F88"/>
    <mergeCell ref="I87:I88"/>
    <mergeCell ref="B95:I95"/>
    <mergeCell ref="B96:B97"/>
    <mergeCell ref="C96:C97"/>
    <mergeCell ref="D96:D97"/>
    <mergeCell ref="E96:E97"/>
    <mergeCell ref="F96:F97"/>
    <mergeCell ref="I96:I97"/>
    <mergeCell ref="F93:F94"/>
    <mergeCell ref="B89:B90"/>
    <mergeCell ref="C89:C90"/>
    <mergeCell ref="B91:B92"/>
    <mergeCell ref="I89:I90"/>
    <mergeCell ref="D91:D92"/>
    <mergeCell ref="I91:I92"/>
    <mergeCell ref="I93:I94"/>
    <mergeCell ref="D89:D90"/>
    <mergeCell ref="E89:E90"/>
    <mergeCell ref="F89:F90"/>
    <mergeCell ref="B82:B84"/>
    <mergeCell ref="C82:C84"/>
    <mergeCell ref="D82:D84"/>
    <mergeCell ref="F82:F84"/>
    <mergeCell ref="I82:I84"/>
    <mergeCell ref="B85:B86"/>
    <mergeCell ref="C85:C86"/>
    <mergeCell ref="D85:D86"/>
    <mergeCell ref="E85:E86"/>
    <mergeCell ref="F85:F86"/>
    <mergeCell ref="I85:I86"/>
    <mergeCell ref="D77:D79"/>
    <mergeCell ref="F77:F79"/>
    <mergeCell ref="I77:I79"/>
    <mergeCell ref="B80:B81"/>
    <mergeCell ref="C80:C81"/>
    <mergeCell ref="D80:D81"/>
    <mergeCell ref="E80:E81"/>
    <mergeCell ref="F80:F81"/>
    <mergeCell ref="I80:I81"/>
    <mergeCell ref="I3:I4"/>
    <mergeCell ref="E70:E71"/>
    <mergeCell ref="B72:I72"/>
    <mergeCell ref="B73:B74"/>
    <mergeCell ref="C73:C74"/>
    <mergeCell ref="D73:D74"/>
    <mergeCell ref="E73:E74"/>
    <mergeCell ref="F73:F74"/>
    <mergeCell ref="I73:I74"/>
    <mergeCell ref="B50:B51"/>
    <mergeCell ref="C50:C51"/>
    <mergeCell ref="D50:D51"/>
    <mergeCell ref="E50:E51"/>
    <mergeCell ref="F50:F51"/>
    <mergeCell ref="I50:I51"/>
    <mergeCell ref="B52:B53"/>
    <mergeCell ref="C52:C53"/>
    <mergeCell ref="B59:B60"/>
    <mergeCell ref="C59:C60"/>
    <mergeCell ref="D59:D60"/>
    <mergeCell ref="F59:F60"/>
    <mergeCell ref="D52:D53"/>
    <mergeCell ref="E52:E53"/>
    <mergeCell ref="F52:F53"/>
    <mergeCell ref="I164:I165"/>
    <mergeCell ref="B166:B167"/>
    <mergeCell ref="C166:C167"/>
    <mergeCell ref="D166:D167"/>
    <mergeCell ref="E166:E167"/>
    <mergeCell ref="F166:F167"/>
    <mergeCell ref="B161:I161"/>
    <mergeCell ref="B155:B156"/>
    <mergeCell ref="C155:C156"/>
    <mergeCell ref="D155:D156"/>
    <mergeCell ref="E155:E156"/>
    <mergeCell ref="F155:F156"/>
    <mergeCell ref="I155:I156"/>
    <mergeCell ref="F157:F158"/>
    <mergeCell ref="B159:B160"/>
    <mergeCell ref="C159:C160"/>
    <mergeCell ref="D159:D160"/>
    <mergeCell ref="E159:E160"/>
    <mergeCell ref="F159:F160"/>
    <mergeCell ref="I157:I158"/>
    <mergeCell ref="I159:I160"/>
    <mergeCell ref="B157:B158"/>
    <mergeCell ref="C157:C158"/>
    <mergeCell ref="D157:D158"/>
    <mergeCell ref="E157:E158"/>
    <mergeCell ref="B142:B143"/>
    <mergeCell ref="C142:C143"/>
    <mergeCell ref="D142:D143"/>
    <mergeCell ref="B137:I137"/>
    <mergeCell ref="I142:I143"/>
    <mergeCell ref="E142:E143"/>
    <mergeCell ref="F142:F143"/>
    <mergeCell ref="B116:B117"/>
    <mergeCell ref="C116:C117"/>
    <mergeCell ref="D116:D117"/>
    <mergeCell ref="E116:E117"/>
    <mergeCell ref="F116:F117"/>
    <mergeCell ref="I116:I117"/>
    <mergeCell ref="B123:B124"/>
    <mergeCell ref="C123:C124"/>
    <mergeCell ref="D123:D124"/>
    <mergeCell ref="F123:F124"/>
    <mergeCell ref="I123:I124"/>
    <mergeCell ref="B118:I118"/>
    <mergeCell ref="B119:B120"/>
    <mergeCell ref="C119:C120"/>
    <mergeCell ref="D119:D120"/>
    <mergeCell ref="E119:E120"/>
    <mergeCell ref="B58:I58"/>
    <mergeCell ref="E59:E60"/>
    <mergeCell ref="I52:I53"/>
    <mergeCell ref="B54:B55"/>
    <mergeCell ref="C54:C55"/>
    <mergeCell ref="D54:D55"/>
    <mergeCell ref="E54:E55"/>
    <mergeCell ref="F54:F55"/>
    <mergeCell ref="I54:I55"/>
    <mergeCell ref="B56:B57"/>
    <mergeCell ref="C56:C57"/>
    <mergeCell ref="D56:D57"/>
    <mergeCell ref="E56:E57"/>
    <mergeCell ref="F56:F57"/>
    <mergeCell ref="I56:I57"/>
    <mergeCell ref="I59:I60"/>
    <mergeCell ref="F36:F37"/>
    <mergeCell ref="B38:B39"/>
    <mergeCell ref="C38:C39"/>
    <mergeCell ref="D38:D39"/>
    <mergeCell ref="E38:E39"/>
    <mergeCell ref="F38:F39"/>
    <mergeCell ref="B42:B43"/>
    <mergeCell ref="C42:C43"/>
    <mergeCell ref="D42:D43"/>
    <mergeCell ref="B36:B37"/>
    <mergeCell ref="C36:C37"/>
    <mergeCell ref="D36:D37"/>
    <mergeCell ref="E36:E37"/>
    <mergeCell ref="B40:B41"/>
    <mergeCell ref="C40:C41"/>
    <mergeCell ref="D40:D41"/>
    <mergeCell ref="E40:E41"/>
    <mergeCell ref="F40:F41"/>
    <mergeCell ref="B32:B33"/>
    <mergeCell ref="C32:C33"/>
    <mergeCell ref="D32:D33"/>
    <mergeCell ref="E32:E33"/>
    <mergeCell ref="F32:F33"/>
    <mergeCell ref="B34:B35"/>
    <mergeCell ref="C34:C35"/>
    <mergeCell ref="D34:D35"/>
    <mergeCell ref="E34:E35"/>
    <mergeCell ref="F34:F35"/>
    <mergeCell ref="F26:F27"/>
    <mergeCell ref="B28:B29"/>
    <mergeCell ref="C28:C29"/>
    <mergeCell ref="D28:D29"/>
    <mergeCell ref="E28:E29"/>
    <mergeCell ref="F28:F29"/>
    <mergeCell ref="B30:B31"/>
    <mergeCell ref="C30:C31"/>
    <mergeCell ref="D30:D31"/>
    <mergeCell ref="E30:E31"/>
    <mergeCell ref="F30:F31"/>
    <mergeCell ref="D93:D94"/>
    <mergeCell ref="E93:E94"/>
    <mergeCell ref="E146:E147"/>
    <mergeCell ref="F146:F147"/>
    <mergeCell ref="E22:E23"/>
    <mergeCell ref="F22:F23"/>
    <mergeCell ref="B17:B18"/>
    <mergeCell ref="C17:C18"/>
    <mergeCell ref="D17:D18"/>
    <mergeCell ref="E17:E18"/>
    <mergeCell ref="F17:F18"/>
    <mergeCell ref="B19:I19"/>
    <mergeCell ref="B20:B21"/>
    <mergeCell ref="C20:C21"/>
    <mergeCell ref="D20:D21"/>
    <mergeCell ref="B24:B25"/>
    <mergeCell ref="C24:C25"/>
    <mergeCell ref="D24:D25"/>
    <mergeCell ref="E24:E25"/>
    <mergeCell ref="F24:F25"/>
    <mergeCell ref="B26:B27"/>
    <mergeCell ref="C26:C27"/>
    <mergeCell ref="D26:D27"/>
    <mergeCell ref="E26:E27"/>
    <mergeCell ref="G3:H3"/>
    <mergeCell ref="B13:B14"/>
    <mergeCell ref="C13:C14"/>
    <mergeCell ref="D13:D14"/>
    <mergeCell ref="E13:E14"/>
    <mergeCell ref="F13:F14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E20:E21"/>
    <mergeCell ref="F20:F21"/>
    <mergeCell ref="B22:B23"/>
    <mergeCell ref="C22:C23"/>
    <mergeCell ref="D22:D23"/>
    <mergeCell ref="B3:B4"/>
    <mergeCell ref="C3:C4"/>
    <mergeCell ref="D3:D4"/>
    <mergeCell ref="E3:E4"/>
    <mergeCell ref="F3:F4"/>
    <mergeCell ref="B6:I6"/>
    <mergeCell ref="B7:B8"/>
    <mergeCell ref="C7:C8"/>
    <mergeCell ref="D7:D8"/>
    <mergeCell ref="E7:E8"/>
    <mergeCell ref="F7:F8"/>
    <mergeCell ref="B15:B16"/>
    <mergeCell ref="C15:C16"/>
    <mergeCell ref="D15:D16"/>
    <mergeCell ref="E15:E16"/>
    <mergeCell ref="F15:F16"/>
    <mergeCell ref="I7:I8"/>
    <mergeCell ref="I9:I10"/>
    <mergeCell ref="I11:I12"/>
    <mergeCell ref="I13:I14"/>
    <mergeCell ref="I15:I16"/>
    <mergeCell ref="I17:I18"/>
    <mergeCell ref="I22:I23"/>
    <mergeCell ref="I40:I41"/>
    <mergeCell ref="I42:I43"/>
    <mergeCell ref="I24:I25"/>
    <mergeCell ref="I26:I27"/>
    <mergeCell ref="I28:I29"/>
    <mergeCell ref="I30:I31"/>
    <mergeCell ref="I32:I33"/>
    <mergeCell ref="I34:I35"/>
    <mergeCell ref="I36:I37"/>
    <mergeCell ref="I38:I39"/>
    <mergeCell ref="B44:I44"/>
    <mergeCell ref="B45:I45"/>
    <mergeCell ref="I46:I47"/>
    <mergeCell ref="I48:I49"/>
    <mergeCell ref="E42:E43"/>
    <mergeCell ref="F42:F43"/>
    <mergeCell ref="F46:F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I61:I62"/>
    <mergeCell ref="E63:E64"/>
    <mergeCell ref="I63:I64"/>
    <mergeCell ref="B61:B62"/>
    <mergeCell ref="C61:C62"/>
    <mergeCell ref="D61:D62"/>
    <mergeCell ref="E61:E62"/>
    <mergeCell ref="F61:F62"/>
    <mergeCell ref="B63:B64"/>
    <mergeCell ref="C63:C64"/>
    <mergeCell ref="D63:D64"/>
    <mergeCell ref="F63:F64"/>
    <mergeCell ref="I66:I67"/>
    <mergeCell ref="B70:B71"/>
    <mergeCell ref="C70:C71"/>
    <mergeCell ref="D70:D71"/>
    <mergeCell ref="F70:F71"/>
    <mergeCell ref="B65:I65"/>
    <mergeCell ref="B66:B67"/>
    <mergeCell ref="C66:C67"/>
    <mergeCell ref="D66:D67"/>
    <mergeCell ref="E66:E67"/>
    <mergeCell ref="F66:F67"/>
    <mergeCell ref="C68:C69"/>
    <mergeCell ref="D68:D69"/>
    <mergeCell ref="E68:E69"/>
    <mergeCell ref="F68:F69"/>
    <mergeCell ref="B68:B69"/>
    <mergeCell ref="B75:B76"/>
    <mergeCell ref="C75:C76"/>
    <mergeCell ref="D75:D76"/>
    <mergeCell ref="E75:E76"/>
    <mergeCell ref="F75:F76"/>
    <mergeCell ref="I75:I76"/>
    <mergeCell ref="B77:B79"/>
    <mergeCell ref="C77:C79"/>
    <mergeCell ref="I102:I103"/>
    <mergeCell ref="B102:B103"/>
    <mergeCell ref="C102:C103"/>
    <mergeCell ref="E102:E103"/>
    <mergeCell ref="F102:F103"/>
    <mergeCell ref="B100:B101"/>
    <mergeCell ref="C100:C101"/>
    <mergeCell ref="D100:D101"/>
    <mergeCell ref="E100:E101"/>
    <mergeCell ref="F100:F101"/>
    <mergeCell ref="I100:I101"/>
    <mergeCell ref="C91:C92"/>
    <mergeCell ref="E91:E92"/>
    <mergeCell ref="F91:F92"/>
    <mergeCell ref="B93:B94"/>
    <mergeCell ref="C93:C94"/>
    <mergeCell ref="B104:B105"/>
    <mergeCell ref="C104:C105"/>
    <mergeCell ref="D104:D105"/>
    <mergeCell ref="E104:E105"/>
    <mergeCell ref="F104:F105"/>
    <mergeCell ref="I104:I105"/>
    <mergeCell ref="B106:B107"/>
    <mergeCell ref="C106:C107"/>
    <mergeCell ref="D106:D107"/>
    <mergeCell ref="E106:E107"/>
    <mergeCell ref="F106:F107"/>
    <mergeCell ref="I106:I107"/>
    <mergeCell ref="B129:B130"/>
    <mergeCell ref="C129:C130"/>
    <mergeCell ref="D129:D130"/>
    <mergeCell ref="E129:E130"/>
    <mergeCell ref="F129:F130"/>
    <mergeCell ref="I129:I130"/>
    <mergeCell ref="I131:I132"/>
    <mergeCell ref="I135:I136"/>
    <mergeCell ref="B131:B132"/>
    <mergeCell ref="C131:C132"/>
    <mergeCell ref="D131:D132"/>
    <mergeCell ref="E131:E132"/>
    <mergeCell ref="F131:F132"/>
    <mergeCell ref="B135:B136"/>
    <mergeCell ref="C135:C136"/>
    <mergeCell ref="D135:D136"/>
    <mergeCell ref="E135:E136"/>
    <mergeCell ref="F135:F136"/>
    <mergeCell ref="B133:I133"/>
    <mergeCell ref="B134:I134"/>
    <mergeCell ref="I144:I145"/>
    <mergeCell ref="I146:I147"/>
    <mergeCell ref="B153:B154"/>
    <mergeCell ref="C153:C154"/>
    <mergeCell ref="D153:D154"/>
    <mergeCell ref="E153:E154"/>
    <mergeCell ref="F153:F154"/>
    <mergeCell ref="I153:I154"/>
    <mergeCell ref="B144:B145"/>
    <mergeCell ref="C144:C145"/>
    <mergeCell ref="D144:D145"/>
    <mergeCell ref="E144:E145"/>
    <mergeCell ref="F144:F145"/>
    <mergeCell ref="B146:B147"/>
    <mergeCell ref="C146:C147"/>
    <mergeCell ref="D146:D147"/>
    <mergeCell ref="B148:I148"/>
    <mergeCell ref="B149:B150"/>
    <mergeCell ref="C149:C150"/>
    <mergeCell ref="D149:D150"/>
    <mergeCell ref="E149:E150"/>
    <mergeCell ref="F149:F150"/>
    <mergeCell ref="I149:I150"/>
    <mergeCell ref="B151:B152"/>
    <mergeCell ref="E175:E176"/>
    <mergeCell ref="F175:F176"/>
    <mergeCell ref="B177:I177"/>
    <mergeCell ref="B178:B179"/>
    <mergeCell ref="C178:C179"/>
    <mergeCell ref="D178:D179"/>
    <mergeCell ref="E178:E179"/>
    <mergeCell ref="I189:I190"/>
    <mergeCell ref="B191:B192"/>
    <mergeCell ref="C191:C192"/>
    <mergeCell ref="D191:D192"/>
    <mergeCell ref="E191:E192"/>
    <mergeCell ref="F191:F192"/>
    <mergeCell ref="I191:I192"/>
    <mergeCell ref="B188:I188"/>
    <mergeCell ref="I182:I183"/>
    <mergeCell ref="I184:I185"/>
    <mergeCell ref="B186:B187"/>
    <mergeCell ref="C186:C187"/>
    <mergeCell ref="D186:D187"/>
    <mergeCell ref="E186:E187"/>
    <mergeCell ref="F186:F187"/>
    <mergeCell ref="I186:I187"/>
    <mergeCell ref="B184:B185"/>
    <mergeCell ref="B193:I193"/>
    <mergeCell ref="B194:B195"/>
    <mergeCell ref="C194:C195"/>
    <mergeCell ref="D194:D195"/>
    <mergeCell ref="E194:E195"/>
    <mergeCell ref="F194:F195"/>
    <mergeCell ref="I194:I195"/>
    <mergeCell ref="B189:B190"/>
    <mergeCell ref="C189:C190"/>
    <mergeCell ref="D189:D190"/>
    <mergeCell ref="E189:E190"/>
    <mergeCell ref="F189:F190"/>
    <mergeCell ref="B206:B207"/>
    <mergeCell ref="C206:C207"/>
    <mergeCell ref="D206:D207"/>
    <mergeCell ref="E206:E207"/>
    <mergeCell ref="F206:F207"/>
    <mergeCell ref="I206:I207"/>
    <mergeCell ref="I208:I209"/>
    <mergeCell ref="B214:G214"/>
    <mergeCell ref="B196:B197"/>
    <mergeCell ref="C196:C197"/>
    <mergeCell ref="B202:B203"/>
    <mergeCell ref="C202:C203"/>
    <mergeCell ref="D202:D203"/>
    <mergeCell ref="E202:E203"/>
    <mergeCell ref="F202:F203"/>
    <mergeCell ref="I202:I203"/>
    <mergeCell ref="B204:B205"/>
    <mergeCell ref="C204:C205"/>
    <mergeCell ref="D204:D205"/>
    <mergeCell ref="E204:E205"/>
    <mergeCell ref="F204:F205"/>
    <mergeCell ref="I204:I205"/>
    <mergeCell ref="C247:C251"/>
    <mergeCell ref="C260:C264"/>
    <mergeCell ref="D234:D236"/>
    <mergeCell ref="G234:G236"/>
    <mergeCell ref="I234:I236"/>
    <mergeCell ref="C255:C259"/>
    <mergeCell ref="B215:G215"/>
    <mergeCell ref="B216:G216"/>
    <mergeCell ref="B217:G217"/>
    <mergeCell ref="B218:G218"/>
    <mergeCell ref="B219:G219"/>
    <mergeCell ref="B220:G220"/>
    <mergeCell ref="B221:G221"/>
    <mergeCell ref="B222:G222"/>
    <mergeCell ref="D301:D302"/>
    <mergeCell ref="D308:D309"/>
    <mergeCell ref="N318:N319"/>
    <mergeCell ref="I301:I302"/>
    <mergeCell ref="I303:I304"/>
    <mergeCell ref="I306:I307"/>
    <mergeCell ref="F309:H309"/>
    <mergeCell ref="I308:I309"/>
    <mergeCell ref="F310:H310"/>
    <mergeCell ref="F311:H311"/>
    <mergeCell ref="I310:I311"/>
    <mergeCell ref="I312:I317"/>
    <mergeCell ref="D303:D304"/>
    <mergeCell ref="E303:E304"/>
    <mergeCell ref="F303:H303"/>
    <mergeCell ref="F304:H304"/>
    <mergeCell ref="F305:H305"/>
    <mergeCell ref="E306:E307"/>
    <mergeCell ref="F306:H307"/>
    <mergeCell ref="F308:H308"/>
    <mergeCell ref="D312:D317"/>
    <mergeCell ref="E312:E317"/>
    <mergeCell ref="F312:H317"/>
    <mergeCell ref="I318:I319"/>
    <mergeCell ref="L320:L321"/>
    <mergeCell ref="N320:N321"/>
    <mergeCell ref="F320:F321"/>
    <mergeCell ref="G320:H321"/>
    <mergeCell ref="I320:I321"/>
    <mergeCell ref="E296:E297"/>
    <mergeCell ref="F296:H296"/>
    <mergeCell ref="F297:H297"/>
    <mergeCell ref="F298:H298"/>
    <mergeCell ref="F299:H299"/>
    <mergeCell ref="F300:H300"/>
    <mergeCell ref="E301:E302"/>
    <mergeCell ref="F301:H301"/>
    <mergeCell ref="F302:H302"/>
    <mergeCell ref="E318:E319"/>
    <mergeCell ref="F318:H318"/>
    <mergeCell ref="F319:H319"/>
    <mergeCell ref="L322:L323"/>
    <mergeCell ref="N322:N323"/>
    <mergeCell ref="L324:L325"/>
    <mergeCell ref="N324:N325"/>
    <mergeCell ref="L330:L331"/>
    <mergeCell ref="M330:M331"/>
    <mergeCell ref="N330:N331"/>
    <mergeCell ref="L299:N299"/>
    <mergeCell ref="L303:L304"/>
    <mergeCell ref="N303:N304"/>
    <mergeCell ref="L305:N305"/>
    <mergeCell ref="L306:L307"/>
    <mergeCell ref="N306:N307"/>
    <mergeCell ref="L308:L309"/>
    <mergeCell ref="N308:N309"/>
    <mergeCell ref="L310:L311"/>
    <mergeCell ref="N310:N311"/>
    <mergeCell ref="L312:L313"/>
    <mergeCell ref="N312:N313"/>
    <mergeCell ref="L314:L315"/>
    <mergeCell ref="N314:N315"/>
    <mergeCell ref="L316:L317"/>
    <mergeCell ref="N316:N317"/>
    <mergeCell ref="L318:L319"/>
    <mergeCell ref="F349:F350"/>
    <mergeCell ref="G349:G350"/>
    <mergeCell ref="E351:E352"/>
    <mergeCell ref="F351:F352"/>
    <mergeCell ref="G351:G352"/>
    <mergeCell ref="H351:H352"/>
    <mergeCell ref="I351:I352"/>
    <mergeCell ref="J351:J352"/>
    <mergeCell ref="K351:K352"/>
    <mergeCell ref="H347:H350"/>
    <mergeCell ref="I347:I350"/>
    <mergeCell ref="J347:J350"/>
    <mergeCell ref="K347:K350"/>
    <mergeCell ref="E349:E350"/>
    <mergeCell ref="E347:E348"/>
    <mergeCell ref="F347:F348"/>
    <mergeCell ref="G347:G348"/>
    <mergeCell ref="K359:K360"/>
    <mergeCell ref="E353:E354"/>
    <mergeCell ref="F353:F354"/>
    <mergeCell ref="G353:G354"/>
    <mergeCell ref="E355:E356"/>
    <mergeCell ref="F355:F356"/>
    <mergeCell ref="G355:G356"/>
    <mergeCell ref="I353:I354"/>
    <mergeCell ref="J353:J354"/>
    <mergeCell ref="K353:K354"/>
    <mergeCell ref="H355:H358"/>
    <mergeCell ref="I355:I358"/>
    <mergeCell ref="J355:J358"/>
    <mergeCell ref="H353:H354"/>
    <mergeCell ref="E357:E358"/>
    <mergeCell ref="F357:F358"/>
    <mergeCell ref="G357:G358"/>
    <mergeCell ref="E359:E360"/>
    <mergeCell ref="F359:F360"/>
    <mergeCell ref="G359:G360"/>
    <mergeCell ref="H359:H360"/>
    <mergeCell ref="I359:I360"/>
    <mergeCell ref="E339:E340"/>
    <mergeCell ref="F339:F340"/>
    <mergeCell ref="G339:G340"/>
    <mergeCell ref="H339:H342"/>
    <mergeCell ref="I339:I342"/>
    <mergeCell ref="J339:J342"/>
    <mergeCell ref="K339:K342"/>
    <mergeCell ref="H343:H346"/>
    <mergeCell ref="I343:I346"/>
    <mergeCell ref="J343:J346"/>
    <mergeCell ref="K343:K346"/>
    <mergeCell ref="E345:E346"/>
    <mergeCell ref="F345:F346"/>
    <mergeCell ref="G345:G346"/>
    <mergeCell ref="E341:E342"/>
    <mergeCell ref="F341:F342"/>
    <mergeCell ref="G341:G342"/>
    <mergeCell ref="E343:E344"/>
    <mergeCell ref="F343:F344"/>
    <mergeCell ref="G343:G344"/>
    <mergeCell ref="E366:F366"/>
    <mergeCell ref="K355:K358"/>
    <mergeCell ref="D368:D369"/>
    <mergeCell ref="E368:E369"/>
    <mergeCell ref="F368:F369"/>
    <mergeCell ref="G368:G369"/>
    <mergeCell ref="H368:H369"/>
    <mergeCell ref="I368:I369"/>
    <mergeCell ref="J368:K368"/>
    <mergeCell ref="E361:E362"/>
    <mergeCell ref="F361:F362"/>
    <mergeCell ref="G361:G362"/>
    <mergeCell ref="H361:H362"/>
    <mergeCell ref="I361:I362"/>
    <mergeCell ref="J361:J362"/>
    <mergeCell ref="K361:K362"/>
    <mergeCell ref="E364:E365"/>
    <mergeCell ref="F364:F365"/>
    <mergeCell ref="G364:G365"/>
    <mergeCell ref="H364:H365"/>
    <mergeCell ref="I364:I365"/>
    <mergeCell ref="J364:J365"/>
    <mergeCell ref="K364:K365"/>
    <mergeCell ref="J359:J360"/>
    <mergeCell ref="L368:L369"/>
    <mergeCell ref="M368:M369"/>
    <mergeCell ref="R371:R372"/>
    <mergeCell ref="R373:R374"/>
    <mergeCell ref="R375:R378"/>
    <mergeCell ref="R379:R383"/>
    <mergeCell ref="N368:N369"/>
    <mergeCell ref="O368:O369"/>
    <mergeCell ref="P368:P369"/>
    <mergeCell ref="Q368:Q369"/>
    <mergeCell ref="R368:R36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aleksey9046 .</dc:creator>
  <cp:lastModifiedBy>aleksey9046 .</cp:lastModifiedBy>
  <dcterms:created xsi:type="dcterms:W3CDTF">2020-11-21T17:59:16Z</dcterms:created>
  <dcterms:modified xsi:type="dcterms:W3CDTF">2021-05-14T16:05:17Z</dcterms:modified>
</cp:coreProperties>
</file>