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20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Q10" i="1" l="1"/>
  <c r="C8" i="2"/>
  <c r="C10" i="2" s="1"/>
  <c r="D8" i="2"/>
  <c r="D10" i="2" s="1"/>
  <c r="C14" i="2" l="1"/>
  <c r="C15" i="2"/>
  <c r="C12" i="2"/>
  <c r="C13" i="2"/>
  <c r="D15" i="2"/>
  <c r="D13" i="2"/>
  <c r="D12" i="2"/>
  <c r="D14" i="2"/>
  <c r="X32" i="1" l="1"/>
  <c r="X36" i="1" s="1"/>
  <c r="W32" i="1"/>
  <c r="W36" i="1" s="1"/>
  <c r="J12" i="1"/>
  <c r="O16" i="1"/>
  <c r="O14" i="1"/>
  <c r="O12" i="1"/>
  <c r="I13" i="1"/>
  <c r="I15" i="1"/>
  <c r="O18" i="1" l="1"/>
  <c r="Y34" i="1" s="1"/>
  <c r="J14" i="1"/>
  <c r="K15" i="1"/>
  <c r="K16" i="1" s="1"/>
  <c r="J16" i="1"/>
  <c r="J15" i="1"/>
  <c r="K13" i="1"/>
  <c r="J13" i="1"/>
  <c r="K11" i="1"/>
  <c r="J11" i="1"/>
  <c r="I11" i="1"/>
  <c r="S32" i="1" s="1"/>
  <c r="S36" i="1" s="1"/>
  <c r="S44" i="1" s="1"/>
  <c r="K14" i="1" l="1"/>
  <c r="S54" i="1"/>
  <c r="S56" i="1" s="1"/>
  <c r="S49" i="1"/>
  <c r="S51" i="1" s="1"/>
  <c r="S46" i="1"/>
  <c r="S27" i="1"/>
  <c r="S29" i="1" s="1"/>
  <c r="S59" i="1"/>
  <c r="S61" i="1" s="1"/>
  <c r="Y37" i="1"/>
  <c r="Y45" i="1" s="1"/>
  <c r="Y47" i="1" s="1"/>
  <c r="Y50" i="1"/>
  <c r="Y52" i="1" s="1"/>
  <c r="L16" i="1"/>
  <c r="L15" i="1"/>
  <c r="L13" i="1"/>
  <c r="L14" i="1"/>
  <c r="J18" i="1"/>
  <c r="T34" i="1" s="1"/>
  <c r="T37" i="1" s="1"/>
  <c r="T45" i="1" s="1"/>
  <c r="T47" i="1" s="1"/>
  <c r="L12" i="1"/>
  <c r="L11" i="1"/>
  <c r="J17" i="1"/>
  <c r="T32" i="1" s="1"/>
  <c r="K17" i="1"/>
  <c r="U32" i="1" s="1"/>
  <c r="K12" i="1"/>
  <c r="K18" i="1" s="1"/>
  <c r="U34" i="1" s="1"/>
  <c r="O13" i="1" l="1"/>
  <c r="T60" i="1"/>
  <c r="T62" i="1" s="1"/>
  <c r="T55" i="1"/>
  <c r="T57" i="1" s="1"/>
  <c r="T50" i="1"/>
  <c r="T52" i="1" s="1"/>
  <c r="T28" i="1"/>
  <c r="T30" i="1" s="1"/>
  <c r="Y55" i="1"/>
  <c r="Y57" i="1" s="1"/>
  <c r="Y60" i="1"/>
  <c r="Y62" i="1" s="1"/>
  <c r="Y28" i="1"/>
  <c r="Y30" i="1" s="1"/>
  <c r="U49" i="1"/>
  <c r="U51" i="1" s="1"/>
  <c r="U36" i="1"/>
  <c r="U44" i="1" s="1"/>
  <c r="U46" i="1" s="1"/>
  <c r="T36" i="1"/>
  <c r="T44" i="1" s="1"/>
  <c r="T46" i="1" s="1"/>
  <c r="U37" i="1"/>
  <c r="U45" i="1" s="1"/>
  <c r="U47" i="1" s="1"/>
  <c r="U50" i="1"/>
  <c r="U52" i="1" s="1"/>
  <c r="S63" i="1"/>
  <c r="S75" i="1" s="1"/>
  <c r="O15" i="1"/>
  <c r="L18" i="1"/>
  <c r="V34" i="1" s="1"/>
  <c r="L17" i="1"/>
  <c r="V32" i="1" s="1"/>
  <c r="O11" i="1"/>
  <c r="S85" i="1" l="1"/>
  <c r="S66" i="1"/>
  <c r="S70" i="1" s="1"/>
  <c r="S87" i="1" s="1"/>
  <c r="S109" i="1" s="1"/>
  <c r="T49" i="1"/>
  <c r="T51" i="1" s="1"/>
  <c r="T27" i="1"/>
  <c r="T29" i="1" s="1"/>
  <c r="T59" i="1"/>
  <c r="T61" i="1" s="1"/>
  <c r="T54" i="1"/>
  <c r="T56" i="1" s="1"/>
  <c r="V36" i="1"/>
  <c r="V44" i="1" s="1"/>
  <c r="V46" i="1" s="1"/>
  <c r="V49" i="1"/>
  <c r="V51" i="1" s="1"/>
  <c r="U59" i="1"/>
  <c r="U61" i="1" s="1"/>
  <c r="U54" i="1"/>
  <c r="U56" i="1" s="1"/>
  <c r="U27" i="1"/>
  <c r="U29" i="1" s="1"/>
  <c r="T64" i="1"/>
  <c r="V50" i="1"/>
  <c r="V52" i="1" s="1"/>
  <c r="V37" i="1"/>
  <c r="V45" i="1" s="1"/>
  <c r="V47" i="1" s="1"/>
  <c r="U55" i="1"/>
  <c r="U57" i="1" s="1"/>
  <c r="U28" i="1"/>
  <c r="U30" i="1" s="1"/>
  <c r="U60" i="1"/>
  <c r="U62" i="1" s="1"/>
  <c r="Y64" i="1"/>
  <c r="Y76" i="1" s="1"/>
  <c r="O17" i="1"/>
  <c r="Y32" i="1" s="1"/>
  <c r="Y44" i="1" s="1"/>
  <c r="Y46" i="1" s="1"/>
  <c r="X79" i="1" l="1"/>
  <c r="Y79" i="1" s="1"/>
  <c r="T76" i="1"/>
  <c r="T86" i="1" s="1"/>
  <c r="S111" i="1"/>
  <c r="S113" i="1" s="1"/>
  <c r="S115" i="1"/>
  <c r="Y67" i="1"/>
  <c r="Y71" i="1" s="1"/>
  <c r="Y73" i="1" s="1"/>
  <c r="Y86" i="1"/>
  <c r="S72" i="1"/>
  <c r="U64" i="1"/>
  <c r="U67" i="1" s="1"/>
  <c r="U71" i="1" s="1"/>
  <c r="U73" i="1" s="1"/>
  <c r="U88" i="1" s="1"/>
  <c r="U110" i="1" s="1"/>
  <c r="U112" i="1" s="1"/>
  <c r="X77" i="1"/>
  <c r="Y77" i="1" s="1"/>
  <c r="V28" i="1"/>
  <c r="V30" i="1" s="1"/>
  <c r="V60" i="1"/>
  <c r="V62" i="1" s="1"/>
  <c r="V55" i="1"/>
  <c r="V57" i="1" s="1"/>
  <c r="T67" i="1"/>
  <c r="T71" i="1" s="1"/>
  <c r="T73" i="1" s="1"/>
  <c r="T63" i="1"/>
  <c r="T75" i="1" s="1"/>
  <c r="Y49" i="1"/>
  <c r="Y51" i="1" s="1"/>
  <c r="Y36" i="1"/>
  <c r="U63" i="1"/>
  <c r="U75" i="1" s="1"/>
  <c r="V27" i="1"/>
  <c r="V29" i="1" s="1"/>
  <c r="V59" i="1"/>
  <c r="V61" i="1" s="1"/>
  <c r="V54" i="1"/>
  <c r="V56" i="1" s="1"/>
  <c r="Y27" i="1" l="1"/>
  <c r="Y59" i="1"/>
  <c r="S117" i="1"/>
  <c r="S121" i="1" s="1"/>
  <c r="S127" i="1" s="1"/>
  <c r="U114" i="1"/>
  <c r="U116" i="1"/>
  <c r="Y88" i="1"/>
  <c r="Y110" i="1" s="1"/>
  <c r="Y112" i="1" s="1"/>
  <c r="T88" i="1"/>
  <c r="T110" i="1" s="1"/>
  <c r="U66" i="1"/>
  <c r="U68" i="1" s="1"/>
  <c r="U123" i="1" s="1"/>
  <c r="Y123" i="1" s="1"/>
  <c r="T85" i="1"/>
  <c r="T66" i="1"/>
  <c r="T70" i="1" s="1"/>
  <c r="T72" i="1" s="1"/>
  <c r="V63" i="1"/>
  <c r="V72" i="1" s="1"/>
  <c r="V87" i="1" s="1"/>
  <c r="V109" i="1" s="1"/>
  <c r="V111" i="1" s="1"/>
  <c r="Y61" i="1"/>
  <c r="Y29" i="1"/>
  <c r="Y54" i="1"/>
  <c r="Y56" i="1" s="1"/>
  <c r="V64" i="1"/>
  <c r="V73" i="1" s="1"/>
  <c r="V88" i="1" s="1"/>
  <c r="V110" i="1" s="1"/>
  <c r="V112" i="1" s="1"/>
  <c r="T112" i="1" l="1"/>
  <c r="T114" i="1" s="1"/>
  <c r="T116" i="1"/>
  <c r="U118" i="1"/>
  <c r="U122" i="1" s="1"/>
  <c r="U128" i="1" s="1"/>
  <c r="Y116" i="1"/>
  <c r="Y114" i="1"/>
  <c r="V116" i="1"/>
  <c r="V114" i="1"/>
  <c r="V113" i="1"/>
  <c r="V115" i="1"/>
  <c r="U85" i="1"/>
  <c r="Y75" i="1"/>
  <c r="T87" i="1"/>
  <c r="T109" i="1" s="1"/>
  <c r="Y68" i="1"/>
  <c r="Y63" i="1"/>
  <c r="Y66" i="1" s="1"/>
  <c r="T118" i="1" l="1"/>
  <c r="T122" i="1" s="1"/>
  <c r="T128" i="1" s="1"/>
  <c r="T111" i="1"/>
  <c r="T113" i="1" s="1"/>
  <c r="T115" i="1"/>
  <c r="Y118" i="1"/>
  <c r="Y122" i="1" s="1"/>
  <c r="Y128" i="1" s="1"/>
  <c r="T150" i="1" s="1"/>
  <c r="V118" i="1"/>
  <c r="V122" i="1" s="1"/>
  <c r="V128" i="1" s="1"/>
  <c r="V117" i="1"/>
  <c r="V121" i="1" s="1"/>
  <c r="V127" i="1" s="1"/>
  <c r="Y149" i="1" s="1"/>
  <c r="Y70" i="1"/>
  <c r="Y72" i="1" s="1"/>
  <c r="X82" i="1" s="1"/>
  <c r="U70" i="1"/>
  <c r="U72" i="1" s="1"/>
  <c r="U87" i="1" s="1"/>
  <c r="U109" i="1" s="1"/>
  <c r="U111" i="1" s="1"/>
  <c r="T117" i="1" l="1"/>
  <c r="T121" i="1" s="1"/>
  <c r="T127" i="1" s="1"/>
  <c r="Y150" i="1" s="1"/>
  <c r="U115" i="1"/>
  <c r="U113" i="1"/>
  <c r="X85" i="1"/>
  <c r="X87" i="1" s="1"/>
  <c r="Y82" i="1"/>
  <c r="Y85" i="1" s="1"/>
  <c r="Y87" i="1" s="1"/>
  <c r="X98" i="1" s="1"/>
  <c r="Y98" i="1" s="1"/>
  <c r="X92" i="1" l="1"/>
  <c r="Y92" i="1" s="1"/>
  <c r="X100" i="1"/>
  <c r="X90" i="1"/>
  <c r="Y90" i="1" s="1"/>
  <c r="X96" i="1"/>
  <c r="Y96" i="1" s="1"/>
  <c r="X94" i="1"/>
  <c r="Y94" i="1" s="1"/>
  <c r="U117" i="1"/>
  <c r="U121" i="1" s="1"/>
  <c r="U127" i="1" s="1"/>
  <c r="Y151" i="1" s="1"/>
  <c r="Y148" i="1" s="1"/>
  <c r="Y152" i="1" s="1"/>
  <c r="X102" i="1" l="1"/>
  <c r="Y100" i="1"/>
  <c r="Y102" i="1" l="1"/>
  <c r="Y109" i="1" s="1"/>
  <c r="X109" i="1"/>
  <c r="X111" i="1" s="1"/>
  <c r="Y111" i="1" l="1"/>
  <c r="Y113" i="1" s="1"/>
  <c r="X119" i="1"/>
  <c r="Y119" i="1" s="1"/>
  <c r="X115" i="1"/>
  <c r="X113" i="1"/>
  <c r="Y115" i="1"/>
  <c r="Y117" i="1" l="1"/>
  <c r="Y121" i="1" s="1"/>
  <c r="Y127" i="1" s="1"/>
  <c r="X117" i="1"/>
  <c r="X121" i="1" s="1"/>
  <c r="X127" i="1" s="1"/>
  <c r="T132" i="1" s="1"/>
  <c r="T146" i="1" l="1"/>
  <c r="T147" i="1"/>
  <c r="T153" i="1" s="1"/>
  <c r="T152" i="1" l="1"/>
  <c r="T149" i="1"/>
  <c r="T151" i="1"/>
  <c r="T148" i="1"/>
</calcChain>
</file>

<file path=xl/sharedStrings.xml><?xml version="1.0" encoding="utf-8"?>
<sst xmlns="http://schemas.openxmlformats.org/spreadsheetml/2006/main" count="386" uniqueCount="166">
  <si>
    <t>Номера смет и расчетов</t>
  </si>
  <si>
    <t>заработная плата</t>
  </si>
  <si>
    <t>ЭМиМ</t>
  </si>
  <si>
    <t>Материалы изделия конструкции</t>
  </si>
  <si>
    <t>опр охр</t>
  </si>
  <si>
    <t>прибыль</t>
  </si>
  <si>
    <t>оборудование</t>
  </si>
  <si>
    <t>прочие средства</t>
  </si>
  <si>
    <t>трудоемкость чел-час</t>
  </si>
  <si>
    <t>общая стоимость</t>
  </si>
  <si>
    <t>Наименование работ расходов</t>
  </si>
  <si>
    <t>стоимость руб</t>
  </si>
  <si>
    <t>Лок. См. №1</t>
  </si>
  <si>
    <t>Укруп. Показат.</t>
  </si>
  <si>
    <t>общестроительные работы</t>
  </si>
  <si>
    <t>Итого по смете</t>
  </si>
  <si>
    <t>Слаботочные работы (2%)</t>
  </si>
  <si>
    <t>Электромонтажные работы (8%)</t>
  </si>
  <si>
    <t>Сантехнические работы (10%)</t>
  </si>
  <si>
    <t>-</t>
  </si>
  <si>
    <t>ОПР и ОХР</t>
  </si>
  <si>
    <t>Оборудование</t>
  </si>
  <si>
    <t>В т.ч. заработная плата машинистов</t>
  </si>
  <si>
    <t>Транспорт</t>
  </si>
  <si>
    <t>Прибыль</t>
  </si>
  <si>
    <t>В т.ч. Заработная плата машинистов</t>
  </si>
  <si>
    <t>Номера сметных расчетов (смет)</t>
  </si>
  <si>
    <t>Наименование глав, объектов, работ, средств</t>
  </si>
  <si>
    <t xml:space="preserve">Заработная плата </t>
  </si>
  <si>
    <t>Материалы, изделия, кон-струкции</t>
  </si>
  <si>
    <t>Прочие средства</t>
  </si>
  <si>
    <t>Трудоем-кость, чел-час</t>
  </si>
  <si>
    <t>ГЛАВА 1. ПОДГОТОВКА ТЕРРИТОРИИ СТРОИТЕЛЬСТВА</t>
  </si>
  <si>
    <t xml:space="preserve">Укрупненный показатель </t>
  </si>
  <si>
    <t>Средства на подготовку территории строительства(2%)</t>
  </si>
  <si>
    <t xml:space="preserve">  Итого по главе 1</t>
  </si>
  <si>
    <t>ГЛАВА 2. ОСНОВНЫЕ ЗДАНИЯ, СООРУЖЕНИЯ</t>
  </si>
  <si>
    <t xml:space="preserve">Объектная смета №1 </t>
  </si>
  <si>
    <t>Здания и сооружения, предназначенные для выполнения основных технологических функций</t>
  </si>
  <si>
    <t xml:space="preserve">  Итого по главе 2</t>
  </si>
  <si>
    <t>ГЛАВА 3. ЗДАНИЯ, СООРУЖЕНИЯ ПОДСОБНОГО И ОБСЛУЖИВАЮЩЕГО НАЗНАЧЕНИЯ</t>
  </si>
  <si>
    <t xml:space="preserve">  Итого по главе 3</t>
  </si>
  <si>
    <t>ГЛАВА 4. ЗДАНИЯ, СООРУЖЕНИЯ ЭНЕРГЕТИЧЕСКОГО ХОЗЯЙСТВА</t>
  </si>
  <si>
    <t>Здания электростанций, трансформаторных подстанций и т.п.(10%)</t>
  </si>
  <si>
    <t xml:space="preserve">  Итого по главе 4</t>
  </si>
  <si>
    <t>ГЛАВА 5. ЗДАНИЯ, СООРУЖЕНИЯ ТРАНСПОРТНОГО ХОЗЯЙСТВА И СВЯЗИ</t>
  </si>
  <si>
    <t>Внутризаводские пути, подъездные дороги, стоянки для автомашин, гаражи и т.п.(7%)</t>
  </si>
  <si>
    <t xml:space="preserve">  Итого по главе 5</t>
  </si>
  <si>
    <t>ГЛАВА 6. НАРУЖНЫЕ СЕТИ И СООРУЖЕНИЯ ВОДОСНАБЖЕНИЯ, КАНАЛИЗАЦИИ, ТЕПЛОСНАБЖЕНИЯ И ГАЗОСНАБЖЕНИЯ</t>
  </si>
  <si>
    <t>Водозаборные сооружения, насосные станции и т.п.(5%)</t>
  </si>
  <si>
    <t xml:space="preserve">  Итого по главе 6</t>
  </si>
  <si>
    <t>ГЛАВА 7. БЛАГОУСТРОЙСТВО ТЕРРИТОРИИ</t>
  </si>
  <si>
    <t>Вертикальная планировка, благоустройство, озеленение и т.п.(3%)</t>
  </si>
  <si>
    <t xml:space="preserve">  Итого по главе 7</t>
  </si>
  <si>
    <t xml:space="preserve">  Итого по главам 1-7</t>
  </si>
  <si>
    <t>ГЛАВА 8. ВРЕМЕННЫЕ ЗДАНИЯ И СООРУЖЕНИЯ</t>
  </si>
  <si>
    <t>Пункт 29 Инструкция</t>
  </si>
  <si>
    <t xml:space="preserve">  Итого по главе 8</t>
  </si>
  <si>
    <t xml:space="preserve">  Итого по главам 1-8</t>
  </si>
  <si>
    <t>ГЛАВА 9. ПРОЧИЕ РАБОТЫ И РАСХОДЫ</t>
  </si>
  <si>
    <t>Подпункт 30.1 Инструкции</t>
  </si>
  <si>
    <t>Подпункт 30.2 Ин-струкции</t>
  </si>
  <si>
    <t>Средства, связанные с отчислениями на социальное страхование(34%)</t>
  </si>
  <si>
    <t>Средства, связанные с подвижным и разъездным характером работ, с перевозкой рабочих автомобильным транспортом и командированием рабочих подрядных организаций, при отсутствии сведений о подрядной организации в исходных данных заказчика на разработку проектной документации(9,7%)</t>
  </si>
  <si>
    <t xml:space="preserve">Подпункт 30.10 Инструкции </t>
  </si>
  <si>
    <t>Средства на подготовку объекта к приемке в эксплуатацию(0,306%)</t>
  </si>
  <si>
    <t xml:space="preserve">  Итого по главе 9</t>
  </si>
  <si>
    <t xml:space="preserve">  Итого по главам 1-9</t>
  </si>
  <si>
    <t>ГЛАВА 10. СРЕДСТВА ЗАКАЗЧИКА, ЗАСТРОЙЩИКА</t>
  </si>
  <si>
    <t xml:space="preserve">Подпункт 31.1 Инструкции </t>
  </si>
  <si>
    <t>Средства на содержание застройщика, заказчика (инженерной организации) - 1,47%</t>
  </si>
  <si>
    <t xml:space="preserve"> Подпункт 31.2 Инструкции</t>
  </si>
  <si>
    <t>Средства на осуществление авторского надзора - 0,2%</t>
  </si>
  <si>
    <t>Подпункт 31.3 Инструкции</t>
  </si>
  <si>
    <t>Средства на проектные и изыскательские работы- 6%</t>
  </si>
  <si>
    <t xml:space="preserve">Подпункт 31.4 Инструкции </t>
  </si>
  <si>
    <t>Средства на проведение экспертизы- 4%</t>
  </si>
  <si>
    <t xml:space="preserve">Подпункт 31.7 Инструкции </t>
  </si>
  <si>
    <t>Средства на мониторинг цен (тарифов), расчет индексов цен в строительстве - 0,07%</t>
  </si>
  <si>
    <t xml:space="preserve">  Итого по главе 10</t>
  </si>
  <si>
    <t>ГЛАВА 11. ПОДГОТОВКА ЭКСПЛУАТАЦИОННЫХ КАДРОВ</t>
  </si>
  <si>
    <t xml:space="preserve">Подпункт 32 Инструкции </t>
  </si>
  <si>
    <t>Подготовка эксплуатационных кадров</t>
  </si>
  <si>
    <t xml:space="preserve">  Итого по главе 11</t>
  </si>
  <si>
    <t xml:space="preserve">  Итого по главам 1-11</t>
  </si>
  <si>
    <t xml:space="preserve">Подпункт 33.1.1.2 Инструкции </t>
  </si>
  <si>
    <t>Средства на непредвиденные работы и затраты - 4%</t>
  </si>
  <si>
    <t>Средства, учитывающие применение прогнозных индексов цен в строительстве на дату начала строительства -1,73%</t>
  </si>
  <si>
    <t xml:space="preserve">  Итого</t>
  </si>
  <si>
    <t xml:space="preserve">Подпункт 33.2 Инструкции </t>
  </si>
  <si>
    <t>Налоги и отчисления в соответствии с действующим законодательством - 20%</t>
  </si>
  <si>
    <t>Итого по сводному  сметному расчету с учетом средств, учитывающих применение прогнозных индексов цен в строительстве</t>
  </si>
  <si>
    <r>
      <t xml:space="preserve"> </t>
    </r>
    <r>
      <rPr>
        <sz val="11"/>
        <color rgb="FF000000"/>
        <rFont val="Times New Roman"/>
        <family val="1"/>
        <charset val="204"/>
      </rPr>
      <t>Возвратные суммы</t>
    </r>
  </si>
  <si>
    <t>Подпункт 34.2 Инструкции</t>
  </si>
  <si>
    <t>Долевое участие в строительстве</t>
  </si>
  <si>
    <t xml:space="preserve">  Итого к утверждению</t>
  </si>
  <si>
    <t>Общая стоимость, руб</t>
  </si>
  <si>
    <t>Подпункт 30.4 Инструкции</t>
  </si>
  <si>
    <t>Наименование показателя</t>
  </si>
  <si>
    <t>Значение показателя</t>
  </si>
  <si>
    <t>Вариант 1</t>
  </si>
  <si>
    <t>Вариант 2</t>
  </si>
  <si>
    <t>Заработная плата рабочих, р.</t>
  </si>
  <si>
    <t>Локальная смета</t>
  </si>
  <si>
    <t>Затраты на эксплуатацию строительных машин и механизмов, р.</t>
  </si>
  <si>
    <t>в том числе заработная плата рабочих, р.</t>
  </si>
  <si>
    <t>Материалы, р.</t>
  </si>
  <si>
    <t>Транспортные затраты, р.</t>
  </si>
  <si>
    <t>Общехозяйственные и общепроизводственные расходы, р.</t>
  </si>
  <si>
    <t>(Зп+Зп.маш)*57,48/100</t>
  </si>
  <si>
    <t>Итого себестоимость СМР, р.</t>
  </si>
  <si>
    <t>Плановая прибыль</t>
  </si>
  <si>
    <t>(Зп+Зп.маш)*63,54/100</t>
  </si>
  <si>
    <t>Итого сметная стоимость СМР</t>
  </si>
  <si>
    <t>Трудоемкость, чел.-час.</t>
  </si>
  <si>
    <t>Выработка на 1 человеко-день, р.</t>
  </si>
  <si>
    <t>Материалоотдача, р./р.</t>
  </si>
  <si>
    <t>Материалоемкость, р./р.</t>
  </si>
  <si>
    <t>Сметный уровень рентабельности, %</t>
  </si>
  <si>
    <t>Расчетная формула, обоснование показателя</t>
  </si>
  <si>
    <t>вариант 1 - линолеум</t>
  </si>
  <si>
    <t>вариант 2 ковролин</t>
  </si>
  <si>
    <t>Cсмрi</t>
  </si>
  <si>
    <t>Ti</t>
  </si>
  <si>
    <t>Bi</t>
  </si>
  <si>
    <t>Mi</t>
  </si>
  <si>
    <t>Mo</t>
  </si>
  <si>
    <t>Mе</t>
  </si>
  <si>
    <t>Единица измерения</t>
  </si>
  <si>
    <r>
      <t>1.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Объём здания</t>
    </r>
  </si>
  <si>
    <t>м³</t>
  </si>
  <si>
    <r>
      <t>2.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Общая площадь здания</t>
    </r>
  </si>
  <si>
    <t>м²</t>
  </si>
  <si>
    <r>
      <t>3.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строительства по сводному сметному расчету, всего</t>
    </r>
  </si>
  <si>
    <t>руб</t>
  </si>
  <si>
    <t>В т.ч. СМР</t>
  </si>
  <si>
    <r>
      <t>4.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1 м2 общей площади проектируемого объекта</t>
    </r>
  </si>
  <si>
    <t>р./м³</t>
  </si>
  <si>
    <r>
      <t>5.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Стоимость 1 м3 объема проектируемого объекта</t>
    </r>
  </si>
  <si>
    <t>р. / м²</t>
  </si>
  <si>
    <r>
      <t>6.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Трудоемкость возведения объекта</t>
    </r>
  </si>
  <si>
    <t>чел.-ч.</t>
  </si>
  <si>
    <r>
      <t>7.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Times New Roman"/>
        <family val="1"/>
        <charset val="204"/>
      </rPr>
      <t>Выработка на 1 чел.-дн.</t>
    </r>
  </si>
  <si>
    <t>руб/чел-день</t>
  </si>
  <si>
    <t>8.Материалоемкость</t>
  </si>
  <si>
    <t>руб./руб.</t>
  </si>
  <si>
    <t>9. Сметный уровень рентабельности</t>
  </si>
  <si>
    <t>%</t>
  </si>
  <si>
    <t>10. Нормативная продолжительность строительства</t>
  </si>
  <si>
    <t>дней</t>
  </si>
  <si>
    <t>11. Фактическая продолжительность строительства</t>
  </si>
  <si>
    <t>12. Экономический эффект от сокращения продолжительности строительства</t>
  </si>
  <si>
    <t>руб.</t>
  </si>
  <si>
    <t>Дополнительные средства при производстве строительно-монтажных работ в зимнее время - 2.96%*1,0</t>
  </si>
  <si>
    <t>Нопр/охр=</t>
  </si>
  <si>
    <t>Нэм=</t>
  </si>
  <si>
    <t>Нм=</t>
  </si>
  <si>
    <t>Н=</t>
  </si>
  <si>
    <t>Эу=</t>
  </si>
  <si>
    <t xml:space="preserve">Стоимость, руб </t>
  </si>
  <si>
    <t>Итого  с учетом средств на непредвиденные расходы</t>
  </si>
  <si>
    <t>в том числе материалов</t>
  </si>
  <si>
    <t>Временные здания и сооружения(6.1%)</t>
  </si>
  <si>
    <t xml:space="preserve">Подпункт 31.6 </t>
  </si>
  <si>
    <t>Инструкции Средства на целевые отчисления, производимые заказчиками, застройщиками от стоимости строительномонтажных работ на финансирование инспекций Департамента контроля и надзора за строительством по областям и г. Минску, специализированной инспекции Департамента контроля и надзора за строительством Государственного комитета по стандартизации Республики Беларусь (0,12)</t>
  </si>
  <si>
    <t>Здания, сооружения подсобного и обслуживающего назначения(0%)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</si>
</sst>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4" xfId="0" applyNumberFormat="1" applyBorder="1" applyAlignment="1">
      <alignment vertical="center" wrapText="1"/>
    </xf>
    <xf numFmtId="2" fontId="0" fillId="0" borderId="15" xfId="0" applyNumberFormat="1" applyBorder="1" applyAlignment="1">
      <alignment vertical="center" wrapText="1"/>
    </xf>
    <xf numFmtId="2" fontId="0" fillId="0" borderId="10" xfId="0" applyNumberFormat="1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17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19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0" xfId="0" applyNumberFormat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2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2" fontId="10" fillId="2" borderId="20" xfId="0" applyNumberFormat="1" applyFont="1" applyFill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vertical="center"/>
    </xf>
    <xf numFmtId="2" fontId="3" fillId="3" borderId="23" xfId="0" applyNumberFormat="1" applyFont="1" applyFill="1" applyBorder="1" applyAlignment="1">
      <alignment vertical="center"/>
    </xf>
    <xf numFmtId="2" fontId="3" fillId="3" borderId="22" xfId="0" applyNumberFormat="1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vertical="center" wrapText="1"/>
    </xf>
    <xf numFmtId="2" fontId="1" fillId="3" borderId="3" xfId="0" applyNumberFormat="1" applyFont="1" applyFill="1" applyBorder="1" applyAlignment="1">
      <alignment vertical="center" wrapText="1"/>
    </xf>
    <xf numFmtId="2" fontId="3" fillId="3" borderId="24" xfId="0" applyNumberFormat="1" applyFont="1" applyFill="1" applyBorder="1" applyAlignment="1">
      <alignment vertical="center" wrapText="1"/>
    </xf>
    <xf numFmtId="2" fontId="3" fillId="3" borderId="23" xfId="0" applyNumberFormat="1" applyFont="1" applyFill="1" applyBorder="1" applyAlignment="1">
      <alignment vertical="center" wrapText="1"/>
    </xf>
    <xf numFmtId="2" fontId="3" fillId="3" borderId="22" xfId="0" applyNumberFormat="1" applyFont="1" applyFill="1" applyBorder="1" applyAlignment="1">
      <alignment vertical="center" wrapText="1"/>
    </xf>
    <xf numFmtId="2" fontId="3" fillId="3" borderId="2" xfId="0" applyNumberFormat="1" applyFont="1" applyFill="1" applyBorder="1" applyAlignment="1">
      <alignment vertical="center" wrapText="1"/>
    </xf>
    <xf numFmtId="2" fontId="3" fillId="3" borderId="20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3" fillId="3" borderId="21" xfId="0" applyNumberFormat="1" applyFont="1" applyFill="1" applyBorder="1" applyAlignment="1">
      <alignment vertical="center" wrapText="1"/>
    </xf>
    <xf numFmtId="2" fontId="3" fillId="3" borderId="21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0" fontId="0" fillId="3" borderId="33" xfId="0" applyFill="1" applyBorder="1"/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7" fillId="3" borderId="22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0</xdr:rowOff>
        </xdr:from>
        <xdr:to>
          <xdr:col>2</xdr:col>
          <xdr:colOff>28575</xdr:colOff>
          <xdr:row>11</xdr:row>
          <xdr:rowOff>466725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2</xdr:col>
          <xdr:colOff>180975</xdr:colOff>
          <xdr:row>13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2667000</xdr:colOff>
          <xdr:row>13</xdr:row>
          <xdr:rowOff>0</xdr:rowOff>
        </xdr:from>
        <xdr:to>
          <xdr:col>2</xdr:col>
          <xdr:colOff>85725</xdr:colOff>
          <xdr:row>14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2</xdr:col>
          <xdr:colOff>514350</xdr:colOff>
          <xdr:row>14</xdr:row>
          <xdr:rowOff>561975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Z156"/>
  <sheetViews>
    <sheetView tabSelected="1" topLeftCell="M7" zoomScale="115" zoomScaleNormal="115" workbookViewId="0">
      <selection activeCell="Y128" sqref="Q22:Y128"/>
    </sheetView>
  </sheetViews>
  <sheetFormatPr defaultRowHeight="15" x14ac:dyDescent="0.25"/>
  <cols>
    <col min="1" max="5" width="9.140625" style="1"/>
    <col min="6" max="6" width="9.140625" style="1" customWidth="1"/>
    <col min="7" max="7" width="19" style="1" customWidth="1"/>
    <col min="8" max="8" width="31.5703125" style="1" customWidth="1"/>
    <col min="9" max="9" width="13.7109375" style="1" customWidth="1"/>
    <col min="10" max="10" width="18.140625" style="1" customWidth="1"/>
    <col min="11" max="11" width="14.5703125" style="1" customWidth="1"/>
    <col min="12" max="12" width="11.5703125" style="1" bestFit="1" customWidth="1"/>
    <col min="13" max="14" width="9.140625" style="1"/>
    <col min="15" max="15" width="15.28515625" style="1" customWidth="1"/>
    <col min="16" max="16" width="9.140625" style="1"/>
    <col min="17" max="17" width="15.5703125" style="18" customWidth="1"/>
    <col min="18" max="18" width="38.42578125" style="18" customWidth="1"/>
    <col min="19" max="19" width="13.42578125" style="18" customWidth="1"/>
    <col min="20" max="20" width="13.85546875" style="18" customWidth="1"/>
    <col min="21" max="21" width="13.42578125" style="18" customWidth="1"/>
    <col min="22" max="22" width="11.85546875" style="18" bestFit="1" customWidth="1"/>
    <col min="23" max="23" width="11" style="18" customWidth="1"/>
    <col min="24" max="24" width="11.85546875" style="18" bestFit="1" customWidth="1"/>
    <col min="25" max="25" width="12.85546875" style="18" customWidth="1"/>
    <col min="26" max="16384" width="9.140625" style="1"/>
  </cols>
  <sheetData>
    <row r="4" spans="7:17" ht="15.75" thickBot="1" x14ac:dyDescent="0.3"/>
    <row r="5" spans="7:17" ht="15" customHeight="1" x14ac:dyDescent="0.25">
      <c r="G5" s="40" t="s">
        <v>0</v>
      </c>
      <c r="H5" s="38" t="s">
        <v>10</v>
      </c>
      <c r="I5" s="54" t="s">
        <v>11</v>
      </c>
      <c r="J5" s="55"/>
      <c r="K5" s="55"/>
      <c r="L5" s="55"/>
      <c r="M5" s="55"/>
      <c r="N5" s="56"/>
      <c r="O5" s="57" t="s">
        <v>9</v>
      </c>
    </row>
    <row r="6" spans="7:17" ht="45" x14ac:dyDescent="0.25">
      <c r="G6" s="42"/>
      <c r="H6" s="43"/>
      <c r="I6" s="49" t="s">
        <v>1</v>
      </c>
      <c r="J6" s="4" t="s">
        <v>2</v>
      </c>
      <c r="K6" s="4" t="s">
        <v>3</v>
      </c>
      <c r="L6" s="4" t="s">
        <v>4</v>
      </c>
      <c r="M6" s="49" t="s">
        <v>6</v>
      </c>
      <c r="N6" s="49" t="s">
        <v>7</v>
      </c>
      <c r="O6" s="58"/>
    </row>
    <row r="7" spans="7:17" ht="30" x14ac:dyDescent="0.25">
      <c r="G7" s="42"/>
      <c r="H7" s="43"/>
      <c r="I7" s="48"/>
      <c r="J7" s="4" t="s">
        <v>25</v>
      </c>
      <c r="K7" s="4" t="s">
        <v>23</v>
      </c>
      <c r="L7" s="4" t="s">
        <v>5</v>
      </c>
      <c r="M7" s="48"/>
      <c r="N7" s="48"/>
      <c r="O7" s="5" t="s">
        <v>8</v>
      </c>
    </row>
    <row r="8" spans="7:17" ht="15.75" thickBot="1" x14ac:dyDescent="0.3">
      <c r="G8" s="6">
        <v>1</v>
      </c>
      <c r="H8" s="7">
        <v>2</v>
      </c>
      <c r="I8" s="7">
        <v>3</v>
      </c>
      <c r="J8" s="7">
        <v>4</v>
      </c>
      <c r="K8" s="7">
        <v>5</v>
      </c>
      <c r="L8" s="7">
        <v>6</v>
      </c>
      <c r="M8" s="7">
        <v>7</v>
      </c>
      <c r="N8" s="7">
        <v>8</v>
      </c>
      <c r="O8" s="8">
        <v>9</v>
      </c>
    </row>
    <row r="9" spans="7:17" ht="15" customHeight="1" thickBot="1" x14ac:dyDescent="0.3">
      <c r="G9" s="40" t="s">
        <v>12</v>
      </c>
      <c r="H9" s="38" t="s">
        <v>14</v>
      </c>
      <c r="I9" s="46">
        <v>997480</v>
      </c>
      <c r="J9" s="9">
        <v>149416</v>
      </c>
      <c r="K9" s="10">
        <v>4661591</v>
      </c>
      <c r="L9" s="10">
        <v>678326</v>
      </c>
      <c r="M9" s="52" t="s">
        <v>19</v>
      </c>
      <c r="N9" s="46" t="s">
        <v>19</v>
      </c>
      <c r="O9" s="11">
        <v>7718084</v>
      </c>
    </row>
    <row r="10" spans="7:17" ht="15" customHeight="1" thickBot="1" x14ac:dyDescent="0.3">
      <c r="G10" s="41"/>
      <c r="H10" s="39"/>
      <c r="I10" s="47"/>
      <c r="J10" s="7">
        <v>39828</v>
      </c>
      <c r="K10" s="7">
        <v>343839</v>
      </c>
      <c r="L10" s="10">
        <v>745560</v>
      </c>
      <c r="M10" s="53"/>
      <c r="N10" s="47"/>
      <c r="O10" s="8">
        <v>146914</v>
      </c>
      <c r="Q10" s="18">
        <f>I9+J9+K9+K10+L9+L10</f>
        <v>7576212</v>
      </c>
    </row>
    <row r="11" spans="7:17" ht="15.75" thickBot="1" x14ac:dyDescent="0.3">
      <c r="G11" s="40" t="s">
        <v>13</v>
      </c>
      <c r="H11" s="38" t="s">
        <v>18</v>
      </c>
      <c r="I11" s="46">
        <f>I9*0.1</f>
        <v>99748</v>
      </c>
      <c r="J11" s="12">
        <f>J9*0.1</f>
        <v>14941.6</v>
      </c>
      <c r="K11" s="12">
        <f>K9*0.1</f>
        <v>466159.10000000003</v>
      </c>
      <c r="L11" s="12">
        <f>(($I$11+$J$12)*70.82)/100</f>
        <v>73462.152559999988</v>
      </c>
      <c r="M11" s="46" t="s">
        <v>19</v>
      </c>
      <c r="N11" s="46"/>
      <c r="O11" s="11">
        <f>I11+J11+J12+K11+K12+L11+L12</f>
        <v>738307.48626000003</v>
      </c>
    </row>
    <row r="12" spans="7:17" ht="15.75" customHeight="1" thickBot="1" x14ac:dyDescent="0.3">
      <c r="G12" s="41"/>
      <c r="H12" s="39"/>
      <c r="I12" s="47"/>
      <c r="J12" s="12">
        <f>J10*0.1</f>
        <v>3982.8</v>
      </c>
      <c r="K12" s="12">
        <f>K11*0.023</f>
        <v>10721.659300000001</v>
      </c>
      <c r="L12" s="12">
        <f>(($I$11+$J$12)*66.8)/100</f>
        <v>69292.174399999989</v>
      </c>
      <c r="M12" s="47"/>
      <c r="N12" s="47"/>
      <c r="O12" s="8">
        <f>O10*0.1</f>
        <v>14691.400000000001</v>
      </c>
    </row>
    <row r="13" spans="7:17" ht="15.75" thickBot="1" x14ac:dyDescent="0.3">
      <c r="G13" s="45" t="s">
        <v>13</v>
      </c>
      <c r="H13" s="48" t="s">
        <v>17</v>
      </c>
      <c r="I13" s="46">
        <f>I9*0.08</f>
        <v>79798.400000000009</v>
      </c>
      <c r="J13" s="12">
        <f>J9*0.08</f>
        <v>11953.28</v>
      </c>
      <c r="K13" s="12">
        <f>K9*0.08</f>
        <v>372927.28</v>
      </c>
      <c r="L13" s="12">
        <f>(($I$13+$J$14)*52.1)/100</f>
        <v>43234.997440000006</v>
      </c>
      <c r="M13" s="46" t="s">
        <v>19</v>
      </c>
      <c r="N13" s="13"/>
      <c r="O13" s="14">
        <f>I13+J14+J13+K13+K14+L13+L14</f>
        <v>550033.60835200013</v>
      </c>
    </row>
    <row r="14" spans="7:17" ht="15.75" customHeight="1" thickBot="1" x14ac:dyDescent="0.3">
      <c r="G14" s="44"/>
      <c r="H14" s="49"/>
      <c r="I14" s="47"/>
      <c r="J14" s="12">
        <f>J10*0.08</f>
        <v>3186.2400000000002</v>
      </c>
      <c r="K14" s="12">
        <f>K13*0.0224</f>
        <v>8353.5710720000006</v>
      </c>
      <c r="L14" s="12">
        <f>(($I$13+$J$14)*36.85)/100</f>
        <v>30579.839840000008</v>
      </c>
      <c r="M14" s="47"/>
      <c r="N14" s="15"/>
      <c r="O14" s="16">
        <f>O10*0.08</f>
        <v>11753.12</v>
      </c>
    </row>
    <row r="15" spans="7:17" ht="15.75" customHeight="1" thickBot="1" x14ac:dyDescent="0.3">
      <c r="G15" s="40" t="s">
        <v>13</v>
      </c>
      <c r="H15" s="38" t="s">
        <v>16</v>
      </c>
      <c r="I15" s="46">
        <f>I9*0.02</f>
        <v>19949.600000000002</v>
      </c>
      <c r="J15" s="12">
        <f>J9*0.02</f>
        <v>2988.32</v>
      </c>
      <c r="K15" s="12">
        <f>K9*0.02</f>
        <v>93231.82</v>
      </c>
      <c r="L15" s="12">
        <f>(($I$15+$J$16)*52.1)/100</f>
        <v>10808.749360000002</v>
      </c>
      <c r="M15" s="46" t="s">
        <v>19</v>
      </c>
      <c r="N15" s="46"/>
      <c r="O15" s="11">
        <f>I15+J15+J16+K16+K15+L15+L16</f>
        <v>137657.573</v>
      </c>
    </row>
    <row r="16" spans="7:17" ht="15.75" thickBot="1" x14ac:dyDescent="0.3">
      <c r="G16" s="44"/>
      <c r="H16" s="49"/>
      <c r="I16" s="47"/>
      <c r="J16" s="17">
        <f>J10*0.02</f>
        <v>796.56000000000006</v>
      </c>
      <c r="K16" s="17">
        <f>0.024*K15</f>
        <v>2237.5636800000002</v>
      </c>
      <c r="L16" s="12">
        <f>(($I$15+$J$16)*36.85)/100</f>
        <v>7644.959960000002</v>
      </c>
      <c r="M16" s="47"/>
      <c r="N16" s="47"/>
      <c r="O16" s="16">
        <f>O10*0.02</f>
        <v>2938.28</v>
      </c>
    </row>
    <row r="17" spans="7:26" x14ac:dyDescent="0.25">
      <c r="G17" s="40" t="s">
        <v>15</v>
      </c>
      <c r="H17" s="38"/>
      <c r="I17" s="46">
        <f>SUM(I9:I16)</f>
        <v>1196976</v>
      </c>
      <c r="J17" s="12">
        <f t="shared" ref="J17:L18" si="0">J9+J11+J13+J15</f>
        <v>179299.20000000001</v>
      </c>
      <c r="K17" s="12">
        <f t="shared" si="0"/>
        <v>5593909.2000000002</v>
      </c>
      <c r="L17" s="12">
        <f t="shared" si="0"/>
        <v>805831.89935999992</v>
      </c>
      <c r="M17" s="46" t="s">
        <v>19</v>
      </c>
      <c r="N17" s="46" t="s">
        <v>19</v>
      </c>
      <c r="O17" s="11">
        <f>O9+O11+O13+O15</f>
        <v>9144082.6676120013</v>
      </c>
    </row>
    <row r="18" spans="7:26" ht="26.25" customHeight="1" thickBot="1" x14ac:dyDescent="0.3">
      <c r="G18" s="41"/>
      <c r="H18" s="39"/>
      <c r="I18" s="47"/>
      <c r="J18" s="7">
        <f t="shared" si="0"/>
        <v>47793.599999999999</v>
      </c>
      <c r="K18" s="7">
        <f t="shared" si="0"/>
        <v>365151.79405200004</v>
      </c>
      <c r="L18" s="7">
        <f t="shared" si="0"/>
        <v>853076.97420000006</v>
      </c>
      <c r="M18" s="47"/>
      <c r="N18" s="47"/>
      <c r="O18" s="8">
        <f>O10+O12+O14+O16</f>
        <v>176296.8</v>
      </c>
    </row>
    <row r="21" spans="7:26" ht="15.75" customHeight="1" thickBot="1" x14ac:dyDescent="0.3">
      <c r="G21" s="2"/>
      <c r="H21" s="2"/>
      <c r="I21" s="2"/>
      <c r="J21" s="2"/>
      <c r="K21" s="2"/>
      <c r="L21" s="2"/>
      <c r="M21" s="2"/>
      <c r="N21" s="2"/>
      <c r="O21" s="2"/>
    </row>
    <row r="22" spans="7:26" ht="36" customHeight="1" thickBot="1" x14ac:dyDescent="0.3">
      <c r="G22" s="2"/>
      <c r="H22" s="2"/>
      <c r="I22" s="2"/>
      <c r="J22" s="2"/>
      <c r="K22" s="2"/>
      <c r="L22" s="2"/>
      <c r="M22" s="2"/>
      <c r="N22" s="2"/>
      <c r="O22" s="2"/>
      <c r="Q22" s="59" t="s">
        <v>26</v>
      </c>
      <c r="R22" s="59" t="s">
        <v>27</v>
      </c>
      <c r="S22" s="60" t="s">
        <v>159</v>
      </c>
      <c r="T22" s="61"/>
      <c r="U22" s="61"/>
      <c r="V22" s="61"/>
      <c r="W22" s="61"/>
      <c r="X22" s="62"/>
      <c r="Y22" s="59" t="s">
        <v>96</v>
      </c>
      <c r="Z22" s="3"/>
    </row>
    <row r="23" spans="7:26" ht="90" customHeight="1" thickBot="1" x14ac:dyDescent="0.3">
      <c r="G23" s="2"/>
      <c r="H23" s="2"/>
      <c r="I23" s="2"/>
      <c r="J23" s="2"/>
      <c r="K23" s="2"/>
      <c r="L23" s="2"/>
      <c r="M23" s="2"/>
      <c r="N23" s="2"/>
      <c r="O23" s="2"/>
      <c r="Q23" s="63"/>
      <c r="R23" s="63"/>
      <c r="S23" s="59" t="s">
        <v>28</v>
      </c>
      <c r="T23" s="64" t="s">
        <v>2</v>
      </c>
      <c r="U23" s="65" t="s">
        <v>29</v>
      </c>
      <c r="V23" s="65" t="s">
        <v>20</v>
      </c>
      <c r="W23" s="59" t="s">
        <v>21</v>
      </c>
      <c r="X23" s="59" t="s">
        <v>30</v>
      </c>
      <c r="Y23" s="66"/>
      <c r="Z23" s="3"/>
    </row>
    <row r="24" spans="7:26" ht="42" customHeight="1" thickBot="1" x14ac:dyDescent="0.3">
      <c r="G24" s="2"/>
      <c r="H24" s="2"/>
      <c r="I24" s="2"/>
      <c r="J24" s="2"/>
      <c r="K24" s="2"/>
      <c r="L24" s="2"/>
      <c r="M24" s="2"/>
      <c r="N24" s="2"/>
      <c r="O24" s="2"/>
      <c r="Q24" s="66"/>
      <c r="R24" s="66"/>
      <c r="S24" s="66"/>
      <c r="T24" s="65" t="s">
        <v>22</v>
      </c>
      <c r="U24" s="64" t="s">
        <v>23</v>
      </c>
      <c r="V24" s="64" t="s">
        <v>24</v>
      </c>
      <c r="W24" s="66"/>
      <c r="X24" s="66"/>
      <c r="Y24" s="65" t="s">
        <v>31</v>
      </c>
      <c r="Z24" s="3"/>
    </row>
    <row r="25" spans="7:26" ht="15.75" thickBot="1" x14ac:dyDescent="0.3">
      <c r="G25"/>
      <c r="H25"/>
      <c r="I25"/>
      <c r="J25"/>
      <c r="K25"/>
      <c r="L25"/>
      <c r="M25"/>
      <c r="N25"/>
      <c r="O25"/>
      <c r="Q25" s="67">
        <v>1</v>
      </c>
      <c r="R25" s="64">
        <v>2</v>
      </c>
      <c r="S25" s="64">
        <v>3</v>
      </c>
      <c r="T25" s="64">
        <v>4</v>
      </c>
      <c r="U25" s="64">
        <v>5</v>
      </c>
      <c r="V25" s="64">
        <v>6</v>
      </c>
      <c r="W25" s="64">
        <v>7</v>
      </c>
      <c r="X25" s="64">
        <v>8</v>
      </c>
      <c r="Y25" s="64">
        <v>9</v>
      </c>
      <c r="Z25" s="3"/>
    </row>
    <row r="26" spans="7:26" ht="15.75" customHeight="1" thickBot="1" x14ac:dyDescent="0.3">
      <c r="G26"/>
      <c r="H26"/>
      <c r="I26"/>
      <c r="J26"/>
      <c r="K26"/>
      <c r="L26"/>
      <c r="M26"/>
      <c r="N26"/>
      <c r="O26"/>
      <c r="Q26" s="68" t="s">
        <v>32</v>
      </c>
      <c r="R26" s="69"/>
      <c r="S26" s="69"/>
      <c r="T26" s="69"/>
      <c r="U26" s="69"/>
      <c r="V26" s="69"/>
      <c r="W26" s="69"/>
      <c r="X26" s="69"/>
      <c r="Y26" s="70"/>
      <c r="Z26" s="3"/>
    </row>
    <row r="27" spans="7:26" ht="15.75" customHeight="1" thickBot="1" x14ac:dyDescent="0.3">
      <c r="G27"/>
      <c r="H27"/>
      <c r="I27"/>
      <c r="J27"/>
      <c r="K27"/>
      <c r="L27"/>
      <c r="M27"/>
      <c r="N27"/>
      <c r="O27"/>
      <c r="Q27" s="59" t="s">
        <v>33</v>
      </c>
      <c r="R27" s="59" t="s">
        <v>34</v>
      </c>
      <c r="S27" s="59">
        <f>S36*0.02</f>
        <v>23939.52</v>
      </c>
      <c r="T27" s="65">
        <f>T36*0.02</f>
        <v>3585.9840000000004</v>
      </c>
      <c r="U27" s="65">
        <f>U36*0.02</f>
        <v>111878.18400000001</v>
      </c>
      <c r="V27" s="65">
        <f>V36*0.02</f>
        <v>16116.637987199998</v>
      </c>
      <c r="W27" s="59" t="s">
        <v>19</v>
      </c>
      <c r="X27" s="71" t="s">
        <v>19</v>
      </c>
      <c r="Y27" s="65">
        <f>Y36*0.02</f>
        <v>182881.65335224004</v>
      </c>
      <c r="Z27" s="3"/>
    </row>
    <row r="28" spans="7:26" ht="15.75" thickBot="1" x14ac:dyDescent="0.3">
      <c r="G28"/>
      <c r="H28"/>
      <c r="I28"/>
      <c r="J28"/>
      <c r="K28"/>
      <c r="L28"/>
      <c r="M28"/>
      <c r="N28"/>
      <c r="O28"/>
      <c r="Q28" s="66"/>
      <c r="R28" s="66"/>
      <c r="S28" s="66"/>
      <c r="T28" s="65">
        <f>T37*0.02</f>
        <v>955.87199999999996</v>
      </c>
      <c r="U28" s="65">
        <f>U37*0.2</f>
        <v>73030.358810400008</v>
      </c>
      <c r="V28" s="65">
        <f>V37*0.02</f>
        <v>17061.539484000001</v>
      </c>
      <c r="W28" s="66"/>
      <c r="X28" s="72"/>
      <c r="Y28" s="65">
        <f>Y37*0.02</f>
        <v>3525.9359999999997</v>
      </c>
      <c r="Z28" s="3"/>
    </row>
    <row r="29" spans="7:26" ht="15.75" customHeight="1" thickBot="1" x14ac:dyDescent="0.3">
      <c r="G29"/>
      <c r="H29"/>
      <c r="I29"/>
      <c r="J29"/>
      <c r="K29"/>
      <c r="L29"/>
      <c r="M29"/>
      <c r="N29"/>
      <c r="O29"/>
      <c r="Q29" s="59"/>
      <c r="R29" s="73" t="s">
        <v>35</v>
      </c>
      <c r="S29" s="59">
        <f>S27</f>
        <v>23939.52</v>
      </c>
      <c r="T29" s="65">
        <f>T27</f>
        <v>3585.9840000000004</v>
      </c>
      <c r="U29" s="65">
        <f>U27</f>
        <v>111878.18400000001</v>
      </c>
      <c r="V29" s="65">
        <f>V27</f>
        <v>16116.637987199998</v>
      </c>
      <c r="W29" s="59" t="s">
        <v>19</v>
      </c>
      <c r="X29" s="71" t="s">
        <v>19</v>
      </c>
      <c r="Y29" s="65">
        <f>Y27</f>
        <v>182881.65335224004</v>
      </c>
      <c r="Z29" s="3"/>
    </row>
    <row r="30" spans="7:26" ht="15.75" thickBot="1" x14ac:dyDescent="0.3">
      <c r="G30"/>
      <c r="H30"/>
      <c r="I30"/>
      <c r="J30"/>
      <c r="K30"/>
      <c r="L30"/>
      <c r="M30"/>
      <c r="N30"/>
      <c r="O30"/>
      <c r="Q30" s="66"/>
      <c r="R30" s="74"/>
      <c r="S30" s="66"/>
      <c r="T30" s="65">
        <f>T28</f>
        <v>955.87199999999996</v>
      </c>
      <c r="U30" s="65">
        <f>U28</f>
        <v>73030.358810400008</v>
      </c>
      <c r="V30" s="65">
        <f>V28</f>
        <v>17061.539484000001</v>
      </c>
      <c r="W30" s="66"/>
      <c r="X30" s="72"/>
      <c r="Y30" s="65">
        <f>Y28</f>
        <v>3525.9359999999997</v>
      </c>
      <c r="Z30" s="3"/>
    </row>
    <row r="31" spans="7:26" ht="15.75" customHeight="1" thickBot="1" x14ac:dyDescent="0.3">
      <c r="G31"/>
      <c r="H31"/>
      <c r="I31"/>
      <c r="J31"/>
      <c r="K31"/>
      <c r="L31"/>
      <c r="M31"/>
      <c r="N31"/>
      <c r="O31"/>
      <c r="Q31" s="75" t="s">
        <v>36</v>
      </c>
      <c r="R31" s="76"/>
      <c r="S31" s="76"/>
      <c r="T31" s="76"/>
      <c r="U31" s="76"/>
      <c r="V31" s="76"/>
      <c r="W31" s="76"/>
      <c r="X31" s="76"/>
      <c r="Y31" s="77"/>
      <c r="Z31" s="3"/>
    </row>
    <row r="32" spans="7:26" ht="15.75" customHeight="1" x14ac:dyDescent="0.25">
      <c r="G32"/>
      <c r="H32"/>
      <c r="I32"/>
      <c r="J32"/>
      <c r="K32"/>
      <c r="L32"/>
      <c r="M32"/>
      <c r="N32"/>
      <c r="O32"/>
      <c r="Q32" s="59" t="s">
        <v>37</v>
      </c>
      <c r="R32" s="59" t="s">
        <v>38</v>
      </c>
      <c r="S32" s="59">
        <f t="shared" ref="S32:Y32" si="1">I17</f>
        <v>1196976</v>
      </c>
      <c r="T32" s="59">
        <f t="shared" si="1"/>
        <v>179299.20000000001</v>
      </c>
      <c r="U32" s="59">
        <f t="shared" si="1"/>
        <v>5593909.2000000002</v>
      </c>
      <c r="V32" s="59">
        <f t="shared" si="1"/>
        <v>805831.89935999992</v>
      </c>
      <c r="W32" s="59" t="str">
        <f t="shared" si="1"/>
        <v>-</v>
      </c>
      <c r="X32" s="59" t="str">
        <f t="shared" si="1"/>
        <v>-</v>
      </c>
      <c r="Y32" s="59">
        <f t="shared" si="1"/>
        <v>9144082.6676120013</v>
      </c>
      <c r="Z32" s="3"/>
    </row>
    <row r="33" spans="7:26" ht="15.75" customHeight="1" thickBot="1" x14ac:dyDescent="0.3">
      <c r="G33"/>
      <c r="H33"/>
      <c r="I33"/>
      <c r="J33"/>
      <c r="K33"/>
      <c r="L33"/>
      <c r="M33"/>
      <c r="N33"/>
      <c r="O33"/>
      <c r="Q33" s="63"/>
      <c r="R33" s="63"/>
      <c r="S33" s="63"/>
      <c r="T33" s="66"/>
      <c r="U33" s="66"/>
      <c r="V33" s="66"/>
      <c r="W33" s="63"/>
      <c r="X33" s="63"/>
      <c r="Y33" s="66"/>
      <c r="Z33" s="3"/>
    </row>
    <row r="34" spans="7:26" ht="15" customHeight="1" x14ac:dyDescent="0.25">
      <c r="G34"/>
      <c r="H34"/>
      <c r="I34"/>
      <c r="J34"/>
      <c r="K34"/>
      <c r="L34"/>
      <c r="M34"/>
      <c r="N34"/>
      <c r="O34"/>
      <c r="Q34" s="63"/>
      <c r="R34" s="63"/>
      <c r="S34" s="63"/>
      <c r="T34" s="59">
        <f>J18</f>
        <v>47793.599999999999</v>
      </c>
      <c r="U34" s="59">
        <f>K18</f>
        <v>365151.79405200004</v>
      </c>
      <c r="V34" s="59">
        <f>L18</f>
        <v>853076.97420000006</v>
      </c>
      <c r="W34" s="63"/>
      <c r="X34" s="63"/>
      <c r="Y34" s="59">
        <f>O18</f>
        <v>176296.8</v>
      </c>
      <c r="Z34" s="3"/>
    </row>
    <row r="35" spans="7:26" ht="15.75" thickBot="1" x14ac:dyDescent="0.3">
      <c r="G35"/>
      <c r="H35"/>
      <c r="I35"/>
      <c r="J35"/>
      <c r="K35"/>
      <c r="L35"/>
      <c r="M35"/>
      <c r="N35"/>
      <c r="O35"/>
      <c r="Q35" s="66"/>
      <c r="R35" s="66"/>
      <c r="S35" s="66"/>
      <c r="T35" s="66"/>
      <c r="U35" s="66"/>
      <c r="V35" s="66"/>
      <c r="W35" s="66"/>
      <c r="X35" s="66"/>
      <c r="Y35" s="66"/>
      <c r="Z35" s="3"/>
    </row>
    <row r="36" spans="7:26" ht="15.75" customHeight="1" thickBot="1" x14ac:dyDescent="0.3">
      <c r="G36"/>
      <c r="H36"/>
      <c r="I36"/>
      <c r="J36"/>
      <c r="K36"/>
      <c r="L36"/>
      <c r="M36"/>
      <c r="N36"/>
      <c r="O36"/>
      <c r="Q36" s="59"/>
      <c r="R36" s="73" t="s">
        <v>39</v>
      </c>
      <c r="S36" s="59">
        <f t="shared" ref="S36:Y36" si="2">S32</f>
        <v>1196976</v>
      </c>
      <c r="T36" s="65">
        <f t="shared" si="2"/>
        <v>179299.20000000001</v>
      </c>
      <c r="U36" s="65">
        <f t="shared" si="2"/>
        <v>5593909.2000000002</v>
      </c>
      <c r="V36" s="65">
        <f t="shared" si="2"/>
        <v>805831.89935999992</v>
      </c>
      <c r="W36" s="59" t="str">
        <f t="shared" si="2"/>
        <v>-</v>
      </c>
      <c r="X36" s="71" t="str">
        <f t="shared" si="2"/>
        <v>-</v>
      </c>
      <c r="Y36" s="65">
        <f t="shared" si="2"/>
        <v>9144082.6676120013</v>
      </c>
      <c r="Z36" s="3"/>
    </row>
    <row r="37" spans="7:26" ht="29.25" customHeight="1" thickBot="1" x14ac:dyDescent="0.3">
      <c r="G37"/>
      <c r="H37"/>
      <c r="I37"/>
      <c r="J37"/>
      <c r="K37"/>
      <c r="L37"/>
      <c r="M37"/>
      <c r="N37"/>
      <c r="O37"/>
      <c r="Q37" s="66"/>
      <c r="R37" s="74"/>
      <c r="S37" s="66"/>
      <c r="T37" s="65">
        <f>T34</f>
        <v>47793.599999999999</v>
      </c>
      <c r="U37" s="65">
        <f>U34</f>
        <v>365151.79405200004</v>
      </c>
      <c r="V37" s="65">
        <f>V34</f>
        <v>853076.97420000006</v>
      </c>
      <c r="W37" s="66"/>
      <c r="X37" s="72"/>
      <c r="Y37" s="65">
        <f>Y34</f>
        <v>176296.8</v>
      </c>
      <c r="Z37" s="3"/>
    </row>
    <row r="38" spans="7:26" ht="15.75" customHeight="1" thickBot="1" x14ac:dyDescent="0.3">
      <c r="G38"/>
      <c r="H38"/>
      <c r="I38"/>
      <c r="J38"/>
      <c r="K38"/>
      <c r="L38"/>
      <c r="M38"/>
      <c r="N38"/>
      <c r="O38"/>
      <c r="Q38" s="75" t="s">
        <v>40</v>
      </c>
      <c r="R38" s="76"/>
      <c r="S38" s="76"/>
      <c r="T38" s="76"/>
      <c r="U38" s="76"/>
      <c r="V38" s="76"/>
      <c r="W38" s="76"/>
      <c r="X38" s="76"/>
      <c r="Y38" s="77"/>
      <c r="Z38" s="3"/>
    </row>
    <row r="39" spans="7:26" ht="15.75" customHeight="1" thickBot="1" x14ac:dyDescent="0.3">
      <c r="G39"/>
      <c r="H39"/>
      <c r="I39"/>
      <c r="J39"/>
      <c r="K39"/>
      <c r="L39"/>
      <c r="M39"/>
      <c r="N39"/>
      <c r="O39"/>
      <c r="Q39" s="59" t="s">
        <v>33</v>
      </c>
      <c r="R39" s="59" t="s">
        <v>165</v>
      </c>
      <c r="S39" s="59"/>
      <c r="T39" s="65"/>
      <c r="U39" s="65"/>
      <c r="V39" s="65"/>
      <c r="W39" s="59"/>
      <c r="X39" s="71"/>
      <c r="Y39" s="65"/>
      <c r="Z39" s="3"/>
    </row>
    <row r="40" spans="7:26" ht="15.75" customHeight="1" thickBot="1" x14ac:dyDescent="0.3">
      <c r="G40"/>
      <c r="H40"/>
      <c r="I40"/>
      <c r="J40"/>
      <c r="K40"/>
      <c r="L40"/>
      <c r="M40"/>
      <c r="N40"/>
      <c r="O40"/>
      <c r="Q40" s="66"/>
      <c r="R40" s="66"/>
      <c r="S40" s="66"/>
      <c r="T40" s="65"/>
      <c r="U40" s="65"/>
      <c r="V40" s="65"/>
      <c r="W40" s="66"/>
      <c r="X40" s="72"/>
      <c r="Y40" s="65"/>
      <c r="Z40" s="3"/>
    </row>
    <row r="41" spans="7:26" ht="15.75" customHeight="1" thickBot="1" x14ac:dyDescent="0.3">
      <c r="G41"/>
      <c r="H41"/>
      <c r="I41"/>
      <c r="J41"/>
      <c r="K41"/>
      <c r="L41"/>
      <c r="M41"/>
      <c r="N41"/>
      <c r="O41"/>
      <c r="Q41" s="59"/>
      <c r="R41" s="73" t="s">
        <v>41</v>
      </c>
      <c r="S41" s="59"/>
      <c r="T41" s="65"/>
      <c r="U41" s="65"/>
      <c r="V41" s="65"/>
      <c r="W41" s="59"/>
      <c r="X41" s="71"/>
      <c r="Y41" s="65"/>
      <c r="Z41" s="3"/>
    </row>
    <row r="42" spans="7:26" ht="15.75" customHeight="1" thickBot="1" x14ac:dyDescent="0.3">
      <c r="G42"/>
      <c r="H42"/>
      <c r="I42"/>
      <c r="J42"/>
      <c r="K42"/>
      <c r="L42"/>
      <c r="M42"/>
      <c r="N42"/>
      <c r="O42"/>
      <c r="Q42" s="66"/>
      <c r="R42" s="74"/>
      <c r="S42" s="66"/>
      <c r="T42" s="65"/>
      <c r="U42" s="65"/>
      <c r="V42" s="65"/>
      <c r="W42" s="66"/>
      <c r="X42" s="72"/>
      <c r="Y42" s="65"/>
      <c r="Z42" s="3"/>
    </row>
    <row r="43" spans="7:26" ht="15.75" customHeight="1" thickBot="1" x14ac:dyDescent="0.3">
      <c r="G43"/>
      <c r="H43"/>
      <c r="I43"/>
      <c r="J43"/>
      <c r="K43"/>
      <c r="L43"/>
      <c r="M43"/>
      <c r="N43"/>
      <c r="O43"/>
      <c r="Q43" s="75" t="s">
        <v>42</v>
      </c>
      <c r="R43" s="76"/>
      <c r="S43" s="76"/>
      <c r="T43" s="76"/>
      <c r="U43" s="76"/>
      <c r="V43" s="76"/>
      <c r="W43" s="76"/>
      <c r="X43" s="76"/>
      <c r="Y43" s="77"/>
      <c r="Z43" s="3"/>
    </row>
    <row r="44" spans="7:26" ht="29.25" customHeight="1" thickBot="1" x14ac:dyDescent="0.3">
      <c r="G44"/>
      <c r="H44"/>
      <c r="I44"/>
      <c r="J44"/>
      <c r="K44"/>
      <c r="L44"/>
      <c r="M44"/>
      <c r="N44"/>
      <c r="O44"/>
      <c r="Q44" s="59" t="s">
        <v>33</v>
      </c>
      <c r="R44" s="59" t="s">
        <v>43</v>
      </c>
      <c r="S44" s="59">
        <f>S36*0.1</f>
        <v>119697.60000000001</v>
      </c>
      <c r="T44" s="65">
        <f t="shared" ref="T44:V45" si="3">T36*0.1</f>
        <v>17929.920000000002</v>
      </c>
      <c r="U44" s="65">
        <f t="shared" si="3"/>
        <v>559390.92000000004</v>
      </c>
      <c r="V44" s="65">
        <f t="shared" si="3"/>
        <v>80583.189935999995</v>
      </c>
      <c r="W44" s="59" t="s">
        <v>19</v>
      </c>
      <c r="X44" s="71" t="s">
        <v>19</v>
      </c>
      <c r="Y44" s="65">
        <f>Y32*0.1</f>
        <v>914408.26676120015</v>
      </c>
      <c r="Z44" s="3"/>
    </row>
    <row r="45" spans="7:26" ht="15.75" customHeight="1" thickBot="1" x14ac:dyDescent="0.3">
      <c r="G45"/>
      <c r="H45"/>
      <c r="I45"/>
      <c r="J45"/>
      <c r="K45"/>
      <c r="L45"/>
      <c r="M45"/>
      <c r="N45"/>
      <c r="O45"/>
      <c r="Q45" s="66"/>
      <c r="R45" s="66"/>
      <c r="S45" s="66"/>
      <c r="T45" s="65">
        <f t="shared" si="3"/>
        <v>4779.3599999999997</v>
      </c>
      <c r="U45" s="65">
        <f t="shared" si="3"/>
        <v>36515.179405200004</v>
      </c>
      <c r="V45" s="65">
        <f t="shared" si="3"/>
        <v>85307.697420000011</v>
      </c>
      <c r="W45" s="66"/>
      <c r="X45" s="72"/>
      <c r="Y45" s="65">
        <f>Y37*0.1</f>
        <v>17629.68</v>
      </c>
      <c r="Z45" s="3"/>
    </row>
    <row r="46" spans="7:26" ht="15.75" customHeight="1" thickBot="1" x14ac:dyDescent="0.3">
      <c r="G46"/>
      <c r="H46"/>
      <c r="I46"/>
      <c r="J46"/>
      <c r="K46"/>
      <c r="L46"/>
      <c r="M46"/>
      <c r="N46"/>
      <c r="O46"/>
      <c r="Q46" s="59"/>
      <c r="R46" s="73" t="s">
        <v>44</v>
      </c>
      <c r="S46" s="59">
        <f>S44</f>
        <v>119697.60000000001</v>
      </c>
      <c r="T46" s="65">
        <f>T44</f>
        <v>17929.920000000002</v>
      </c>
      <c r="U46" s="65">
        <f>U44</f>
        <v>559390.92000000004</v>
      </c>
      <c r="V46" s="65">
        <f>V44</f>
        <v>80583.189935999995</v>
      </c>
      <c r="W46" s="59" t="s">
        <v>19</v>
      </c>
      <c r="X46" s="71" t="s">
        <v>19</v>
      </c>
      <c r="Y46" s="65">
        <f>Y44</f>
        <v>914408.26676120015</v>
      </c>
      <c r="Z46" s="3"/>
    </row>
    <row r="47" spans="7:26" ht="15.75" thickBot="1" x14ac:dyDescent="0.3">
      <c r="G47"/>
      <c r="H47"/>
      <c r="I47"/>
      <c r="J47"/>
      <c r="K47"/>
      <c r="L47"/>
      <c r="M47"/>
      <c r="N47"/>
      <c r="O47"/>
      <c r="Q47" s="66"/>
      <c r="R47" s="74"/>
      <c r="S47" s="66"/>
      <c r="T47" s="65">
        <f>T45</f>
        <v>4779.3599999999997</v>
      </c>
      <c r="U47" s="65">
        <f>U45</f>
        <v>36515.179405200004</v>
      </c>
      <c r="V47" s="65">
        <f>V45</f>
        <v>85307.697420000011</v>
      </c>
      <c r="W47" s="66"/>
      <c r="X47" s="72"/>
      <c r="Y47" s="65">
        <f>Y45</f>
        <v>17629.68</v>
      </c>
      <c r="Z47" s="3"/>
    </row>
    <row r="48" spans="7:26" ht="15.75" customHeight="1" thickBot="1" x14ac:dyDescent="0.3">
      <c r="G48"/>
      <c r="H48"/>
      <c r="I48"/>
      <c r="J48"/>
      <c r="K48"/>
      <c r="L48"/>
      <c r="M48"/>
      <c r="N48"/>
      <c r="O48"/>
      <c r="Q48" s="75" t="s">
        <v>45</v>
      </c>
      <c r="R48" s="76"/>
      <c r="S48" s="76"/>
      <c r="T48" s="76"/>
      <c r="U48" s="76"/>
      <c r="V48" s="76"/>
      <c r="W48" s="76"/>
      <c r="X48" s="76"/>
      <c r="Y48" s="77"/>
      <c r="Z48" s="3"/>
    </row>
    <row r="49" spans="7:26" ht="29.25" customHeight="1" thickBot="1" x14ac:dyDescent="0.3">
      <c r="G49"/>
      <c r="H49"/>
      <c r="I49"/>
      <c r="J49"/>
      <c r="K49"/>
      <c r="L49"/>
      <c r="M49"/>
      <c r="N49"/>
      <c r="O49"/>
      <c r="Q49" s="59" t="s">
        <v>33</v>
      </c>
      <c r="R49" s="59" t="s">
        <v>46</v>
      </c>
      <c r="S49" s="59">
        <f>S36*0.07</f>
        <v>83788.320000000007</v>
      </c>
      <c r="T49" s="65">
        <f>T36*0.07</f>
        <v>12550.944000000001</v>
      </c>
      <c r="U49" s="65">
        <f>U32*0.07</f>
        <v>391573.64400000003</v>
      </c>
      <c r="V49" s="65">
        <f>V32*0.07</f>
        <v>56408.232955200001</v>
      </c>
      <c r="W49" s="59" t="s">
        <v>19</v>
      </c>
      <c r="X49" s="71" t="s">
        <v>19</v>
      </c>
      <c r="Y49" s="65">
        <f>Y32*0.07</f>
        <v>640085.78673284012</v>
      </c>
      <c r="Z49" s="3"/>
    </row>
    <row r="50" spans="7:26" ht="15.75" customHeight="1" thickBot="1" x14ac:dyDescent="0.3">
      <c r="G50"/>
      <c r="H50"/>
      <c r="I50"/>
      <c r="J50"/>
      <c r="K50"/>
      <c r="L50"/>
      <c r="M50"/>
      <c r="N50"/>
      <c r="O50"/>
      <c r="Q50" s="66"/>
      <c r="R50" s="66"/>
      <c r="S50" s="66"/>
      <c r="T50" s="65">
        <f>T37*0.07</f>
        <v>3345.5520000000001</v>
      </c>
      <c r="U50" s="65">
        <f>U34*0.07</f>
        <v>25560.625583640005</v>
      </c>
      <c r="V50" s="65">
        <f>V34*0.07</f>
        <v>59715.388194000006</v>
      </c>
      <c r="W50" s="66"/>
      <c r="X50" s="72"/>
      <c r="Y50" s="65">
        <f>Y34*0.07</f>
        <v>12340.776</v>
      </c>
      <c r="Z50" s="3"/>
    </row>
    <row r="51" spans="7:26" ht="15.75" customHeight="1" thickBot="1" x14ac:dyDescent="0.3">
      <c r="G51"/>
      <c r="H51"/>
      <c r="I51"/>
      <c r="J51"/>
      <c r="K51"/>
      <c r="L51"/>
      <c r="M51"/>
      <c r="N51"/>
      <c r="O51"/>
      <c r="Q51" s="59"/>
      <c r="R51" s="73" t="s">
        <v>47</v>
      </c>
      <c r="S51" s="59">
        <f>S49</f>
        <v>83788.320000000007</v>
      </c>
      <c r="T51" s="65">
        <f>T49</f>
        <v>12550.944000000001</v>
      </c>
      <c r="U51" s="65">
        <f>U49</f>
        <v>391573.64400000003</v>
      </c>
      <c r="V51" s="65">
        <f>V49</f>
        <v>56408.232955200001</v>
      </c>
      <c r="W51" s="59" t="s">
        <v>19</v>
      </c>
      <c r="X51" s="71" t="s">
        <v>19</v>
      </c>
      <c r="Y51" s="65">
        <f>Y49</f>
        <v>640085.78673284012</v>
      </c>
      <c r="Z51" s="3"/>
    </row>
    <row r="52" spans="7:26" ht="15.75" thickBot="1" x14ac:dyDescent="0.3">
      <c r="G52"/>
      <c r="H52"/>
      <c r="I52"/>
      <c r="J52"/>
      <c r="K52"/>
      <c r="L52"/>
      <c r="M52"/>
      <c r="N52"/>
      <c r="O52"/>
      <c r="Q52" s="66"/>
      <c r="R52" s="74"/>
      <c r="S52" s="66"/>
      <c r="T52" s="65">
        <f>T50</f>
        <v>3345.5520000000001</v>
      </c>
      <c r="U52" s="65">
        <f>U50</f>
        <v>25560.625583640005</v>
      </c>
      <c r="V52" s="65">
        <f>V50</f>
        <v>59715.388194000006</v>
      </c>
      <c r="W52" s="66"/>
      <c r="X52" s="72"/>
      <c r="Y52" s="65">
        <f>Y50</f>
        <v>12340.776</v>
      </c>
      <c r="Z52" s="3"/>
    </row>
    <row r="53" spans="7:26" ht="28.5" customHeight="1" thickBot="1" x14ac:dyDescent="0.3">
      <c r="G53"/>
      <c r="H53"/>
      <c r="I53"/>
      <c r="J53"/>
      <c r="K53"/>
      <c r="L53"/>
      <c r="M53"/>
      <c r="N53"/>
      <c r="O53"/>
      <c r="Q53" s="75" t="s">
        <v>48</v>
      </c>
      <c r="R53" s="76"/>
      <c r="S53" s="76"/>
      <c r="T53" s="76"/>
      <c r="U53" s="76"/>
      <c r="V53" s="76"/>
      <c r="W53" s="76"/>
      <c r="X53" s="76"/>
      <c r="Y53" s="77"/>
      <c r="Z53" s="3"/>
    </row>
    <row r="54" spans="7:26" ht="15.75" customHeight="1" thickBot="1" x14ac:dyDescent="0.3">
      <c r="G54"/>
      <c r="H54"/>
      <c r="I54"/>
      <c r="J54"/>
      <c r="K54"/>
      <c r="L54"/>
      <c r="M54"/>
      <c r="N54"/>
      <c r="O54"/>
      <c r="Q54" s="59" t="s">
        <v>33</v>
      </c>
      <c r="R54" s="59" t="s">
        <v>49</v>
      </c>
      <c r="S54" s="59">
        <f>S36*0.05</f>
        <v>59848.800000000003</v>
      </c>
      <c r="T54" s="65">
        <f>T36*0.05</f>
        <v>8964.9600000000009</v>
      </c>
      <c r="U54" s="65">
        <f>U36*0.05</f>
        <v>279695.46000000002</v>
      </c>
      <c r="V54" s="65">
        <f>V36*0.05</f>
        <v>40291.594967999998</v>
      </c>
      <c r="W54" s="59" t="s">
        <v>19</v>
      </c>
      <c r="X54" s="71" t="s">
        <v>19</v>
      </c>
      <c r="Y54" s="65">
        <f>Y36*0.05</f>
        <v>457204.13338060008</v>
      </c>
      <c r="Z54" s="3"/>
    </row>
    <row r="55" spans="7:26" ht="15.75" customHeight="1" thickBot="1" x14ac:dyDescent="0.3">
      <c r="G55"/>
      <c r="H55"/>
      <c r="I55"/>
      <c r="J55"/>
      <c r="K55"/>
      <c r="L55"/>
      <c r="M55"/>
      <c r="N55"/>
      <c r="O55"/>
      <c r="Q55" s="66"/>
      <c r="R55" s="66"/>
      <c r="S55" s="66"/>
      <c r="T55" s="65">
        <f>T37*0.05</f>
        <v>2389.6799999999998</v>
      </c>
      <c r="U55" s="65">
        <f>U37*0.05</f>
        <v>18257.589702600002</v>
      </c>
      <c r="V55" s="65">
        <f>V37*0.05</f>
        <v>42653.848710000006</v>
      </c>
      <c r="W55" s="66"/>
      <c r="X55" s="72"/>
      <c r="Y55" s="65">
        <f>Y37*0.05</f>
        <v>8814.84</v>
      </c>
      <c r="Z55" s="3"/>
    </row>
    <row r="56" spans="7:26" ht="15.75" customHeight="1" thickBot="1" x14ac:dyDescent="0.3">
      <c r="G56"/>
      <c r="H56"/>
      <c r="I56"/>
      <c r="J56"/>
      <c r="K56"/>
      <c r="L56"/>
      <c r="M56"/>
      <c r="N56"/>
      <c r="O56"/>
      <c r="Q56" s="59"/>
      <c r="R56" s="73" t="s">
        <v>50</v>
      </c>
      <c r="S56" s="59">
        <f>S54</f>
        <v>59848.800000000003</v>
      </c>
      <c r="T56" s="65">
        <f>T54</f>
        <v>8964.9600000000009</v>
      </c>
      <c r="U56" s="65">
        <f>U54</f>
        <v>279695.46000000002</v>
      </c>
      <c r="V56" s="65">
        <f>V54</f>
        <v>40291.594967999998</v>
      </c>
      <c r="W56" s="59" t="s">
        <v>19</v>
      </c>
      <c r="X56" s="71" t="s">
        <v>19</v>
      </c>
      <c r="Y56" s="65">
        <f>Y54</f>
        <v>457204.13338060008</v>
      </c>
      <c r="Z56" s="3"/>
    </row>
    <row r="57" spans="7:26" ht="15.75" customHeight="1" thickBot="1" x14ac:dyDescent="0.3">
      <c r="G57"/>
      <c r="H57"/>
      <c r="I57"/>
      <c r="J57"/>
      <c r="K57"/>
      <c r="L57"/>
      <c r="M57"/>
      <c r="N57"/>
      <c r="O57"/>
      <c r="Q57" s="66"/>
      <c r="R57" s="74"/>
      <c r="S57" s="66"/>
      <c r="T57" s="65">
        <f>T55</f>
        <v>2389.6799999999998</v>
      </c>
      <c r="U57" s="65">
        <f>U55</f>
        <v>18257.589702600002</v>
      </c>
      <c r="V57" s="65">
        <f>V55</f>
        <v>42653.848710000006</v>
      </c>
      <c r="W57" s="66"/>
      <c r="X57" s="72"/>
      <c r="Y57" s="65">
        <f>Y55</f>
        <v>8814.84</v>
      </c>
      <c r="Z57" s="3"/>
    </row>
    <row r="58" spans="7:26" ht="15.75" customHeight="1" thickBot="1" x14ac:dyDescent="0.3">
      <c r="G58"/>
      <c r="H58"/>
      <c r="I58"/>
      <c r="J58"/>
      <c r="K58"/>
      <c r="L58"/>
      <c r="M58"/>
      <c r="N58"/>
      <c r="O58"/>
      <c r="Q58" s="75" t="s">
        <v>51</v>
      </c>
      <c r="R58" s="76"/>
      <c r="S58" s="76"/>
      <c r="T58" s="76"/>
      <c r="U58" s="76"/>
      <c r="V58" s="76"/>
      <c r="W58" s="76"/>
      <c r="X58" s="76"/>
      <c r="Y58" s="77"/>
      <c r="Z58" s="3"/>
    </row>
    <row r="59" spans="7:26" ht="34.5" customHeight="1" thickBot="1" x14ac:dyDescent="0.3">
      <c r="G59"/>
      <c r="H59"/>
      <c r="I59"/>
      <c r="J59"/>
      <c r="K59"/>
      <c r="L59"/>
      <c r="M59"/>
      <c r="N59"/>
      <c r="O59"/>
      <c r="Q59" s="59" t="s">
        <v>33</v>
      </c>
      <c r="R59" s="59" t="s">
        <v>52</v>
      </c>
      <c r="S59" s="59">
        <f>S36*0.03</f>
        <v>35909.279999999999</v>
      </c>
      <c r="T59" s="65">
        <f>T36*0.03</f>
        <v>5378.9760000000006</v>
      </c>
      <c r="U59" s="65">
        <f>0.03*U36</f>
        <v>167817.27600000001</v>
      </c>
      <c r="V59" s="65">
        <f>V36*0.03</f>
        <v>24174.956980799998</v>
      </c>
      <c r="W59" s="59" t="s">
        <v>19</v>
      </c>
      <c r="X59" s="71" t="s">
        <v>19</v>
      </c>
      <c r="Y59" s="65">
        <f>Y36*0.03</f>
        <v>274322.48002836003</v>
      </c>
      <c r="Z59" s="3"/>
    </row>
    <row r="60" spans="7:26" ht="15.75" customHeight="1" thickBot="1" x14ac:dyDescent="0.3">
      <c r="G60"/>
      <c r="H60"/>
      <c r="I60"/>
      <c r="J60"/>
      <c r="K60"/>
      <c r="L60"/>
      <c r="M60"/>
      <c r="N60"/>
      <c r="O60"/>
      <c r="Q60" s="66"/>
      <c r="R60" s="66"/>
      <c r="S60" s="66"/>
      <c r="T60" s="65">
        <f>T37*0.03</f>
        <v>1433.808</v>
      </c>
      <c r="U60" s="65">
        <f>U37*0.03</f>
        <v>10954.553821560001</v>
      </c>
      <c r="V60" s="65">
        <f>V37*0.03</f>
        <v>25592.309226000001</v>
      </c>
      <c r="W60" s="66"/>
      <c r="X60" s="72"/>
      <c r="Y60" s="65">
        <f>Y37*0.03</f>
        <v>5288.9039999999995</v>
      </c>
      <c r="Z60" s="3"/>
    </row>
    <row r="61" spans="7:26" ht="15.75" customHeight="1" thickBot="1" x14ac:dyDescent="0.3">
      <c r="G61"/>
      <c r="H61"/>
      <c r="I61"/>
      <c r="J61"/>
      <c r="K61"/>
      <c r="L61"/>
      <c r="M61"/>
      <c r="N61"/>
      <c r="O61"/>
      <c r="Q61" s="59"/>
      <c r="R61" s="73" t="s">
        <v>53</v>
      </c>
      <c r="S61" s="59">
        <f>S59</f>
        <v>35909.279999999999</v>
      </c>
      <c r="T61" s="65">
        <f>T59</f>
        <v>5378.9760000000006</v>
      </c>
      <c r="U61" s="65">
        <f>U59</f>
        <v>167817.27600000001</v>
      </c>
      <c r="V61" s="65">
        <f>V59</f>
        <v>24174.956980799998</v>
      </c>
      <c r="W61" s="59" t="s">
        <v>19</v>
      </c>
      <c r="X61" s="71" t="s">
        <v>19</v>
      </c>
      <c r="Y61" s="65">
        <f>Y59</f>
        <v>274322.48002836003</v>
      </c>
      <c r="Z61" s="3"/>
    </row>
    <row r="62" spans="7:26" ht="15.75" thickBot="1" x14ac:dyDescent="0.3">
      <c r="Q62" s="66"/>
      <c r="R62" s="74"/>
      <c r="S62" s="66"/>
      <c r="T62" s="65">
        <f>T60</f>
        <v>1433.808</v>
      </c>
      <c r="U62" s="65">
        <f>U60</f>
        <v>10954.553821560001</v>
      </c>
      <c r="V62" s="65">
        <f>V60</f>
        <v>25592.309226000001</v>
      </c>
      <c r="W62" s="66"/>
      <c r="X62" s="72"/>
      <c r="Y62" s="65">
        <f>Y60</f>
        <v>5288.9039999999995</v>
      </c>
      <c r="Z62" s="3"/>
    </row>
    <row r="63" spans="7:26" ht="15.75" thickBot="1" x14ac:dyDescent="0.3">
      <c r="Q63" s="71"/>
      <c r="R63" s="78" t="s">
        <v>54</v>
      </c>
      <c r="S63" s="71">
        <f>S61+S56+S51+S46+S41+S36+S29</f>
        <v>1520159.52</v>
      </c>
      <c r="T63" s="79">
        <f>T61+T56+T51+T46+T41+T36+T29</f>
        <v>227709.984</v>
      </c>
      <c r="U63" s="79">
        <f>U56+U51+U46+U41+U36+U29</f>
        <v>6936447.4080000008</v>
      </c>
      <c r="V63" s="79">
        <f>V61+V56+V51+V46+V41+V36+V29</f>
        <v>1023406.5121872</v>
      </c>
      <c r="W63" s="71" t="s">
        <v>19</v>
      </c>
      <c r="X63" s="71" t="s">
        <v>19</v>
      </c>
      <c r="Y63" s="79">
        <f>Y61+Y56+Y51+Y46+Y41+Y36+Y29</f>
        <v>11612984.987867242</v>
      </c>
      <c r="Z63" s="3"/>
    </row>
    <row r="64" spans="7:26" ht="15.75" thickBot="1" x14ac:dyDescent="0.3">
      <c r="Q64" s="72"/>
      <c r="R64" s="80"/>
      <c r="S64" s="72"/>
      <c r="T64" s="79">
        <f>T62+T57+T52+T47+T42+T37+T30</f>
        <v>60697.872000000003</v>
      </c>
      <c r="U64" s="79">
        <f>U62+U57+U52+U47+U42+U37+U30</f>
        <v>529470.10137540009</v>
      </c>
      <c r="V64" s="79">
        <f>V62+V57+V52+V47+V42+V37+V30</f>
        <v>1083407.7572340001</v>
      </c>
      <c r="W64" s="72"/>
      <c r="X64" s="72"/>
      <c r="Y64" s="79">
        <f>Y62+Y57+Y52+Y47+Y42+Y37+Y30</f>
        <v>223896.93599999999</v>
      </c>
      <c r="Z64" s="3"/>
    </row>
    <row r="65" spans="17:26" ht="15.75" thickBot="1" x14ac:dyDescent="0.3">
      <c r="Q65" s="75" t="s">
        <v>55</v>
      </c>
      <c r="R65" s="76"/>
      <c r="S65" s="76"/>
      <c r="T65" s="76"/>
      <c r="U65" s="76"/>
      <c r="V65" s="76"/>
      <c r="W65" s="76"/>
      <c r="X65" s="76"/>
      <c r="Y65" s="77"/>
      <c r="Z65" s="3"/>
    </row>
    <row r="66" spans="17:26" ht="15.75" thickBot="1" x14ac:dyDescent="0.3">
      <c r="Q66" s="59" t="s">
        <v>56</v>
      </c>
      <c r="R66" s="59" t="s">
        <v>162</v>
      </c>
      <c r="S66" s="59">
        <f>S63*0.145</f>
        <v>220423.13039999999</v>
      </c>
      <c r="T66" s="65">
        <f>T63*0.145</f>
        <v>33017.947679999997</v>
      </c>
      <c r="U66" s="65">
        <f>U63*0.145</f>
        <v>1005784.87416</v>
      </c>
      <c r="V66" s="65" t="s">
        <v>19</v>
      </c>
      <c r="W66" s="59" t="s">
        <v>19</v>
      </c>
      <c r="X66" s="59" t="s">
        <v>19</v>
      </c>
      <c r="Y66" s="65">
        <f>Y63*0.145</f>
        <v>1683882.82324075</v>
      </c>
      <c r="Z66" s="3"/>
    </row>
    <row r="67" spans="17:26" ht="15.75" thickBot="1" x14ac:dyDescent="0.3">
      <c r="Q67" s="66"/>
      <c r="R67" s="66"/>
      <c r="S67" s="66"/>
      <c r="T67" s="65">
        <f>T64*0.145</f>
        <v>8801.1914400000005</v>
      </c>
      <c r="U67" s="65">
        <f>U64*0.145</f>
        <v>76773.164699433008</v>
      </c>
      <c r="V67" s="65" t="s">
        <v>19</v>
      </c>
      <c r="W67" s="66"/>
      <c r="X67" s="66"/>
      <c r="Y67" s="65">
        <f>Y64*0.145</f>
        <v>32465.055719999997</v>
      </c>
      <c r="Z67" s="3"/>
    </row>
    <row r="68" spans="17:26" ht="15.75" thickBot="1" x14ac:dyDescent="0.3">
      <c r="Q68" s="59"/>
      <c r="R68" s="59" t="s">
        <v>161</v>
      </c>
      <c r="S68" s="59" t="s">
        <v>19</v>
      </c>
      <c r="T68" s="65" t="s">
        <v>19</v>
      </c>
      <c r="U68" s="65">
        <f>U66*0.15</f>
        <v>150867.73112399998</v>
      </c>
      <c r="V68" s="65" t="s">
        <v>19</v>
      </c>
      <c r="W68" s="59" t="s">
        <v>19</v>
      </c>
      <c r="X68" s="59" t="s">
        <v>19</v>
      </c>
      <c r="Y68" s="65">
        <f>U68</f>
        <v>150867.73112399998</v>
      </c>
      <c r="Z68" s="3"/>
    </row>
    <row r="69" spans="17:26" ht="31.5" customHeight="1" thickBot="1" x14ac:dyDescent="0.3">
      <c r="Q69" s="66"/>
      <c r="R69" s="66"/>
      <c r="S69" s="66"/>
      <c r="T69" s="65" t="s">
        <v>19</v>
      </c>
      <c r="U69" s="65" t="s">
        <v>19</v>
      </c>
      <c r="V69" s="65" t="s">
        <v>19</v>
      </c>
      <c r="W69" s="66"/>
      <c r="X69" s="66"/>
      <c r="Y69" s="65" t="s">
        <v>19</v>
      </c>
      <c r="Z69" s="3"/>
    </row>
    <row r="70" spans="17:26" ht="15.75" thickBot="1" x14ac:dyDescent="0.3">
      <c r="Q70" s="81"/>
      <c r="R70" s="73" t="s">
        <v>57</v>
      </c>
      <c r="S70" s="59">
        <f>S66</f>
        <v>220423.13039999999</v>
      </c>
      <c r="T70" s="65">
        <f>T66</f>
        <v>33017.947679999997</v>
      </c>
      <c r="U70" s="65">
        <f>U66+U68</f>
        <v>1156652.605284</v>
      </c>
      <c r="V70" s="65" t="s">
        <v>19</v>
      </c>
      <c r="W70" s="59" t="s">
        <v>19</v>
      </c>
      <c r="X70" s="59" t="s">
        <v>19</v>
      </c>
      <c r="Y70" s="65">
        <f>Y68+Y66</f>
        <v>1834750.5543647499</v>
      </c>
      <c r="Z70" s="3"/>
    </row>
    <row r="71" spans="17:26" ht="15.75" thickBot="1" x14ac:dyDescent="0.3">
      <c r="Q71" s="82"/>
      <c r="R71" s="74"/>
      <c r="S71" s="66"/>
      <c r="T71" s="65">
        <f>T67</f>
        <v>8801.1914400000005</v>
      </c>
      <c r="U71" s="65">
        <f>U67</f>
        <v>76773.164699433008</v>
      </c>
      <c r="V71" s="65" t="s">
        <v>19</v>
      </c>
      <c r="W71" s="66"/>
      <c r="X71" s="66"/>
      <c r="Y71" s="65">
        <f>Y67</f>
        <v>32465.055719999997</v>
      </c>
      <c r="Z71" s="3"/>
    </row>
    <row r="72" spans="17:26" ht="15.75" thickBot="1" x14ac:dyDescent="0.3">
      <c r="Q72" s="81"/>
      <c r="R72" s="78" t="s">
        <v>58</v>
      </c>
      <c r="S72" s="71">
        <f>S63+S70</f>
        <v>1740582.6503999999</v>
      </c>
      <c r="T72" s="79">
        <f>T70+T63</f>
        <v>260727.93167999998</v>
      </c>
      <c r="U72" s="79">
        <f>U63+U70</f>
        <v>8093100.0132840006</v>
      </c>
      <c r="V72" s="79">
        <f>V63</f>
        <v>1023406.5121872</v>
      </c>
      <c r="W72" s="71" t="s">
        <v>19</v>
      </c>
      <c r="X72" s="71" t="s">
        <v>19</v>
      </c>
      <c r="Y72" s="79">
        <f>Y70+Y63</f>
        <v>13447735.542231992</v>
      </c>
      <c r="Z72" s="3"/>
    </row>
    <row r="73" spans="17:26" ht="15.75" thickBot="1" x14ac:dyDescent="0.3">
      <c r="Q73" s="82"/>
      <c r="R73" s="80"/>
      <c r="S73" s="72"/>
      <c r="T73" s="79">
        <f>T64+T71</f>
        <v>69499.063439999998</v>
      </c>
      <c r="U73" s="79">
        <f>U71+U64</f>
        <v>606243.26607483311</v>
      </c>
      <c r="V73" s="79">
        <f>V64</f>
        <v>1083407.7572340001</v>
      </c>
      <c r="W73" s="72"/>
      <c r="X73" s="72"/>
      <c r="Y73" s="79">
        <f>Y71+Y64</f>
        <v>256361.99171999999</v>
      </c>
      <c r="Z73" s="3"/>
    </row>
    <row r="74" spans="17:26" ht="15.75" thickBot="1" x14ac:dyDescent="0.3">
      <c r="Q74" s="75" t="s">
        <v>59</v>
      </c>
      <c r="R74" s="76"/>
      <c r="S74" s="76"/>
      <c r="T74" s="76"/>
      <c r="U74" s="76"/>
      <c r="V74" s="76"/>
      <c r="W74" s="76"/>
      <c r="X74" s="76"/>
      <c r="Y74" s="77"/>
      <c r="Z74" s="3"/>
    </row>
    <row r="75" spans="17:26" ht="29.25" customHeight="1" thickBot="1" x14ac:dyDescent="0.3">
      <c r="Q75" s="59" t="s">
        <v>60</v>
      </c>
      <c r="R75" s="59" t="s">
        <v>153</v>
      </c>
      <c r="S75" s="59">
        <f>S63*0.0296</f>
        <v>44996.721792000004</v>
      </c>
      <c r="T75" s="65">
        <f>T63*0.0296</f>
        <v>6740.2155264000003</v>
      </c>
      <c r="U75" s="65">
        <f>U63*0.0296</f>
        <v>205318.84327680003</v>
      </c>
      <c r="V75" s="65" t="s">
        <v>19</v>
      </c>
      <c r="W75" s="59" t="s">
        <v>19</v>
      </c>
      <c r="X75" s="59" t="s">
        <v>19</v>
      </c>
      <c r="Y75" s="65">
        <f>U75+T76+T75+S75</f>
        <v>258852.43760640002</v>
      </c>
      <c r="Z75" s="3"/>
    </row>
    <row r="76" spans="17:26" ht="15.75" thickBot="1" x14ac:dyDescent="0.3">
      <c r="Q76" s="66"/>
      <c r="R76" s="66"/>
      <c r="S76" s="66"/>
      <c r="T76" s="65">
        <f>T64*0.0296</f>
        <v>1796.6570112000002</v>
      </c>
      <c r="U76" s="65" t="s">
        <v>19</v>
      </c>
      <c r="V76" s="65" t="s">
        <v>19</v>
      </c>
      <c r="W76" s="66"/>
      <c r="X76" s="66"/>
      <c r="Y76" s="65">
        <f>Y64*0.0296</f>
        <v>6627.3493055999998</v>
      </c>
      <c r="Z76" s="3"/>
    </row>
    <row r="77" spans="17:26" ht="15.75" thickBot="1" x14ac:dyDescent="0.3">
      <c r="Q77" s="59" t="s">
        <v>61</v>
      </c>
      <c r="R77" s="59" t="s">
        <v>62</v>
      </c>
      <c r="S77" s="59" t="s">
        <v>19</v>
      </c>
      <c r="T77" s="65" t="s">
        <v>19</v>
      </c>
      <c r="U77" s="65" t="s">
        <v>19</v>
      </c>
      <c r="V77" s="65" t="s">
        <v>19</v>
      </c>
      <c r="W77" s="59" t="s">
        <v>19</v>
      </c>
      <c r="X77" s="59">
        <f>(S63+S75)*0.34</f>
        <v>532153.12220928003</v>
      </c>
      <c r="Y77" s="65">
        <f>X77</f>
        <v>532153.12220928003</v>
      </c>
      <c r="Z77" s="3"/>
    </row>
    <row r="78" spans="17:26" ht="15.75" thickBot="1" x14ac:dyDescent="0.3">
      <c r="Q78" s="66"/>
      <c r="R78" s="66"/>
      <c r="S78" s="66"/>
      <c r="T78" s="65" t="s">
        <v>19</v>
      </c>
      <c r="U78" s="65" t="s">
        <v>19</v>
      </c>
      <c r="V78" s="65" t="s">
        <v>19</v>
      </c>
      <c r="W78" s="66"/>
      <c r="X78" s="66"/>
      <c r="Y78" s="65" t="s">
        <v>19</v>
      </c>
      <c r="Z78" s="3"/>
    </row>
    <row r="79" spans="17:26" ht="74.25" customHeight="1" thickBot="1" x14ac:dyDescent="0.3">
      <c r="Q79" s="59" t="s">
        <v>97</v>
      </c>
      <c r="R79" s="59" t="s">
        <v>63</v>
      </c>
      <c r="S79" s="59" t="s">
        <v>19</v>
      </c>
      <c r="T79" s="65" t="s">
        <v>19</v>
      </c>
      <c r="U79" s="65" t="s">
        <v>19</v>
      </c>
      <c r="V79" s="65" t="s">
        <v>19</v>
      </c>
      <c r="W79" s="59" t="s">
        <v>19</v>
      </c>
      <c r="X79" s="59">
        <f>T64*0.097</f>
        <v>5887.6935840000006</v>
      </c>
      <c r="Y79" s="65">
        <f>X79</f>
        <v>5887.6935840000006</v>
      </c>
      <c r="Z79" s="3"/>
    </row>
    <row r="80" spans="17:26" x14ac:dyDescent="0.25">
      <c r="Q80" s="63"/>
      <c r="R80" s="63"/>
      <c r="S80" s="63"/>
      <c r="T80" s="59" t="s">
        <v>19</v>
      </c>
      <c r="U80" s="59" t="s">
        <v>19</v>
      </c>
      <c r="V80" s="59" t="s">
        <v>19</v>
      </c>
      <c r="W80" s="63"/>
      <c r="X80" s="63"/>
      <c r="Y80" s="59" t="s">
        <v>19</v>
      </c>
      <c r="Z80" s="3"/>
    </row>
    <row r="81" spans="17:26" ht="60" customHeight="1" thickBot="1" x14ac:dyDescent="0.3">
      <c r="Q81" s="66"/>
      <c r="R81" s="66"/>
      <c r="S81" s="66"/>
      <c r="T81" s="66"/>
      <c r="U81" s="66"/>
      <c r="V81" s="66"/>
      <c r="W81" s="66"/>
      <c r="X81" s="66"/>
      <c r="Y81" s="66"/>
      <c r="Z81" s="3"/>
    </row>
    <row r="82" spans="17:26" ht="15.75" thickBot="1" x14ac:dyDescent="0.3">
      <c r="Q82" s="59" t="s">
        <v>64</v>
      </c>
      <c r="R82" s="59" t="s">
        <v>65</v>
      </c>
      <c r="S82" s="59" t="s">
        <v>19</v>
      </c>
      <c r="T82" s="65" t="s">
        <v>19</v>
      </c>
      <c r="U82" s="65" t="s">
        <v>19</v>
      </c>
      <c r="V82" s="65" t="s">
        <v>19</v>
      </c>
      <c r="W82" s="59" t="s">
        <v>19</v>
      </c>
      <c r="X82" s="59">
        <f>0.00306*Y72</f>
        <v>41150.070759229893</v>
      </c>
      <c r="Y82" s="65">
        <f>X82</f>
        <v>41150.070759229893</v>
      </c>
      <c r="Z82" s="3"/>
    </row>
    <row r="83" spans="17:26" x14ac:dyDescent="0.25">
      <c r="Q83" s="63"/>
      <c r="R83" s="63"/>
      <c r="S83" s="63"/>
      <c r="T83" s="59" t="s">
        <v>19</v>
      </c>
      <c r="U83" s="59" t="s">
        <v>19</v>
      </c>
      <c r="V83" s="59" t="s">
        <v>19</v>
      </c>
      <c r="W83" s="63"/>
      <c r="X83" s="63"/>
      <c r="Y83" s="59"/>
      <c r="Z83" s="3"/>
    </row>
    <row r="84" spans="17:26" ht="15.75" thickBot="1" x14ac:dyDescent="0.3">
      <c r="Q84" s="66"/>
      <c r="R84" s="66"/>
      <c r="S84" s="66"/>
      <c r="T84" s="66"/>
      <c r="U84" s="66"/>
      <c r="V84" s="66"/>
      <c r="W84" s="66"/>
      <c r="X84" s="66"/>
      <c r="Y84" s="66"/>
      <c r="Z84" s="3"/>
    </row>
    <row r="85" spans="17:26" ht="15.75" thickBot="1" x14ac:dyDescent="0.3">
      <c r="Q85" s="59"/>
      <c r="R85" s="73" t="s">
        <v>66</v>
      </c>
      <c r="S85" s="59">
        <f>S75</f>
        <v>44996.721792000004</v>
      </c>
      <c r="T85" s="65">
        <f>T75</f>
        <v>6740.2155264000003</v>
      </c>
      <c r="U85" s="65">
        <f>U75</f>
        <v>205318.84327680003</v>
      </c>
      <c r="V85" s="65" t="s">
        <v>19</v>
      </c>
      <c r="W85" s="59" t="s">
        <v>19</v>
      </c>
      <c r="X85" s="59">
        <f>X82+X79+X77</f>
        <v>579190.88655250997</v>
      </c>
      <c r="Y85" s="65">
        <f>Y82+Y79+Y77+Y75</f>
        <v>838043.32415890996</v>
      </c>
      <c r="Z85" s="3"/>
    </row>
    <row r="86" spans="17:26" ht="15.75" thickBot="1" x14ac:dyDescent="0.3">
      <c r="Q86" s="66"/>
      <c r="R86" s="74"/>
      <c r="S86" s="66"/>
      <c r="T86" s="65">
        <f>T76</f>
        <v>1796.6570112000002</v>
      </c>
      <c r="U86" s="65" t="s">
        <v>19</v>
      </c>
      <c r="V86" s="65" t="s">
        <v>19</v>
      </c>
      <c r="W86" s="66"/>
      <c r="X86" s="66"/>
      <c r="Y86" s="65">
        <f>Y76</f>
        <v>6627.3493055999998</v>
      </c>
      <c r="Z86" s="3"/>
    </row>
    <row r="87" spans="17:26" ht="15.75" thickBot="1" x14ac:dyDescent="0.3">
      <c r="Q87" s="59"/>
      <c r="R87" s="78" t="s">
        <v>67</v>
      </c>
      <c r="S87" s="71">
        <f>S70+S56+S51+S61+S46+S41+S36+S29+S85</f>
        <v>1785579.3721920003</v>
      </c>
      <c r="T87" s="79">
        <f>T72+T85</f>
        <v>267468.1472064</v>
      </c>
      <c r="U87" s="79">
        <f>U72+U85</f>
        <v>8298418.8565608002</v>
      </c>
      <c r="V87" s="79">
        <f>V72</f>
        <v>1023406.5121872</v>
      </c>
      <c r="W87" s="71" t="s">
        <v>19</v>
      </c>
      <c r="X87" s="71">
        <f>X85</f>
        <v>579190.88655250997</v>
      </c>
      <c r="Y87" s="79">
        <f>Y72+Y85</f>
        <v>14285778.866390903</v>
      </c>
      <c r="Z87" s="3"/>
    </row>
    <row r="88" spans="17:26" ht="15.75" thickBot="1" x14ac:dyDescent="0.3">
      <c r="Q88" s="63"/>
      <c r="R88" s="83"/>
      <c r="S88" s="84"/>
      <c r="T88" s="79">
        <f>T73+T86</f>
        <v>71295.720451200003</v>
      </c>
      <c r="U88" s="79">
        <f>U73</f>
        <v>606243.26607483311</v>
      </c>
      <c r="V88" s="79">
        <f>V73</f>
        <v>1083407.7572340001</v>
      </c>
      <c r="W88" s="84"/>
      <c r="X88" s="84"/>
      <c r="Y88" s="79">
        <f>Y73+Y86</f>
        <v>262989.34102559998</v>
      </c>
      <c r="Z88" s="3"/>
    </row>
    <row r="89" spans="17:26" ht="15.75" thickBot="1" x14ac:dyDescent="0.3">
      <c r="Q89" s="75" t="s">
        <v>68</v>
      </c>
      <c r="R89" s="76"/>
      <c r="S89" s="76"/>
      <c r="T89" s="76"/>
      <c r="U89" s="76"/>
      <c r="V89" s="76"/>
      <c r="W89" s="76"/>
      <c r="X89" s="76"/>
      <c r="Y89" s="77"/>
      <c r="Z89" s="3"/>
    </row>
    <row r="90" spans="17:26" ht="15.75" thickBot="1" x14ac:dyDescent="0.3">
      <c r="Q90" s="59" t="s">
        <v>69</v>
      </c>
      <c r="R90" s="59" t="s">
        <v>70</v>
      </c>
      <c r="S90" s="59" t="s">
        <v>19</v>
      </c>
      <c r="T90" s="65" t="s">
        <v>19</v>
      </c>
      <c r="U90" s="65" t="s">
        <v>19</v>
      </c>
      <c r="V90" s="65" t="s">
        <v>19</v>
      </c>
      <c r="W90" s="59" t="s">
        <v>19</v>
      </c>
      <c r="X90" s="59">
        <f>Y87*0.0148</f>
        <v>211429.52722258537</v>
      </c>
      <c r="Y90" s="65">
        <f>X90</f>
        <v>211429.52722258537</v>
      </c>
      <c r="Z90" s="3"/>
    </row>
    <row r="91" spans="17:26" ht="25.5" customHeight="1" thickBot="1" x14ac:dyDescent="0.3">
      <c r="Q91" s="63"/>
      <c r="R91" s="63"/>
      <c r="S91" s="63"/>
      <c r="T91" s="65" t="s">
        <v>19</v>
      </c>
      <c r="U91" s="65" t="s">
        <v>19</v>
      </c>
      <c r="V91" s="65" t="s">
        <v>19</v>
      </c>
      <c r="W91" s="63"/>
      <c r="X91" s="63"/>
      <c r="Y91" s="65" t="s">
        <v>19</v>
      </c>
      <c r="Z91" s="3"/>
    </row>
    <row r="92" spans="17:26" ht="15.75" thickBot="1" x14ac:dyDescent="0.3">
      <c r="Q92" s="59" t="s">
        <v>71</v>
      </c>
      <c r="R92" s="59" t="s">
        <v>72</v>
      </c>
      <c r="S92" s="59" t="s">
        <v>19</v>
      </c>
      <c r="T92" s="65" t="s">
        <v>19</v>
      </c>
      <c r="U92" s="65" t="s">
        <v>19</v>
      </c>
      <c r="V92" s="65" t="s">
        <v>19</v>
      </c>
      <c r="W92" s="59" t="s">
        <v>19</v>
      </c>
      <c r="X92" s="59">
        <f>0.002*(Y87-Y29)</f>
        <v>28205.794426077326</v>
      </c>
      <c r="Y92" s="65">
        <f>X92</f>
        <v>28205.794426077326</v>
      </c>
      <c r="Z92" s="3"/>
    </row>
    <row r="93" spans="17:26" ht="15.75" thickBot="1" x14ac:dyDescent="0.3">
      <c r="Q93" s="66"/>
      <c r="R93" s="66"/>
      <c r="S93" s="63"/>
      <c r="T93" s="65" t="s">
        <v>19</v>
      </c>
      <c r="U93" s="65" t="s">
        <v>19</v>
      </c>
      <c r="V93" s="65" t="s">
        <v>19</v>
      </c>
      <c r="W93" s="63"/>
      <c r="X93" s="66"/>
      <c r="Y93" s="65" t="s">
        <v>19</v>
      </c>
      <c r="Z93" s="3"/>
    </row>
    <row r="94" spans="17:26" ht="15.75" thickBot="1" x14ac:dyDescent="0.3">
      <c r="Q94" s="59" t="s">
        <v>73</v>
      </c>
      <c r="R94" s="59" t="s">
        <v>74</v>
      </c>
      <c r="S94" s="59" t="s">
        <v>19</v>
      </c>
      <c r="T94" s="65" t="s">
        <v>19</v>
      </c>
      <c r="U94" s="65" t="s">
        <v>19</v>
      </c>
      <c r="V94" s="65" t="s">
        <v>19</v>
      </c>
      <c r="W94" s="59" t="s">
        <v>19</v>
      </c>
      <c r="X94" s="59">
        <f>(Y87-Y29)*0.06</f>
        <v>846173.83278231975</v>
      </c>
      <c r="Y94" s="65">
        <f>X94</f>
        <v>846173.83278231975</v>
      </c>
      <c r="Z94" s="3"/>
    </row>
    <row r="95" spans="17:26" ht="15.75" thickBot="1" x14ac:dyDescent="0.3">
      <c r="Q95" s="66"/>
      <c r="R95" s="66"/>
      <c r="S95" s="63"/>
      <c r="T95" s="65" t="s">
        <v>19</v>
      </c>
      <c r="U95" s="65" t="s">
        <v>19</v>
      </c>
      <c r="V95" s="65" t="s">
        <v>19</v>
      </c>
      <c r="W95" s="63"/>
      <c r="X95" s="66"/>
      <c r="Y95" s="65" t="s">
        <v>19</v>
      </c>
      <c r="Z95" s="3"/>
    </row>
    <row r="96" spans="17:26" ht="15.75" thickBot="1" x14ac:dyDescent="0.3">
      <c r="Q96" s="59" t="s">
        <v>75</v>
      </c>
      <c r="R96" s="59" t="s">
        <v>76</v>
      </c>
      <c r="S96" s="59" t="s">
        <v>19</v>
      </c>
      <c r="T96" s="85" t="s">
        <v>19</v>
      </c>
      <c r="U96" s="85" t="s">
        <v>19</v>
      </c>
      <c r="V96" s="85" t="s">
        <v>19</v>
      </c>
      <c r="W96" s="59" t="s">
        <v>19</v>
      </c>
      <c r="X96" s="59">
        <f>(Y87-Y29)*0.04</f>
        <v>564115.8885215465</v>
      </c>
      <c r="Y96" s="85">
        <f>X96</f>
        <v>564115.8885215465</v>
      </c>
      <c r="Z96" s="3"/>
    </row>
    <row r="97" spans="17:26" ht="15.75" thickBot="1" x14ac:dyDescent="0.3">
      <c r="Q97" s="66"/>
      <c r="R97" s="66"/>
      <c r="S97" s="66"/>
      <c r="T97" s="65" t="s">
        <v>19</v>
      </c>
      <c r="U97" s="65" t="s">
        <v>19</v>
      </c>
      <c r="V97" s="65" t="s">
        <v>19</v>
      </c>
      <c r="W97" s="66"/>
      <c r="X97" s="66"/>
      <c r="Y97" s="65" t="s">
        <v>19</v>
      </c>
      <c r="Z97" s="3"/>
    </row>
    <row r="98" spans="17:26" ht="81" customHeight="1" thickBot="1" x14ac:dyDescent="0.3">
      <c r="Q98" s="86" t="s">
        <v>163</v>
      </c>
      <c r="R98" s="63" t="s">
        <v>164</v>
      </c>
      <c r="S98" s="63" t="s">
        <v>19</v>
      </c>
      <c r="T98" s="65" t="s">
        <v>19</v>
      </c>
      <c r="U98" s="65" t="s">
        <v>19</v>
      </c>
      <c r="V98" s="65" t="s">
        <v>19</v>
      </c>
      <c r="W98" s="63" t="s">
        <v>19</v>
      </c>
      <c r="X98" s="63">
        <f>Y87*0.12</f>
        <v>1714293.4639669082</v>
      </c>
      <c r="Y98" s="65">
        <f>X98</f>
        <v>1714293.4639669082</v>
      </c>
      <c r="Z98" s="3"/>
    </row>
    <row r="99" spans="17:26" ht="87" customHeight="1" thickBot="1" x14ac:dyDescent="0.3">
      <c r="Q99" s="87"/>
      <c r="R99" s="66"/>
      <c r="S99" s="66"/>
      <c r="T99" s="65" t="s">
        <v>19</v>
      </c>
      <c r="U99" s="65" t="s">
        <v>19</v>
      </c>
      <c r="V99" s="65" t="s">
        <v>19</v>
      </c>
      <c r="W99" s="66"/>
      <c r="X99" s="66"/>
      <c r="Y99" s="65" t="s">
        <v>19</v>
      </c>
      <c r="Z99" s="3"/>
    </row>
    <row r="100" spans="17:26" ht="29.25" customHeight="1" thickBot="1" x14ac:dyDescent="0.3">
      <c r="Q100" s="59" t="s">
        <v>77</v>
      </c>
      <c r="R100" s="59" t="s">
        <v>78</v>
      </c>
      <c r="S100" s="59" t="s">
        <v>19</v>
      </c>
      <c r="T100" s="65" t="s">
        <v>19</v>
      </c>
      <c r="U100" s="65" t="s">
        <v>19</v>
      </c>
      <c r="V100" s="65" t="s">
        <v>19</v>
      </c>
      <c r="W100" s="59" t="s">
        <v>19</v>
      </c>
      <c r="X100" s="59">
        <f>(Y87-Y29)*0.07/100</f>
        <v>9872.0280491270642</v>
      </c>
      <c r="Y100" s="65">
        <f>X100</f>
        <v>9872.0280491270642</v>
      </c>
      <c r="Z100" s="3"/>
    </row>
    <row r="101" spans="17:26" ht="15.75" thickBot="1" x14ac:dyDescent="0.3">
      <c r="Q101" s="66"/>
      <c r="R101" s="66"/>
      <c r="S101" s="63"/>
      <c r="T101" s="65" t="s">
        <v>19</v>
      </c>
      <c r="U101" s="65" t="s">
        <v>19</v>
      </c>
      <c r="V101" s="65" t="s">
        <v>19</v>
      </c>
      <c r="W101" s="63"/>
      <c r="X101" s="66"/>
      <c r="Y101" s="65" t="s">
        <v>19</v>
      </c>
      <c r="Z101" s="3"/>
    </row>
    <row r="102" spans="17:26" ht="15.75" thickBot="1" x14ac:dyDescent="0.3">
      <c r="Q102" s="71"/>
      <c r="R102" s="73" t="s">
        <v>79</v>
      </c>
      <c r="S102" s="59" t="s">
        <v>19</v>
      </c>
      <c r="T102" s="65" t="s">
        <v>19</v>
      </c>
      <c r="U102" s="65" t="s">
        <v>19</v>
      </c>
      <c r="V102" s="65" t="s">
        <v>19</v>
      </c>
      <c r="W102" s="59" t="s">
        <v>19</v>
      </c>
      <c r="X102" s="71">
        <f>X100+X96+X94+X92+X90+X98</f>
        <v>3374090.5349685643</v>
      </c>
      <c r="Y102" s="79">
        <f>X102</f>
        <v>3374090.5349685643</v>
      </c>
      <c r="Z102" s="3"/>
    </row>
    <row r="103" spans="17:26" ht="15.75" thickBot="1" x14ac:dyDescent="0.3">
      <c r="Q103" s="72"/>
      <c r="R103" s="74"/>
      <c r="S103" s="63"/>
      <c r="T103" s="65" t="s">
        <v>19</v>
      </c>
      <c r="U103" s="65" t="s">
        <v>19</v>
      </c>
      <c r="V103" s="65" t="s">
        <v>19</v>
      </c>
      <c r="W103" s="63"/>
      <c r="X103" s="72"/>
      <c r="Y103" s="79" t="s">
        <v>19</v>
      </c>
      <c r="Z103" s="3"/>
    </row>
    <row r="104" spans="17:26" ht="15.75" thickBot="1" x14ac:dyDescent="0.3">
      <c r="Q104" s="75" t="s">
        <v>80</v>
      </c>
      <c r="R104" s="76"/>
      <c r="S104" s="76"/>
      <c r="T104" s="76"/>
      <c r="U104" s="76"/>
      <c r="V104" s="76"/>
      <c r="W104" s="76"/>
      <c r="X104" s="76"/>
      <c r="Y104" s="77"/>
      <c r="Z104" s="3"/>
    </row>
    <row r="105" spans="17:26" ht="15.75" thickBot="1" x14ac:dyDescent="0.3">
      <c r="Q105" s="59" t="s">
        <v>81</v>
      </c>
      <c r="R105" s="59" t="s">
        <v>82</v>
      </c>
      <c r="S105" s="59" t="s">
        <v>19</v>
      </c>
      <c r="T105" s="65" t="s">
        <v>19</v>
      </c>
      <c r="U105" s="65" t="s">
        <v>19</v>
      </c>
      <c r="V105" s="65" t="s">
        <v>19</v>
      </c>
      <c r="W105" s="59" t="s">
        <v>19</v>
      </c>
      <c r="X105" s="59" t="s">
        <v>19</v>
      </c>
      <c r="Y105" s="65" t="s">
        <v>19</v>
      </c>
      <c r="Z105" s="3"/>
    </row>
    <row r="106" spans="17:26" ht="15.75" thickBot="1" x14ac:dyDescent="0.3">
      <c r="Q106" s="66"/>
      <c r="R106" s="66"/>
      <c r="S106" s="63"/>
      <c r="T106" s="65" t="s">
        <v>19</v>
      </c>
      <c r="U106" s="65" t="s">
        <v>19</v>
      </c>
      <c r="V106" s="65" t="s">
        <v>19</v>
      </c>
      <c r="W106" s="63"/>
      <c r="X106" s="63"/>
      <c r="Y106" s="65" t="s">
        <v>19</v>
      </c>
      <c r="Z106" s="3"/>
    </row>
    <row r="107" spans="17:26" ht="15.75" thickBot="1" x14ac:dyDescent="0.3">
      <c r="Q107" s="59"/>
      <c r="R107" s="73" t="s">
        <v>83</v>
      </c>
      <c r="S107" s="59" t="s">
        <v>19</v>
      </c>
      <c r="T107" s="65" t="s">
        <v>19</v>
      </c>
      <c r="U107" s="65" t="s">
        <v>19</v>
      </c>
      <c r="V107" s="65" t="s">
        <v>19</v>
      </c>
      <c r="W107" s="59" t="s">
        <v>19</v>
      </c>
      <c r="X107" s="59" t="s">
        <v>19</v>
      </c>
      <c r="Y107" s="65" t="s">
        <v>19</v>
      </c>
      <c r="Z107" s="3"/>
    </row>
    <row r="108" spans="17:26" ht="15.75" thickBot="1" x14ac:dyDescent="0.3">
      <c r="Q108" s="66"/>
      <c r="R108" s="74"/>
      <c r="S108" s="63"/>
      <c r="T108" s="65" t="s">
        <v>19</v>
      </c>
      <c r="U108" s="65" t="s">
        <v>19</v>
      </c>
      <c r="V108" s="65" t="s">
        <v>19</v>
      </c>
      <c r="W108" s="63"/>
      <c r="X108" s="63"/>
      <c r="Y108" s="65" t="s">
        <v>19</v>
      </c>
      <c r="Z108" s="3"/>
    </row>
    <row r="109" spans="17:26" ht="15.75" thickBot="1" x14ac:dyDescent="0.3">
      <c r="Q109" s="59"/>
      <c r="R109" s="78" t="s">
        <v>84</v>
      </c>
      <c r="S109" s="71">
        <f>S87</f>
        <v>1785579.3721920003</v>
      </c>
      <c r="T109" s="79">
        <f>T87</f>
        <v>267468.1472064</v>
      </c>
      <c r="U109" s="79">
        <f>U87</f>
        <v>8298418.8565608002</v>
      </c>
      <c r="V109" s="79">
        <f>V87</f>
        <v>1023406.5121872</v>
      </c>
      <c r="W109" s="71" t="s">
        <v>19</v>
      </c>
      <c r="X109" s="71">
        <f>X102+X87</f>
        <v>3953281.4215210741</v>
      </c>
      <c r="Y109" s="79">
        <f>Y87+Y102+Y100+Y96+Y94+Y92+Y90</f>
        <v>19319666.472361121</v>
      </c>
      <c r="Z109" s="3"/>
    </row>
    <row r="110" spans="17:26" ht="15.75" thickBot="1" x14ac:dyDescent="0.3">
      <c r="Q110" s="66"/>
      <c r="R110" s="80"/>
      <c r="S110" s="72"/>
      <c r="T110" s="79">
        <f>T88</f>
        <v>71295.720451200003</v>
      </c>
      <c r="U110" s="79">
        <f>U88</f>
        <v>606243.26607483311</v>
      </c>
      <c r="V110" s="79">
        <f>V88</f>
        <v>1083407.7572340001</v>
      </c>
      <c r="W110" s="72"/>
      <c r="X110" s="72"/>
      <c r="Y110" s="79">
        <f>Y88</f>
        <v>262989.34102559998</v>
      </c>
      <c r="Z110" s="3"/>
    </row>
    <row r="111" spans="17:26" ht="29.25" customHeight="1" thickBot="1" x14ac:dyDescent="0.3">
      <c r="Q111" s="59" t="s">
        <v>85</v>
      </c>
      <c r="R111" s="59" t="s">
        <v>86</v>
      </c>
      <c r="S111" s="59">
        <f>0.04*S109</f>
        <v>71423.174887680012</v>
      </c>
      <c r="T111" s="65">
        <f>T109*0.04</f>
        <v>10698.725888256</v>
      </c>
      <c r="U111" s="65">
        <f t="shared" ref="U111:V112" si="4">U109*0.04</f>
        <v>331936.75426243199</v>
      </c>
      <c r="V111" s="65">
        <f t="shared" si="4"/>
        <v>40936.260487487998</v>
      </c>
      <c r="W111" s="59" t="s">
        <v>19</v>
      </c>
      <c r="X111" s="59">
        <f>X109*0.04</f>
        <v>158131.25686084296</v>
      </c>
      <c r="Y111" s="65">
        <f>Y109*0.04</f>
        <v>772786.65889444482</v>
      </c>
      <c r="Z111" s="3"/>
    </row>
    <row r="112" spans="17:26" ht="15.75" thickBot="1" x14ac:dyDescent="0.3">
      <c r="Q112" s="66"/>
      <c r="R112" s="66"/>
      <c r="S112" s="66"/>
      <c r="T112" s="65">
        <f>T110*0.04</f>
        <v>2851.8288180480004</v>
      </c>
      <c r="U112" s="65">
        <f t="shared" si="4"/>
        <v>24249.730642993323</v>
      </c>
      <c r="V112" s="65">
        <f t="shared" si="4"/>
        <v>43336.310289360008</v>
      </c>
      <c r="W112" s="66"/>
      <c r="X112" s="66"/>
      <c r="Y112" s="65">
        <f>Y110*0.04</f>
        <v>10519.573641023999</v>
      </c>
      <c r="Z112" s="3"/>
    </row>
    <row r="113" spans="17:26" ht="15.75" thickBot="1" x14ac:dyDescent="0.3">
      <c r="Q113" s="59"/>
      <c r="R113" s="78" t="s">
        <v>160</v>
      </c>
      <c r="S113" s="71">
        <f>S111+S109</f>
        <v>1857002.5470796803</v>
      </c>
      <c r="T113" s="79">
        <f>T111+T109</f>
        <v>278166.87309465598</v>
      </c>
      <c r="U113" s="79">
        <f t="shared" ref="U113:V114" si="5">U111+U109</f>
        <v>8630355.6108232327</v>
      </c>
      <c r="V113" s="79">
        <f t="shared" si="5"/>
        <v>1064342.7726746879</v>
      </c>
      <c r="W113" s="71" t="s">
        <v>19</v>
      </c>
      <c r="X113" s="71">
        <f>X111+X109</f>
        <v>4111412.6783819171</v>
      </c>
      <c r="Y113" s="79">
        <f>Y109+Y111</f>
        <v>20092453.131255567</v>
      </c>
      <c r="Z113" s="3"/>
    </row>
    <row r="114" spans="17:26" ht="15.75" thickBot="1" x14ac:dyDescent="0.3">
      <c r="Q114" s="66"/>
      <c r="R114" s="80"/>
      <c r="S114" s="72"/>
      <c r="T114" s="79">
        <f>T112+T110</f>
        <v>74147.549269248004</v>
      </c>
      <c r="U114" s="79">
        <f t="shared" si="5"/>
        <v>630492.99671782646</v>
      </c>
      <c r="V114" s="79">
        <f t="shared" si="5"/>
        <v>1126744.0675233603</v>
      </c>
      <c r="W114" s="72"/>
      <c r="X114" s="72"/>
      <c r="Y114" s="79">
        <f>Y110+Y112</f>
        <v>273508.91466662398</v>
      </c>
      <c r="Z114" s="3"/>
    </row>
    <row r="115" spans="17:26" ht="29.25" customHeight="1" thickBot="1" x14ac:dyDescent="0.3">
      <c r="Q115" s="59" t="s">
        <v>33</v>
      </c>
      <c r="R115" s="59" t="s">
        <v>87</v>
      </c>
      <c r="S115" s="59">
        <f>0.0173*S109</f>
        <v>30890.523138921602</v>
      </c>
      <c r="T115" s="65">
        <f>T109*0.0173</f>
        <v>4627.19894667072</v>
      </c>
      <c r="U115" s="65">
        <f t="shared" ref="U115:V116" si="6">U109*0.0173</f>
        <v>143562.64621850185</v>
      </c>
      <c r="V115" s="65">
        <f t="shared" si="6"/>
        <v>17704.93266083856</v>
      </c>
      <c r="W115" s="59" t="s">
        <v>19</v>
      </c>
      <c r="X115" s="59">
        <f>X109*0.0173</f>
        <v>68391.768592314576</v>
      </c>
      <c r="Y115" s="65">
        <f>Y109*0.0173</f>
        <v>334230.22997184738</v>
      </c>
      <c r="Z115" s="3"/>
    </row>
    <row r="116" spans="17:26" ht="15.75" thickBot="1" x14ac:dyDescent="0.3">
      <c r="Q116" s="66"/>
      <c r="R116" s="66"/>
      <c r="S116" s="66"/>
      <c r="T116" s="65">
        <f>T110*0.0173</f>
        <v>1233.4159638057599</v>
      </c>
      <c r="U116" s="65">
        <f t="shared" si="6"/>
        <v>10488.008503094612</v>
      </c>
      <c r="V116" s="65">
        <f t="shared" si="6"/>
        <v>18742.9542001482</v>
      </c>
      <c r="W116" s="66"/>
      <c r="X116" s="66"/>
      <c r="Y116" s="65">
        <f>Y110*0.0173</f>
        <v>4549.715599742879</v>
      </c>
      <c r="Z116" s="3"/>
    </row>
    <row r="117" spans="17:26" ht="15.75" thickBot="1" x14ac:dyDescent="0.3">
      <c r="Q117" s="59"/>
      <c r="R117" s="78" t="s">
        <v>88</v>
      </c>
      <c r="S117" s="71">
        <f>S115+S113</f>
        <v>1887893.070218602</v>
      </c>
      <c r="T117" s="79">
        <f>T115+T113</f>
        <v>282794.07204132673</v>
      </c>
      <c r="U117" s="79">
        <f t="shared" ref="U117:V118" si="7">U115+U113</f>
        <v>8773918.2570417337</v>
      </c>
      <c r="V117" s="79">
        <f t="shared" si="7"/>
        <v>1082047.7053355265</v>
      </c>
      <c r="W117" s="71" t="s">
        <v>19</v>
      </c>
      <c r="X117" s="71">
        <f>X115+X113</f>
        <v>4179804.4469742319</v>
      </c>
      <c r="Y117" s="79">
        <f>Y115+Y113</f>
        <v>20426683.361227416</v>
      </c>
      <c r="Z117" s="3"/>
    </row>
    <row r="118" spans="17:26" ht="15.75" thickBot="1" x14ac:dyDescent="0.3">
      <c r="Q118" s="66"/>
      <c r="R118" s="80"/>
      <c r="S118" s="72"/>
      <c r="T118" s="79">
        <f>T116+T114</f>
        <v>75380.965233053765</v>
      </c>
      <c r="U118" s="79">
        <f t="shared" si="7"/>
        <v>640981.00522092113</v>
      </c>
      <c r="V118" s="79">
        <f t="shared" si="7"/>
        <v>1145487.0217235084</v>
      </c>
      <c r="W118" s="72"/>
      <c r="X118" s="72"/>
      <c r="Y118" s="79">
        <f>Y116+Y114</f>
        <v>278058.63026636688</v>
      </c>
      <c r="Z118" s="3"/>
    </row>
    <row r="119" spans="17:26" ht="15.75" thickBot="1" x14ac:dyDescent="0.3">
      <c r="Q119" s="59" t="s">
        <v>89</v>
      </c>
      <c r="R119" s="59" t="s">
        <v>90</v>
      </c>
      <c r="S119" s="59" t="s">
        <v>19</v>
      </c>
      <c r="T119" s="65" t="s">
        <v>19</v>
      </c>
      <c r="U119" s="65" t="s">
        <v>19</v>
      </c>
      <c r="V119" s="65" t="s">
        <v>19</v>
      </c>
      <c r="W119" s="59" t="s">
        <v>19</v>
      </c>
      <c r="X119" s="59">
        <f>Y109*0.2</f>
        <v>3863933.2944722245</v>
      </c>
      <c r="Y119" s="65">
        <f>X119</f>
        <v>3863933.2944722245</v>
      </c>
      <c r="Z119" s="3"/>
    </row>
    <row r="120" spans="17:26" ht="15.75" thickBot="1" x14ac:dyDescent="0.3">
      <c r="Q120" s="66"/>
      <c r="R120" s="66"/>
      <c r="S120" s="66"/>
      <c r="T120" s="65" t="s">
        <v>19</v>
      </c>
      <c r="U120" s="65" t="s">
        <v>19</v>
      </c>
      <c r="V120" s="65" t="s">
        <v>19</v>
      </c>
      <c r="W120" s="66"/>
      <c r="X120" s="66"/>
      <c r="Y120" s="65" t="s">
        <v>19</v>
      </c>
      <c r="Z120" s="3"/>
    </row>
    <row r="121" spans="17:26" ht="55.5" customHeight="1" thickBot="1" x14ac:dyDescent="0.3">
      <c r="Q121" s="59"/>
      <c r="R121" s="71" t="s">
        <v>91</v>
      </c>
      <c r="S121" s="71">
        <f>S117</f>
        <v>1887893.070218602</v>
      </c>
      <c r="T121" s="79">
        <f>T117</f>
        <v>282794.07204132673</v>
      </c>
      <c r="U121" s="79">
        <f>U117</f>
        <v>8773918.2570417337</v>
      </c>
      <c r="V121" s="79">
        <f>V117</f>
        <v>1082047.7053355265</v>
      </c>
      <c r="W121" s="71" t="s">
        <v>19</v>
      </c>
      <c r="X121" s="71">
        <f>X119+X117</f>
        <v>8043737.7414464559</v>
      </c>
      <c r="Y121" s="79">
        <f>Y117+Y119</f>
        <v>24290616.655699641</v>
      </c>
      <c r="Z121" s="3"/>
    </row>
    <row r="122" spans="17:26" ht="15.75" thickBot="1" x14ac:dyDescent="0.3">
      <c r="Q122" s="66"/>
      <c r="R122" s="72"/>
      <c r="S122" s="72"/>
      <c r="T122" s="79">
        <f>T118</f>
        <v>75380.965233053765</v>
      </c>
      <c r="U122" s="79">
        <f>U118</f>
        <v>640981.00522092113</v>
      </c>
      <c r="V122" s="79">
        <f>V118</f>
        <v>1145487.0217235084</v>
      </c>
      <c r="W122" s="72"/>
      <c r="X122" s="72"/>
      <c r="Y122" s="79">
        <f>Y118</f>
        <v>278058.63026636688</v>
      </c>
      <c r="Z122" s="3"/>
    </row>
    <row r="123" spans="17:26" ht="15.75" thickBot="1" x14ac:dyDescent="0.3">
      <c r="Q123" s="71"/>
      <c r="R123" s="71" t="s">
        <v>92</v>
      </c>
      <c r="S123" s="71" t="s">
        <v>19</v>
      </c>
      <c r="T123" s="65" t="s">
        <v>19</v>
      </c>
      <c r="U123" s="65">
        <f>U68</f>
        <v>150867.73112399998</v>
      </c>
      <c r="V123" s="65" t="s">
        <v>19</v>
      </c>
      <c r="W123" s="71" t="s">
        <v>19</v>
      </c>
      <c r="X123" s="71" t="s">
        <v>19</v>
      </c>
      <c r="Y123" s="65">
        <f>U123</f>
        <v>150867.73112399998</v>
      </c>
      <c r="Z123" s="3"/>
    </row>
    <row r="124" spans="17:26" ht="15.75" thickBot="1" x14ac:dyDescent="0.3">
      <c r="Q124" s="72"/>
      <c r="R124" s="72"/>
      <c r="S124" s="72"/>
      <c r="T124" s="65" t="s">
        <v>19</v>
      </c>
      <c r="U124" s="65" t="s">
        <v>19</v>
      </c>
      <c r="V124" s="65" t="s">
        <v>19</v>
      </c>
      <c r="W124" s="72"/>
      <c r="X124" s="72"/>
      <c r="Y124" s="79" t="s">
        <v>19</v>
      </c>
      <c r="Z124" s="3"/>
    </row>
    <row r="125" spans="17:26" ht="15.75" thickBot="1" x14ac:dyDescent="0.3">
      <c r="Q125" s="59" t="s">
        <v>93</v>
      </c>
      <c r="R125" s="59" t="s">
        <v>94</v>
      </c>
      <c r="S125" s="59" t="s">
        <v>19</v>
      </c>
      <c r="T125" s="65" t="s">
        <v>19</v>
      </c>
      <c r="U125" s="65" t="s">
        <v>19</v>
      </c>
      <c r="V125" s="65" t="s">
        <v>19</v>
      </c>
      <c r="W125" s="59" t="s">
        <v>19</v>
      </c>
      <c r="X125" s="88" t="s">
        <v>19</v>
      </c>
      <c r="Y125" s="64" t="s">
        <v>19</v>
      </c>
      <c r="Z125" s="3"/>
    </row>
    <row r="126" spans="17:26" ht="15.75" thickBot="1" x14ac:dyDescent="0.3">
      <c r="Q126" s="66"/>
      <c r="R126" s="66"/>
      <c r="S126" s="66"/>
      <c r="T126" s="65" t="s">
        <v>19</v>
      </c>
      <c r="U126" s="65" t="s">
        <v>19</v>
      </c>
      <c r="V126" s="65" t="s">
        <v>19</v>
      </c>
      <c r="W126" s="66"/>
      <c r="X126" s="89"/>
      <c r="Y126" s="64" t="s">
        <v>19</v>
      </c>
      <c r="Z126" s="3"/>
    </row>
    <row r="127" spans="17:26" ht="15.75" thickBot="1" x14ac:dyDescent="0.3">
      <c r="Q127" s="88"/>
      <c r="R127" s="90" t="s">
        <v>95</v>
      </c>
      <c r="S127" s="90">
        <f>S121</f>
        <v>1887893.070218602</v>
      </c>
      <c r="T127" s="91">
        <f>T121</f>
        <v>282794.07204132673</v>
      </c>
      <c r="U127" s="91">
        <f t="shared" ref="U127:V128" si="8">U121</f>
        <v>8773918.2570417337</v>
      </c>
      <c r="V127" s="91">
        <f t="shared" si="8"/>
        <v>1082047.7053355265</v>
      </c>
      <c r="W127" s="90" t="s">
        <v>19</v>
      </c>
      <c r="X127" s="90">
        <f>X121</f>
        <v>8043737.7414464559</v>
      </c>
      <c r="Y127" s="91">
        <f>Y121-Y123</f>
        <v>24139748.924575642</v>
      </c>
      <c r="Z127" s="3"/>
    </row>
    <row r="128" spans="17:26" ht="15.75" thickBot="1" x14ac:dyDescent="0.3">
      <c r="Q128" s="89"/>
      <c r="R128" s="92"/>
      <c r="S128" s="92"/>
      <c r="T128" s="91">
        <f>T122</f>
        <v>75380.965233053765</v>
      </c>
      <c r="U128" s="91">
        <f t="shared" si="8"/>
        <v>640981.00522092113</v>
      </c>
      <c r="V128" s="91">
        <f t="shared" si="8"/>
        <v>1145487.0217235084</v>
      </c>
      <c r="W128" s="92"/>
      <c r="X128" s="92"/>
      <c r="Y128" s="93">
        <f>Y122</f>
        <v>278058.63026636688</v>
      </c>
    </row>
    <row r="129" spans="18:25" x14ac:dyDescent="0.25">
      <c r="Y129" s="19"/>
    </row>
    <row r="132" spans="18:25" x14ac:dyDescent="0.25">
      <c r="T132" s="18">
        <f>S127+T127+T128+U128+U127+V127+V128+X127</f>
        <v>21932239.838261127</v>
      </c>
    </row>
    <row r="136" spans="18:25" x14ac:dyDescent="0.25">
      <c r="S136"/>
      <c r="T136"/>
      <c r="U136"/>
      <c r="V136"/>
      <c r="W136"/>
      <c r="X136"/>
      <c r="Y136"/>
    </row>
    <row r="137" spans="18:25" x14ac:dyDescent="0.25">
      <c r="S137"/>
      <c r="T137"/>
      <c r="U137"/>
      <c r="V137"/>
      <c r="W137"/>
      <c r="X137"/>
      <c r="Y137"/>
    </row>
    <row r="141" spans="18:25" ht="15.75" thickBot="1" x14ac:dyDescent="0.3"/>
    <row r="142" spans="18:25" ht="32.25" thickBot="1" x14ac:dyDescent="0.3">
      <c r="R142" s="27" t="s">
        <v>98</v>
      </c>
      <c r="S142" s="28" t="s">
        <v>128</v>
      </c>
      <c r="T142" s="28" t="s">
        <v>99</v>
      </c>
    </row>
    <row r="143" spans="18:25" ht="16.5" thickBot="1" x14ac:dyDescent="0.3">
      <c r="R143" s="29">
        <v>1</v>
      </c>
      <c r="S143" s="30">
        <v>3</v>
      </c>
      <c r="T143" s="30">
        <v>4</v>
      </c>
    </row>
    <row r="144" spans="18:25" ht="16.5" thickBot="1" x14ac:dyDescent="0.3">
      <c r="R144" s="31" t="s">
        <v>129</v>
      </c>
      <c r="S144" s="30" t="s">
        <v>130</v>
      </c>
      <c r="T144" s="35">
        <v>31395</v>
      </c>
    </row>
    <row r="145" spans="18:25" ht="16.5" thickBot="1" x14ac:dyDescent="0.3">
      <c r="R145" s="31" t="s">
        <v>131</v>
      </c>
      <c r="S145" s="30" t="s">
        <v>132</v>
      </c>
      <c r="T145" s="35">
        <v>8659.2000000000007</v>
      </c>
    </row>
    <row r="146" spans="18:25" ht="32.25" thickBot="1" x14ac:dyDescent="0.3">
      <c r="R146" s="31" t="s">
        <v>133</v>
      </c>
      <c r="S146" s="30" t="s">
        <v>134</v>
      </c>
      <c r="T146" s="35">
        <f>Y127</f>
        <v>24139748.924575642</v>
      </c>
    </row>
    <row r="147" spans="18:25" ht="16.5" thickBot="1" x14ac:dyDescent="0.3">
      <c r="R147" s="31" t="s">
        <v>135</v>
      </c>
      <c r="S147" s="30" t="s">
        <v>134</v>
      </c>
      <c r="T147" s="35">
        <f>Y127-X127</f>
        <v>16096011.183129186</v>
      </c>
    </row>
    <row r="148" spans="18:25" ht="32.25" thickBot="1" x14ac:dyDescent="0.3">
      <c r="R148" s="32" t="s">
        <v>136</v>
      </c>
      <c r="S148" s="30" t="s">
        <v>137</v>
      </c>
      <c r="T148" s="36">
        <f>T146/T145</f>
        <v>2787.7574053695075</v>
      </c>
      <c r="X148" s="18" t="s">
        <v>157</v>
      </c>
      <c r="Y148" s="18">
        <f>Y149+Y150+Y151</f>
        <v>671182.14604437957</v>
      </c>
    </row>
    <row r="149" spans="18:25" ht="32.25" thickBot="1" x14ac:dyDescent="0.3">
      <c r="R149" s="32" t="s">
        <v>138</v>
      </c>
      <c r="S149" s="30" t="s">
        <v>139</v>
      </c>
      <c r="T149" s="36">
        <f>T146/T144</f>
        <v>768.90424986703749</v>
      </c>
      <c r="X149" s="18" t="s">
        <v>154</v>
      </c>
      <c r="Y149" s="18">
        <f>V127*0.5</f>
        <v>541023.85266776325</v>
      </c>
    </row>
    <row r="150" spans="18:25" ht="16.5" thickBot="1" x14ac:dyDescent="0.3">
      <c r="R150" s="32" t="s">
        <v>140</v>
      </c>
      <c r="S150" s="33" t="s">
        <v>141</v>
      </c>
      <c r="T150" s="35">
        <f>Y128</f>
        <v>278058.63026636688</v>
      </c>
      <c r="X150" s="18" t="s">
        <v>155</v>
      </c>
      <c r="Y150" s="18">
        <f>0.15*T127</f>
        <v>42419.110806199009</v>
      </c>
    </row>
    <row r="151" spans="18:25" ht="32.25" thickBot="1" x14ac:dyDescent="0.3">
      <c r="R151" s="32" t="s">
        <v>142</v>
      </c>
      <c r="S151" s="34" t="s">
        <v>143</v>
      </c>
      <c r="T151" s="36">
        <f>T146/(T150/8)</f>
        <v>694.52255882727798</v>
      </c>
      <c r="X151" s="18" t="s">
        <v>156</v>
      </c>
      <c r="Y151" s="18">
        <f>U127*0.01</f>
        <v>87739.182570417339</v>
      </c>
    </row>
    <row r="152" spans="18:25" ht="16.5" thickBot="1" x14ac:dyDescent="0.3">
      <c r="R152" s="32" t="s">
        <v>144</v>
      </c>
      <c r="S152" s="34" t="s">
        <v>145</v>
      </c>
      <c r="T152" s="36">
        <f>U127/T146</f>
        <v>0.36346352584095787</v>
      </c>
      <c r="X152" s="18" t="s">
        <v>158</v>
      </c>
      <c r="Y152" s="18">
        <f>Y148*(1-T155/T154)</f>
        <v>31961.054573541918</v>
      </c>
    </row>
    <row r="153" spans="18:25" ht="16.5" thickBot="1" x14ac:dyDescent="0.3">
      <c r="R153" s="32" t="s">
        <v>146</v>
      </c>
      <c r="S153" s="34" t="s">
        <v>147</v>
      </c>
      <c r="T153" s="36">
        <f>V128/T147*100</f>
        <v>7.1165893754108156</v>
      </c>
    </row>
    <row r="154" spans="18:25" ht="32.25" thickBot="1" x14ac:dyDescent="0.3">
      <c r="R154" s="32" t="s">
        <v>148</v>
      </c>
      <c r="S154" s="34" t="s">
        <v>149</v>
      </c>
      <c r="T154" s="36">
        <v>420</v>
      </c>
    </row>
    <row r="155" spans="18:25" ht="32.25" thickBot="1" x14ac:dyDescent="0.3">
      <c r="R155" s="32" t="s">
        <v>150</v>
      </c>
      <c r="S155" s="34" t="s">
        <v>149</v>
      </c>
      <c r="T155" s="36">
        <v>400</v>
      </c>
    </row>
    <row r="156" spans="18:25" ht="48" thickBot="1" x14ac:dyDescent="0.3">
      <c r="R156" s="32" t="s">
        <v>151</v>
      </c>
      <c r="S156" s="34" t="s">
        <v>152</v>
      </c>
      <c r="T156" s="37">
        <v>49326.19</v>
      </c>
    </row>
  </sheetData>
  <mergeCells count="283">
    <mergeCell ref="R98:R99"/>
    <mergeCell ref="X98:X99"/>
    <mergeCell ref="W98:W99"/>
    <mergeCell ref="S98:S99"/>
    <mergeCell ref="G15:G16"/>
    <mergeCell ref="G13:G14"/>
    <mergeCell ref="G11:G12"/>
    <mergeCell ref="G17:H18"/>
    <mergeCell ref="I11:I12"/>
    <mergeCell ref="I13:I14"/>
    <mergeCell ref="I15:I16"/>
    <mergeCell ref="I17:I18"/>
    <mergeCell ref="N6:N7"/>
    <mergeCell ref="M11:M12"/>
    <mergeCell ref="N11:N12"/>
    <mergeCell ref="N15:N16"/>
    <mergeCell ref="M15:M16"/>
    <mergeCell ref="M13:M14"/>
    <mergeCell ref="N17:N18"/>
    <mergeCell ref="M17:M18"/>
    <mergeCell ref="H11:H12"/>
    <mergeCell ref="H13:H14"/>
    <mergeCell ref="H15:H16"/>
    <mergeCell ref="O5:O6"/>
    <mergeCell ref="I5:N5"/>
    <mergeCell ref="H9:H10"/>
    <mergeCell ref="G9:G10"/>
    <mergeCell ref="I9:I10"/>
    <mergeCell ref="M9:M10"/>
    <mergeCell ref="N9:N10"/>
    <mergeCell ref="G5:G7"/>
    <mergeCell ref="H5:H7"/>
    <mergeCell ref="I6:I7"/>
    <mergeCell ref="M6:M7"/>
    <mergeCell ref="T34:T35"/>
    <mergeCell ref="U34:U35"/>
    <mergeCell ref="Y34:Y35"/>
    <mergeCell ref="W32:W35"/>
    <mergeCell ref="X32:X35"/>
    <mergeCell ref="V34:V35"/>
    <mergeCell ref="S29:S30"/>
    <mergeCell ref="T32:T33"/>
    <mergeCell ref="U32:U33"/>
    <mergeCell ref="Y32:Y33"/>
    <mergeCell ref="V32:V33"/>
    <mergeCell ref="Q29:Q30"/>
    <mergeCell ref="R29:R30"/>
    <mergeCell ref="W29:W30"/>
    <mergeCell ref="X29:X30"/>
    <mergeCell ref="Q31:Y31"/>
    <mergeCell ref="Q32:Q35"/>
    <mergeCell ref="R32:R35"/>
    <mergeCell ref="S32:S35"/>
    <mergeCell ref="S100:S101"/>
    <mergeCell ref="S94:S95"/>
    <mergeCell ref="S96:S97"/>
    <mergeCell ref="S92:S93"/>
    <mergeCell ref="T83:T84"/>
    <mergeCell ref="U83:U84"/>
    <mergeCell ref="Y83:Y84"/>
    <mergeCell ref="S85:S86"/>
    <mergeCell ref="Y80:Y81"/>
    <mergeCell ref="S77:S78"/>
    <mergeCell ref="S68:S69"/>
    <mergeCell ref="W63:W64"/>
    <mergeCell ref="X63:X64"/>
    <mergeCell ref="W66:W67"/>
    <mergeCell ref="X66:X67"/>
    <mergeCell ref="S49:S50"/>
    <mergeCell ref="Q22:Q24"/>
    <mergeCell ref="R22:R24"/>
    <mergeCell ref="S22:X22"/>
    <mergeCell ref="S23:S24"/>
    <mergeCell ref="W23:W24"/>
    <mergeCell ref="X23:X24"/>
    <mergeCell ref="Q26:Y26"/>
    <mergeCell ref="Q27:Q28"/>
    <mergeCell ref="R27:R28"/>
    <mergeCell ref="W27:W28"/>
    <mergeCell ref="X27:X28"/>
    <mergeCell ref="S27:S28"/>
    <mergeCell ref="Y22:Y23"/>
    <mergeCell ref="Q36:Q37"/>
    <mergeCell ref="R36:R37"/>
    <mergeCell ref="S36:S37"/>
    <mergeCell ref="W36:W37"/>
    <mergeCell ref="X36:X37"/>
    <mergeCell ref="Q38:Y38"/>
    <mergeCell ref="Q39:Q40"/>
    <mergeCell ref="R39:R40"/>
    <mergeCell ref="W39:W40"/>
    <mergeCell ref="X39:X40"/>
    <mergeCell ref="S39:S40"/>
    <mergeCell ref="Q41:Q42"/>
    <mergeCell ref="R41:R42"/>
    <mergeCell ref="S41:S42"/>
    <mergeCell ref="W41:W42"/>
    <mergeCell ref="X41:X42"/>
    <mergeCell ref="Q46:Q47"/>
    <mergeCell ref="R46:R47"/>
    <mergeCell ref="W46:W47"/>
    <mergeCell ref="X46:X47"/>
    <mergeCell ref="Q48:Y48"/>
    <mergeCell ref="Q49:Q50"/>
    <mergeCell ref="R49:R50"/>
    <mergeCell ref="W49:W50"/>
    <mergeCell ref="X49:X50"/>
    <mergeCell ref="S46:S47"/>
    <mergeCell ref="X44:X45"/>
    <mergeCell ref="W44:W45"/>
    <mergeCell ref="S44:S45"/>
    <mergeCell ref="R44:R45"/>
    <mergeCell ref="Q44:Q45"/>
    <mergeCell ref="Q43:Y43"/>
    <mergeCell ref="Q51:Q52"/>
    <mergeCell ref="R51:R52"/>
    <mergeCell ref="W51:W52"/>
    <mergeCell ref="X51:X52"/>
    <mergeCell ref="Q53:Y53"/>
    <mergeCell ref="Q54:Q55"/>
    <mergeCell ref="R54:R55"/>
    <mergeCell ref="S54:S55"/>
    <mergeCell ref="W54:W55"/>
    <mergeCell ref="X54:X55"/>
    <mergeCell ref="S51:S52"/>
    <mergeCell ref="Q56:Q57"/>
    <mergeCell ref="R56:R57"/>
    <mergeCell ref="S56:S57"/>
    <mergeCell ref="W56:W57"/>
    <mergeCell ref="X56:X57"/>
    <mergeCell ref="Q58:Y58"/>
    <mergeCell ref="Q59:Q60"/>
    <mergeCell ref="R59:R60"/>
    <mergeCell ref="S59:S60"/>
    <mergeCell ref="W59:W60"/>
    <mergeCell ref="X59:X60"/>
    <mergeCell ref="Q61:Q62"/>
    <mergeCell ref="R61:R62"/>
    <mergeCell ref="S61:S62"/>
    <mergeCell ref="W61:W62"/>
    <mergeCell ref="X61:X62"/>
    <mergeCell ref="Q63:Q64"/>
    <mergeCell ref="R63:R64"/>
    <mergeCell ref="S63:S64"/>
    <mergeCell ref="Q65:Y65"/>
    <mergeCell ref="Q66:Q67"/>
    <mergeCell ref="R66:R67"/>
    <mergeCell ref="S66:S67"/>
    <mergeCell ref="Q68:Q69"/>
    <mergeCell ref="R68:R69"/>
    <mergeCell ref="W68:W69"/>
    <mergeCell ref="X68:X69"/>
    <mergeCell ref="Q70:Q71"/>
    <mergeCell ref="R70:R71"/>
    <mergeCell ref="S70:S71"/>
    <mergeCell ref="W70:W71"/>
    <mergeCell ref="X70:X71"/>
    <mergeCell ref="Q72:Q73"/>
    <mergeCell ref="R72:R73"/>
    <mergeCell ref="S72:S73"/>
    <mergeCell ref="W72:W73"/>
    <mergeCell ref="X72:X73"/>
    <mergeCell ref="Q74:Y74"/>
    <mergeCell ref="Q75:Q76"/>
    <mergeCell ref="R75:R76"/>
    <mergeCell ref="S75:S76"/>
    <mergeCell ref="W75:W76"/>
    <mergeCell ref="X75:X76"/>
    <mergeCell ref="Q77:Q78"/>
    <mergeCell ref="R77:R78"/>
    <mergeCell ref="W77:W78"/>
    <mergeCell ref="X77:X78"/>
    <mergeCell ref="R79:R81"/>
    <mergeCell ref="S79:S81"/>
    <mergeCell ref="W79:W81"/>
    <mergeCell ref="X79:X81"/>
    <mergeCell ref="T80:T81"/>
    <mergeCell ref="U80:U81"/>
    <mergeCell ref="V80:V81"/>
    <mergeCell ref="Q82:Q84"/>
    <mergeCell ref="R82:R84"/>
    <mergeCell ref="S82:S84"/>
    <mergeCell ref="W82:W84"/>
    <mergeCell ref="X82:X84"/>
    <mergeCell ref="V83:V84"/>
    <mergeCell ref="Q85:Q86"/>
    <mergeCell ref="R85:R86"/>
    <mergeCell ref="W85:W86"/>
    <mergeCell ref="X85:X86"/>
    <mergeCell ref="Q87:Q88"/>
    <mergeCell ref="R87:R88"/>
    <mergeCell ref="S87:S88"/>
    <mergeCell ref="W87:W88"/>
    <mergeCell ref="X87:X88"/>
    <mergeCell ref="Q89:Y89"/>
    <mergeCell ref="Q90:Q91"/>
    <mergeCell ref="R90:R91"/>
    <mergeCell ref="S90:S91"/>
    <mergeCell ref="W90:W91"/>
    <mergeCell ref="X90:X91"/>
    <mergeCell ref="Q92:Q93"/>
    <mergeCell ref="R92:R93"/>
    <mergeCell ref="W92:W93"/>
    <mergeCell ref="X92:X93"/>
    <mergeCell ref="Q94:Q95"/>
    <mergeCell ref="R94:R95"/>
    <mergeCell ref="W94:W95"/>
    <mergeCell ref="X94:X95"/>
    <mergeCell ref="Q96:Q97"/>
    <mergeCell ref="R96:R97"/>
    <mergeCell ref="W96:W97"/>
    <mergeCell ref="X96:X97"/>
    <mergeCell ref="Q100:Q101"/>
    <mergeCell ref="R100:R101"/>
    <mergeCell ref="W100:W101"/>
    <mergeCell ref="X100:X101"/>
    <mergeCell ref="Q102:Q103"/>
    <mergeCell ref="R102:R103"/>
    <mergeCell ref="W102:W103"/>
    <mergeCell ref="X102:X103"/>
    <mergeCell ref="Q104:Y104"/>
    <mergeCell ref="S102:S103"/>
    <mergeCell ref="Q105:Q106"/>
    <mergeCell ref="R105:R106"/>
    <mergeCell ref="S105:S106"/>
    <mergeCell ref="W105:W106"/>
    <mergeCell ref="X105:X106"/>
    <mergeCell ref="Q107:Q108"/>
    <mergeCell ref="R107:R108"/>
    <mergeCell ref="S107:S108"/>
    <mergeCell ref="W107:W108"/>
    <mergeCell ref="X107:X108"/>
    <mergeCell ref="Q109:Q110"/>
    <mergeCell ref="R109:R110"/>
    <mergeCell ref="S109:S110"/>
    <mergeCell ref="W109:W110"/>
    <mergeCell ref="X109:X110"/>
    <mergeCell ref="Q111:Q112"/>
    <mergeCell ref="R111:R112"/>
    <mergeCell ref="S111:S112"/>
    <mergeCell ref="W111:W112"/>
    <mergeCell ref="X111:X112"/>
    <mergeCell ref="W117:W118"/>
    <mergeCell ref="X117:X118"/>
    <mergeCell ref="Q119:Q120"/>
    <mergeCell ref="R119:R120"/>
    <mergeCell ref="S119:S120"/>
    <mergeCell ref="W119:W120"/>
    <mergeCell ref="X119:X120"/>
    <mergeCell ref="Q113:Q114"/>
    <mergeCell ref="R113:R114"/>
    <mergeCell ref="S113:S114"/>
    <mergeCell ref="W113:W114"/>
    <mergeCell ref="X113:X114"/>
    <mergeCell ref="Q115:Q116"/>
    <mergeCell ref="R115:R116"/>
    <mergeCell ref="S115:S116"/>
    <mergeCell ref="W115:W116"/>
    <mergeCell ref="X115:X116"/>
    <mergeCell ref="Q125:Q126"/>
    <mergeCell ref="R125:R126"/>
    <mergeCell ref="S125:S126"/>
    <mergeCell ref="W125:W126"/>
    <mergeCell ref="X125:X126"/>
    <mergeCell ref="Q79:Q81"/>
    <mergeCell ref="S127:S128"/>
    <mergeCell ref="W127:W128"/>
    <mergeCell ref="X127:X128"/>
    <mergeCell ref="Q127:Q128"/>
    <mergeCell ref="R127:R128"/>
    <mergeCell ref="Q121:Q122"/>
    <mergeCell ref="R121:R122"/>
    <mergeCell ref="S121:S122"/>
    <mergeCell ref="W121:W122"/>
    <mergeCell ref="X121:X122"/>
    <mergeCell ref="Q123:Q124"/>
    <mergeCell ref="R123:R124"/>
    <mergeCell ref="S123:S124"/>
    <mergeCell ref="W123:W124"/>
    <mergeCell ref="X123:X124"/>
    <mergeCell ref="Q117:Q118"/>
    <mergeCell ref="R117:R118"/>
    <mergeCell ref="S117:S1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"/>
    </sheetView>
  </sheetViews>
  <sheetFormatPr defaultRowHeight="15" x14ac:dyDescent="0.25"/>
  <cols>
    <col min="1" max="1" width="40" customWidth="1"/>
    <col min="2" max="2" width="38" customWidth="1"/>
    <col min="3" max="4" width="18.5703125" customWidth="1"/>
  </cols>
  <sheetData>
    <row r="1" spans="1:8" ht="32.25" thickBot="1" x14ac:dyDescent="0.3">
      <c r="A1" s="22"/>
      <c r="B1" s="20" t="s">
        <v>119</v>
      </c>
      <c r="C1" s="21" t="s">
        <v>100</v>
      </c>
      <c r="D1" s="21" t="s">
        <v>101</v>
      </c>
    </row>
    <row r="2" spans="1:8" ht="16.5" thickBot="1" x14ac:dyDescent="0.3">
      <c r="A2" s="22" t="s">
        <v>102</v>
      </c>
      <c r="B2" s="21" t="s">
        <v>103</v>
      </c>
      <c r="C2" s="21">
        <v>47857</v>
      </c>
      <c r="D2" s="21">
        <v>49404</v>
      </c>
    </row>
    <row r="3" spans="1:8" ht="31.5" x14ac:dyDescent="0.25">
      <c r="A3" s="23" t="s">
        <v>104</v>
      </c>
      <c r="B3" s="50" t="s">
        <v>103</v>
      </c>
      <c r="C3" s="20">
        <v>2621</v>
      </c>
      <c r="D3" s="20">
        <v>2128</v>
      </c>
      <c r="H3" t="s">
        <v>120</v>
      </c>
    </row>
    <row r="4" spans="1:8" ht="32.25" thickBot="1" x14ac:dyDescent="0.3">
      <c r="A4" s="22" t="s">
        <v>105</v>
      </c>
      <c r="B4" s="51"/>
      <c r="C4" s="21">
        <v>1167</v>
      </c>
      <c r="D4" s="21">
        <v>885</v>
      </c>
      <c r="H4" t="s">
        <v>121</v>
      </c>
    </row>
    <row r="5" spans="1:8" ht="16.5" thickBot="1" x14ac:dyDescent="0.3">
      <c r="A5" s="22" t="s">
        <v>106</v>
      </c>
      <c r="B5" s="21" t="s">
        <v>103</v>
      </c>
      <c r="C5" s="21">
        <v>23385</v>
      </c>
      <c r="D5" s="21">
        <v>25374</v>
      </c>
      <c r="G5" t="s">
        <v>125</v>
      </c>
    </row>
    <row r="6" spans="1:8" ht="16.5" thickBot="1" x14ac:dyDescent="0.3">
      <c r="A6" s="22" t="s">
        <v>107</v>
      </c>
      <c r="B6" s="21" t="s">
        <v>103</v>
      </c>
      <c r="C6" s="21">
        <v>2155</v>
      </c>
      <c r="D6" s="21">
        <v>2294</v>
      </c>
    </row>
    <row r="7" spans="1:8" ht="32.25" thickBot="1" x14ac:dyDescent="0.3">
      <c r="A7" s="22" t="s">
        <v>108</v>
      </c>
      <c r="B7" s="21" t="s">
        <v>109</v>
      </c>
      <c r="C7" s="21">
        <v>28179</v>
      </c>
      <c r="D7" s="21">
        <v>28906</v>
      </c>
    </row>
    <row r="8" spans="1:8" ht="16.5" thickBot="1" x14ac:dyDescent="0.3">
      <c r="A8" s="24" t="s">
        <v>110</v>
      </c>
      <c r="B8" s="21"/>
      <c r="C8" s="25">
        <f>SUM(C2:C7)</f>
        <v>105364</v>
      </c>
      <c r="D8" s="25">
        <f>SUM(D2:D7)</f>
        <v>108991</v>
      </c>
    </row>
    <row r="9" spans="1:8" ht="16.5" thickBot="1" x14ac:dyDescent="0.3">
      <c r="A9" s="22" t="s">
        <v>111</v>
      </c>
      <c r="B9" s="21" t="s">
        <v>112</v>
      </c>
      <c r="C9" s="21">
        <v>31150</v>
      </c>
      <c r="D9" s="21">
        <v>31954</v>
      </c>
    </row>
    <row r="10" spans="1:8" ht="16.5" thickBot="1" x14ac:dyDescent="0.3">
      <c r="A10" s="24" t="s">
        <v>113</v>
      </c>
      <c r="B10" s="21"/>
      <c r="C10" s="25">
        <f>C9+C8</f>
        <v>136514</v>
      </c>
      <c r="D10" s="25">
        <f>D9+D8</f>
        <v>140945</v>
      </c>
      <c r="G10" t="s">
        <v>122</v>
      </c>
    </row>
    <row r="11" spans="1:8" ht="16.5" thickBot="1" x14ac:dyDescent="0.3">
      <c r="A11" s="22" t="s">
        <v>114</v>
      </c>
      <c r="B11" s="21" t="s">
        <v>103</v>
      </c>
      <c r="C11" s="21">
        <v>6287</v>
      </c>
      <c r="D11" s="21">
        <v>6584</v>
      </c>
      <c r="G11" t="s">
        <v>123</v>
      </c>
    </row>
    <row r="12" spans="1:8" ht="16.5" thickBot="1" x14ac:dyDescent="0.3">
      <c r="A12" s="22" t="s">
        <v>115</v>
      </c>
      <c r="B12" s="26"/>
      <c r="C12" s="21">
        <f>C10/C11*8</f>
        <v>173.70955940830285</v>
      </c>
      <c r="D12" s="21">
        <f>D10/D11*8</f>
        <v>171.25759416767923</v>
      </c>
      <c r="G12" t="s">
        <v>124</v>
      </c>
    </row>
    <row r="13" spans="1:8" ht="16.5" thickBot="1" x14ac:dyDescent="0.3">
      <c r="A13" s="22" t="s">
        <v>116</v>
      </c>
      <c r="B13" s="26"/>
      <c r="C13" s="21">
        <f>C10/C5</f>
        <v>5.8376737224716697</v>
      </c>
      <c r="D13" s="21">
        <f>D10/D5</f>
        <v>5.5547016631197286</v>
      </c>
      <c r="G13" t="s">
        <v>126</v>
      </c>
    </row>
    <row r="14" spans="1:8" ht="16.5" thickBot="1" x14ac:dyDescent="0.3">
      <c r="A14" s="22" t="s">
        <v>117</v>
      </c>
      <c r="B14" s="26"/>
      <c r="C14" s="21">
        <f>C5/C10</f>
        <v>0.1713011119738635</v>
      </c>
      <c r="D14" s="21">
        <f>D5/D10</f>
        <v>0.18002767036787398</v>
      </c>
      <c r="G14" t="s">
        <v>127</v>
      </c>
    </row>
    <row r="15" spans="1:8" ht="16.5" thickBot="1" x14ac:dyDescent="0.3">
      <c r="A15" s="22" t="s">
        <v>118</v>
      </c>
      <c r="B15" s="26"/>
      <c r="C15" s="21">
        <f>C9/C10*100</f>
        <v>22.818172495128707</v>
      </c>
      <c r="D15" s="21">
        <f>D9/D10*100</f>
        <v>22.671254744758592</v>
      </c>
    </row>
  </sheetData>
  <mergeCells count="1">
    <mergeCell ref="B3:B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28575</xdr:colOff>
                <xdr:row>11</xdr:row>
                <xdr:rowOff>466725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4" r:id="rId5">
          <objectPr defaultSize="0" autoPict="0" r:id="rId6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180975</xdr:colOff>
                <xdr:row>13</xdr:row>
                <xdr:rowOff>0</xdr:rowOff>
              </to>
            </anchor>
          </objectPr>
        </oleObject>
      </mc:Choice>
      <mc:Fallback>
        <oleObject progId="Equation.3" shapeId="2054" r:id="rId5"/>
      </mc:Fallback>
    </mc:AlternateContent>
    <mc:AlternateContent xmlns:mc="http://schemas.openxmlformats.org/markup-compatibility/2006">
      <mc:Choice Requires="x14">
        <oleObject progId="Equation.3" shapeId="2053" r:id="rId7">
          <objectPr defaultSize="0" autoPict="0" r:id="rId8">
            <anchor moveWithCells="1" sizeWithCells="1">
              <from>
                <xdr:col>0</xdr:col>
                <xdr:colOff>2667000</xdr:colOff>
                <xdr:row>13</xdr:row>
                <xdr:rowOff>0</xdr:rowOff>
              </from>
              <to>
                <xdr:col>2</xdr:col>
                <xdr:colOff>85725</xdr:colOff>
                <xdr:row>14</xdr:row>
                <xdr:rowOff>0</xdr:rowOff>
              </to>
            </anchor>
          </objectPr>
        </oleObject>
      </mc:Choice>
      <mc:Fallback>
        <oleObject progId="Equation.3" shapeId="2053" r:id="rId7"/>
      </mc:Fallback>
    </mc:AlternateContent>
    <mc:AlternateContent xmlns:mc="http://schemas.openxmlformats.org/markup-compatibility/2006">
      <mc:Choice Requires="x14">
        <oleObject progId="Equation.3" shapeId="2049" r:id="rId9">
          <objectPr defaultSize="0" autoPict="0" r:id="rId10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514350</xdr:colOff>
                <xdr:row>14</xdr:row>
                <xdr:rowOff>561975</xdr:rowOff>
              </to>
            </anchor>
          </objectPr>
        </oleObject>
      </mc:Choice>
      <mc:Fallback>
        <oleObject progId="Equation.3" shapeId="2049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2021-05-31T04:07:32Z</dcterms:modified>
</cp:coreProperties>
</file>