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Учеба\пгс диплом\цех металлоконструкций\6 - Экономика\"/>
    </mc:Choice>
  </mc:AlternateContent>
  <bookViews>
    <workbookView xWindow="0" yWindow="0" windowWidth="23040" windowHeight="9384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E24" i="1"/>
  <c r="N27" i="1"/>
  <c r="G21" i="1"/>
  <c r="G20" i="1"/>
  <c r="E21" i="1"/>
  <c r="E20" i="1"/>
  <c r="C20" i="1"/>
  <c r="G23" i="1"/>
  <c r="G22" i="1"/>
  <c r="E23" i="1"/>
  <c r="E22" i="1"/>
  <c r="C22" i="1"/>
  <c r="I23" i="1" l="1"/>
  <c r="I22" i="1"/>
  <c r="W37" i="1" l="1"/>
  <c r="T59" i="1"/>
  <c r="U59" i="1"/>
  <c r="AB18" i="1" l="1"/>
  <c r="AB19" i="1"/>
  <c r="AB20" i="1"/>
  <c r="AB21" i="1"/>
  <c r="AB22" i="1"/>
  <c r="AB23" i="1"/>
  <c r="AB24" i="1"/>
  <c r="AB25" i="1"/>
  <c r="AB26" i="1"/>
  <c r="AB27" i="1"/>
  <c r="AB17" i="1"/>
  <c r="AA27" i="1"/>
  <c r="AA25" i="1"/>
  <c r="AA23" i="1"/>
  <c r="W30" i="1"/>
  <c r="W31" i="1"/>
  <c r="AB14" i="1"/>
  <c r="AB5" i="1"/>
  <c r="AB6" i="1"/>
  <c r="AB7" i="1"/>
  <c r="AB8" i="1"/>
  <c r="AB9" i="1"/>
  <c r="AB10" i="1"/>
  <c r="AB11" i="1"/>
  <c r="AB12" i="1"/>
  <c r="AB4" i="1"/>
  <c r="AA13" i="1"/>
  <c r="AA10" i="1"/>
  <c r="U49" i="1"/>
  <c r="T49" i="1"/>
  <c r="W36" i="1"/>
  <c r="W33" i="1"/>
  <c r="W32" i="1"/>
  <c r="W17" i="1"/>
  <c r="W25" i="1"/>
  <c r="W24" i="1"/>
  <c r="W23" i="1"/>
  <c r="W22" i="1"/>
  <c r="W20" i="1"/>
  <c r="W15" i="1"/>
  <c r="W14" i="1"/>
  <c r="W16" i="1"/>
  <c r="U51" i="1" l="1"/>
  <c r="T51" i="1"/>
  <c r="U58" i="1" l="1"/>
  <c r="U55" i="1"/>
  <c r="U53" i="1"/>
  <c r="U57" i="1"/>
  <c r="U54" i="1"/>
  <c r="T55" i="1"/>
  <c r="V51" i="1"/>
  <c r="T58" i="1"/>
  <c r="T57" i="1"/>
  <c r="T54" i="1"/>
  <c r="T53" i="1"/>
  <c r="N25" i="1"/>
  <c r="N23" i="1"/>
  <c r="N21" i="1"/>
  <c r="N29" i="1" s="1"/>
  <c r="M29" i="1"/>
  <c r="E25" i="1"/>
  <c r="G25" i="1"/>
  <c r="G24" i="1"/>
  <c r="C24" i="1"/>
  <c r="I21" i="1"/>
  <c r="I24" i="1" l="1"/>
  <c r="N22" i="1"/>
  <c r="I25" i="1"/>
  <c r="I20" i="1"/>
  <c r="K26" i="1"/>
  <c r="C16" i="1"/>
  <c r="C14" i="1"/>
  <c r="C15" i="1"/>
  <c r="C13" i="1"/>
  <c r="B12" i="1"/>
  <c r="B11" i="1"/>
  <c r="C10" i="1"/>
  <c r="B10" i="1"/>
  <c r="C9" i="1"/>
  <c r="C8" i="1"/>
  <c r="C7" i="1"/>
  <c r="C6" i="1"/>
  <c r="B6" i="1"/>
  <c r="C5" i="1"/>
  <c r="B5" i="1"/>
  <c r="C4" i="1"/>
  <c r="B4" i="1"/>
  <c r="B3" i="1"/>
  <c r="B2" i="1"/>
  <c r="N20" i="1" l="1"/>
  <c r="G26" i="1"/>
  <c r="C26" i="1"/>
  <c r="E26" i="1"/>
  <c r="K28" i="1"/>
  <c r="C28" i="1" l="1"/>
  <c r="E27" i="1"/>
  <c r="E29" i="1" s="1"/>
  <c r="E28" i="1"/>
  <c r="G27" i="1"/>
  <c r="G29" i="1" s="1"/>
  <c r="G28" i="1"/>
  <c r="I27" i="1" l="1"/>
  <c r="I29" i="1" s="1"/>
  <c r="I26" i="1"/>
  <c r="I28" i="1" s="1"/>
  <c r="M30" i="1" l="1"/>
  <c r="N26" i="1"/>
  <c r="N28" i="1" l="1"/>
  <c r="N30" i="1" s="1"/>
  <c r="W29" i="1" s="1"/>
  <c r="W28" i="1" l="1"/>
</calcChain>
</file>

<file path=xl/sharedStrings.xml><?xml version="1.0" encoding="utf-8"?>
<sst xmlns="http://schemas.openxmlformats.org/spreadsheetml/2006/main" count="181" uniqueCount="138">
  <si>
    <t>ведомость V работ</t>
  </si>
  <si>
    <t>срезка раст слоя гр</t>
  </si>
  <si>
    <t>планировка</t>
  </si>
  <si>
    <t>разработка гр экскаватором в отвал</t>
  </si>
  <si>
    <t>Vотв</t>
  </si>
  <si>
    <t>Разработка грунта экскаватором на вызов</t>
  </si>
  <si>
    <t>Доработка грунта в ручную</t>
  </si>
  <si>
    <t>Vвыв</t>
  </si>
  <si>
    <t>Устройство фундаментов сборных</t>
  </si>
  <si>
    <t>Подготовка стен под окраску</t>
  </si>
  <si>
    <t>Доработка грунта под отмостку и крыльца в ручную</t>
  </si>
  <si>
    <t>Устройство подсыпки из песка</t>
  </si>
  <si>
    <t>Уплотнение грунта щебнем</t>
  </si>
  <si>
    <t xml:space="preserve">Устройство асфальтового покрытия отмостки и </t>
  </si>
  <si>
    <t>Общестроительные работы</t>
  </si>
  <si>
    <t>-</t>
  </si>
  <si>
    <t>Электромонтажные работы (8%)</t>
  </si>
  <si>
    <t xml:space="preserve">Монтаж технологического оборудования </t>
  </si>
  <si>
    <t>Итого</t>
  </si>
  <si>
    <t>Наименование показателя</t>
  </si>
  <si>
    <t>Единица измерения</t>
  </si>
  <si>
    <t>Формула расчета</t>
  </si>
  <si>
    <t>Значение показателя</t>
  </si>
  <si>
    <t>1. Мощность</t>
  </si>
  <si>
    <t>2. Площадь</t>
  </si>
  <si>
    <t>га</t>
  </si>
  <si>
    <t>3. Площадь застройки</t>
  </si>
  <si>
    <r>
      <t>м</t>
    </r>
    <r>
      <rPr>
        <vertAlign val="superscript"/>
        <sz val="12"/>
        <color rgb="FF000000"/>
        <rFont val="Times New Roman"/>
        <family val="1"/>
        <charset val="204"/>
      </rPr>
      <t>2</t>
    </r>
  </si>
  <si>
    <t>4. Число этажей</t>
  </si>
  <si>
    <t>этаж</t>
  </si>
  <si>
    <t>5. Здание отапливаемое, неотапливаемое</t>
  </si>
  <si>
    <t>отапливаемое</t>
  </si>
  <si>
    <t>6. Конструктивный тип (кирпичный, панельный, каркасно-панельный, каркасно-блочный, мобильный (инвентарный) и др.)</t>
  </si>
  <si>
    <t>панельный</t>
  </si>
  <si>
    <t>7. Строительный объем, в т.ч. подземной части</t>
  </si>
  <si>
    <t>м³</t>
  </si>
  <si>
    <t>96*156*13,3</t>
  </si>
  <si>
    <t>8. Общая площадь</t>
  </si>
  <si>
    <t>м²</t>
  </si>
  <si>
    <t>96*156</t>
  </si>
  <si>
    <t xml:space="preserve">9. Стоимость, всего, </t>
  </si>
  <si>
    <t>в т.ч. СМР</t>
  </si>
  <si>
    <t>руб.</t>
  </si>
  <si>
    <t>Объектная смета</t>
  </si>
  <si>
    <t>10. Стоимость на 1 м³ строительного объема</t>
  </si>
  <si>
    <t>руб./м³</t>
  </si>
  <si>
    <t>11. Стоимость СМР на 1 м³ строительного объема</t>
  </si>
  <si>
    <t>12. Стоимость на 1 м² общей площади</t>
  </si>
  <si>
    <t>руб. / м²</t>
  </si>
  <si>
    <t>13. Стоимость СМР на 1 м² общей площади</t>
  </si>
  <si>
    <t>14. Стоимость по сводному сметному расчету стоимости строительства, всего</t>
  </si>
  <si>
    <t>ССР</t>
  </si>
  <si>
    <t xml:space="preserve">В т.ч. </t>
  </si>
  <si>
    <t>СМР</t>
  </si>
  <si>
    <t>Оборудование</t>
  </si>
  <si>
    <t>15. Стоимость по сводному сметному расчету на 1 м³ строительного объема</t>
  </si>
  <si>
    <t>16. Стоимость СМР по сводному сметному расчету на 1 м³ строительного объема</t>
  </si>
  <si>
    <t>17. Стоимость по сводному сметному расчету на 1 м² общей площади</t>
  </si>
  <si>
    <t>18. Стоимость СМР по сводному сметному расчету на 1 м² общей площади</t>
  </si>
  <si>
    <t>19. Трудоемкость по сводному сметному расчету стоимости строительства</t>
  </si>
  <si>
    <t>чел.-ч.</t>
  </si>
  <si>
    <t>20. Трудоемкость по объектной смете, всего</t>
  </si>
  <si>
    <t>21 .Выработка на 1 чел.-дн., по объектной смете, всего</t>
  </si>
  <si>
    <t xml:space="preserve">      в т.ч СМР</t>
  </si>
  <si>
    <t>руб/чел-день</t>
  </si>
  <si>
    <t>22. Выработка на 1 чел.-дн. по сводному сметному расчету стоимости строительства, всего</t>
  </si>
  <si>
    <t xml:space="preserve">      в т.ч. СМР</t>
  </si>
  <si>
    <t>23. Материалоемкость</t>
  </si>
  <si>
    <t>руб./руб.</t>
  </si>
  <si>
    <t>24. Материалоотдача</t>
  </si>
  <si>
    <t>25. Нормативная продолжительность строительства</t>
  </si>
  <si>
    <t>дней</t>
  </si>
  <si>
    <t>ТКП</t>
  </si>
  <si>
    <t>26. Фактическая продолжительность строительства</t>
  </si>
  <si>
    <t>Принимаем условно</t>
  </si>
  <si>
    <t>27. Экономический эффект от сокращения продолжительности строительства</t>
  </si>
  <si>
    <t>(0,5*563100,53*(262-255))/365</t>
  </si>
  <si>
    <t>28. Общий экономический эффект</t>
  </si>
  <si>
    <t>Расчетная</t>
  </si>
  <si>
    <t>формула,</t>
  </si>
  <si>
    <t>обоснование показателя</t>
  </si>
  <si>
    <t>Вариант 1</t>
  </si>
  <si>
    <t>Вариант 2</t>
  </si>
  <si>
    <t>Заработная плата рабочих, р.</t>
  </si>
  <si>
    <t>Локальная смета №2</t>
  </si>
  <si>
    <t>Затраты на эксплуатацию строительных машин и механизмов, р.</t>
  </si>
  <si>
    <t>в том числе заработная плата рабочих, р.</t>
  </si>
  <si>
    <t>Материалы, р.</t>
  </si>
  <si>
    <t>Транспортные затраты, р.</t>
  </si>
  <si>
    <t>Общехозяйственные и общепроизводственные расходы, р.</t>
  </si>
  <si>
    <t>(Зп+Зп.маш)*57,48/100</t>
  </si>
  <si>
    <t>Итого себестоимость СМР, р.</t>
  </si>
  <si>
    <t>Плановая прибыль</t>
  </si>
  <si>
    <t>(Зп+Зп.маш)*63,54/100</t>
  </si>
  <si>
    <t>Итого сметная стоимость СМР</t>
  </si>
  <si>
    <t>Трудоемкость, чел.-час.</t>
  </si>
  <si>
    <t>Выработка на 1 человеко-день, р.</t>
  </si>
  <si>
    <t xml:space="preserve">  </t>
  </si>
  <si>
    <t>Материалоотдача, р./р.</t>
  </si>
  <si>
    <t>Материалоемкость, р./р.</t>
  </si>
  <si>
    <t>Капитальные вложения в производственную базу, р.</t>
  </si>
  <si>
    <t>Фондоотдача, р./р.</t>
  </si>
  <si>
    <t>Фондоемкость, р./р.</t>
  </si>
  <si>
    <t>Сметный уровень рентабельности, %</t>
  </si>
  <si>
    <t>Наименование показателей</t>
  </si>
  <si>
    <t>Проектируемое здание</t>
  </si>
  <si>
    <t>В процентах к итогу</t>
  </si>
  <si>
    <t>Заработная плата рабочих, руб.</t>
  </si>
  <si>
    <t>Затраты на эксплуатацию строительных машин и механизмов, руб.</t>
  </si>
  <si>
    <t>в том числе заработная плата рабочих, руб.</t>
  </si>
  <si>
    <t>Материалы, руб.</t>
  </si>
  <si>
    <t>Транспортные затраты, руб.</t>
  </si>
  <si>
    <t>Общехозяйственные и общепроизводственные расходы, руб.</t>
  </si>
  <si>
    <t>Итого себестоимости СМР, руб.</t>
  </si>
  <si>
    <t>Плановая прибыль, руб.</t>
  </si>
  <si>
    <t>Прочие, руб.</t>
  </si>
  <si>
    <t>Итого сметная стоимость, руб.</t>
  </si>
  <si>
    <t>В том числе заработная плата рабочих, руб.</t>
  </si>
  <si>
    <t>Прочие затраты</t>
  </si>
  <si>
    <t>Итого сметная стоимость СМР, руб.</t>
  </si>
  <si>
    <r>
      <t>4877632,98</t>
    </r>
    <r>
      <rPr>
        <sz val="12"/>
        <color rgb="FF000000"/>
        <rFont val="Times New Roman"/>
        <family val="1"/>
        <charset val="204"/>
      </rPr>
      <t> / 199180,8</t>
    </r>
  </si>
  <si>
    <t>12006276-4061724-2571165</t>
  </si>
  <si>
    <t>12006276/199180,8</t>
  </si>
  <si>
    <t>5373387/199180,8</t>
  </si>
  <si>
    <t>12006276/14976</t>
  </si>
  <si>
    <t>4877632,98/14976</t>
  </si>
  <si>
    <t>3320260/14976</t>
  </si>
  <si>
    <t>3402575,05/199180,8</t>
  </si>
  <si>
    <t>3402575,05/14976</t>
  </si>
  <si>
    <r>
      <t>4877632,98</t>
    </r>
    <r>
      <rPr>
        <sz val="12"/>
        <color rgb="FF000000"/>
        <rFont val="Times New Roman"/>
        <family val="1"/>
        <charset val="204"/>
      </rPr>
      <t> /(211527,01/8)</t>
    </r>
  </si>
  <si>
    <t>3402575,05/(211527,01/8)</t>
  </si>
  <si>
    <r>
      <t>12006276/(513560</t>
    </r>
    <r>
      <rPr>
        <sz val="12"/>
        <color theme="1"/>
        <rFont val="Times New Roman"/>
        <family val="1"/>
        <charset val="204"/>
      </rPr>
      <t>/8)</t>
    </r>
  </si>
  <si>
    <t>5373387/(513560/8)</t>
  </si>
  <si>
    <t>1648798/12006276</t>
  </si>
  <si>
    <t>12006276/1648798</t>
  </si>
  <si>
    <t>5032,51+7703,14</t>
  </si>
  <si>
    <t>Санитарно-технические работы (10%)</t>
  </si>
  <si>
    <t>Слаботочные устройства, контрольно-измерительные приборы и автоматика (2%)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</si>
</sst>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_ ;\-#,##0.00\ "/>
  </numFmts>
  <fonts count="1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Dashed">
        <color rgb="FF000000"/>
      </right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2" fontId="0" fillId="0" borderId="0" xfId="0" applyNumberFormat="1" applyFont="1"/>
    <xf numFmtId="164" fontId="0" fillId="0" borderId="0" xfId="0" applyNumberFormat="1" applyFont="1"/>
    <xf numFmtId="0" fontId="1" fillId="0" borderId="0" xfId="0" applyFont="1" applyAlignment="1">
      <alignment vertical="center" wrapText="1"/>
    </xf>
    <xf numFmtId="0" fontId="5" fillId="2" borderId="4" xfId="0" applyFont="1" applyFill="1" applyBorder="1" applyAlignment="1">
      <alignment horizontal="center" vertical="center" wrapText="1"/>
    </xf>
    <xf numFmtId="165" fontId="0" fillId="0" borderId="0" xfId="0" applyNumberFormat="1"/>
    <xf numFmtId="0" fontId="6" fillId="2" borderId="0" xfId="0" applyFont="1" applyFill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27" xfId="0" applyFont="1" applyBorder="1" applyAlignment="1">
      <alignment horizontal="justify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2" fontId="10" fillId="0" borderId="0" xfId="0" applyNumberFormat="1" applyFont="1" applyAlignment="1">
      <alignment horizontal="center" vertical="center"/>
    </xf>
    <xf numFmtId="2" fontId="6" fillId="0" borderId="30" xfId="0" applyNumberFormat="1" applyFont="1" applyBorder="1" applyAlignment="1">
      <alignment horizontal="center" vertical="center" wrapText="1"/>
    </xf>
    <xf numFmtId="2" fontId="6" fillId="2" borderId="28" xfId="0" applyNumberFormat="1" applyFont="1" applyFill="1" applyBorder="1" applyAlignment="1">
      <alignment horizontal="center" vertical="center"/>
    </xf>
    <xf numFmtId="2" fontId="6" fillId="2" borderId="30" xfId="0" applyNumberFormat="1" applyFont="1" applyFill="1" applyBorder="1" applyAlignment="1">
      <alignment horizontal="center" vertical="center"/>
    </xf>
    <xf numFmtId="2" fontId="6" fillId="2" borderId="35" xfId="0" applyNumberFormat="1" applyFont="1" applyFill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2" fontId="1" fillId="2" borderId="28" xfId="0" applyNumberFormat="1" applyFont="1" applyFill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6" fillId="0" borderId="30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2" fontId="4" fillId="0" borderId="0" xfId="0" applyNumberFormat="1" applyFont="1"/>
    <xf numFmtId="2" fontId="4" fillId="0" borderId="51" xfId="0" applyNumberFormat="1" applyFont="1" applyBorder="1" applyAlignment="1">
      <alignment horizontal="right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2" fontId="11" fillId="0" borderId="0" xfId="0" applyNumberFormat="1" applyFont="1"/>
    <xf numFmtId="2" fontId="2" fillId="0" borderId="5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0" fontId="12" fillId="2" borderId="18" xfId="0" applyFont="1" applyFill="1" applyBorder="1" applyAlignment="1">
      <alignment horizontal="center" vertical="center" wrapText="1"/>
    </xf>
    <xf numFmtId="165" fontId="12" fillId="2" borderId="18" xfId="0" applyNumberFormat="1" applyFont="1" applyFill="1" applyBorder="1" applyAlignment="1">
      <alignment horizontal="center" vertical="center" wrapText="1"/>
    </xf>
    <xf numFmtId="165" fontId="6" fillId="2" borderId="2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1" fillId="0" borderId="9" xfId="0" applyNumberFormat="1" applyFont="1" applyBorder="1"/>
    <xf numFmtId="165" fontId="1" fillId="0" borderId="6" xfId="0" applyNumberFormat="1" applyFont="1" applyBorder="1"/>
    <xf numFmtId="165" fontId="1" fillId="0" borderId="5" xfId="0" applyNumberFormat="1" applyFont="1" applyBorder="1"/>
    <xf numFmtId="165" fontId="6" fillId="2" borderId="10" xfId="0" applyNumberFormat="1" applyFont="1" applyFill="1" applyBorder="1" applyAlignment="1">
      <alignment horizontal="center" vertical="center"/>
    </xf>
    <xf numFmtId="165" fontId="6" fillId="2" borderId="11" xfId="0" applyNumberFormat="1" applyFont="1" applyFill="1" applyBorder="1" applyAlignment="1">
      <alignment horizontal="center" vertical="center"/>
    </xf>
    <xf numFmtId="165" fontId="1" fillId="2" borderId="7" xfId="0" applyNumberFormat="1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/>
    </xf>
    <xf numFmtId="165" fontId="1" fillId="2" borderId="8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6" fillId="2" borderId="7" xfId="0" applyNumberFormat="1" applyFont="1" applyFill="1" applyBorder="1" applyAlignment="1">
      <alignment horizontal="center" vertical="center"/>
    </xf>
    <xf numFmtId="165" fontId="6" fillId="2" borderId="4" xfId="0" applyNumberFormat="1" applyFont="1" applyFill="1" applyBorder="1" applyAlignment="1">
      <alignment horizontal="center" vertical="center"/>
    </xf>
    <xf numFmtId="165" fontId="6" fillId="2" borderId="8" xfId="0" applyNumberFormat="1" applyFont="1" applyFill="1" applyBorder="1" applyAlignment="1">
      <alignment horizontal="center" vertical="center"/>
    </xf>
    <xf numFmtId="165" fontId="6" fillId="2" borderId="3" xfId="0" applyNumberFormat="1" applyFont="1" applyFill="1" applyBorder="1" applyAlignment="1">
      <alignment horizontal="center" vertical="center"/>
    </xf>
    <xf numFmtId="165" fontId="6" fillId="2" borderId="9" xfId="0" applyNumberFormat="1" applyFont="1" applyFill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/>
    </xf>
    <xf numFmtId="165" fontId="1" fillId="2" borderId="12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1" fillId="2" borderId="10" xfId="0" applyNumberFormat="1" applyFont="1" applyFill="1" applyBorder="1" applyAlignment="1">
      <alignment horizontal="center" vertical="center"/>
    </xf>
    <xf numFmtId="165" fontId="1" fillId="2" borderId="11" xfId="0" applyNumberFormat="1" applyFont="1" applyFill="1" applyBorder="1" applyAlignment="1">
      <alignment horizontal="center" vertical="center"/>
    </xf>
    <xf numFmtId="165" fontId="1" fillId="2" borderId="13" xfId="0" applyNumberFormat="1" applyFont="1" applyFill="1" applyBorder="1" applyAlignment="1">
      <alignment horizontal="center" vertical="center"/>
    </xf>
    <xf numFmtId="165" fontId="1" fillId="2" borderId="14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vertical="center" wrapText="1"/>
    </xf>
    <xf numFmtId="0" fontId="6" fillId="2" borderId="39" xfId="0" applyFont="1" applyFill="1" applyBorder="1" applyAlignment="1">
      <alignment vertical="center" wrapText="1"/>
    </xf>
    <xf numFmtId="0" fontId="6" fillId="2" borderId="40" xfId="0" applyFont="1" applyFill="1" applyBorder="1" applyAlignment="1">
      <alignment vertical="center" wrapText="1"/>
    </xf>
    <xf numFmtId="0" fontId="6" fillId="2" borderId="13" xfId="0" applyFont="1" applyFill="1" applyBorder="1" applyAlignment="1">
      <alignment vertical="center" wrapText="1"/>
    </xf>
    <xf numFmtId="0" fontId="6" fillId="2" borderId="41" xfId="0" applyFont="1" applyFill="1" applyBorder="1" applyAlignment="1">
      <alignment vertical="center" wrapText="1"/>
    </xf>
    <xf numFmtId="0" fontId="6" fillId="2" borderId="14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 wrapText="1"/>
    </xf>
    <xf numFmtId="0" fontId="6" fillId="2" borderId="29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46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28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26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165" fontId="12" fillId="2" borderId="19" xfId="0" applyNumberFormat="1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165" fontId="12" fillId="2" borderId="23" xfId="0" applyNumberFormat="1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/>
    </xf>
    <xf numFmtId="165" fontId="1" fillId="2" borderId="15" xfId="0" applyNumberFormat="1" applyFont="1" applyFill="1" applyBorder="1" applyAlignment="1">
      <alignment horizontal="center" vertical="center"/>
    </xf>
    <xf numFmtId="165" fontId="1" fillId="2" borderId="16" xfId="0" applyNumberFormat="1" applyFont="1" applyFill="1" applyBorder="1" applyAlignment="1">
      <alignment horizontal="center" vertical="center"/>
    </xf>
    <xf numFmtId="165" fontId="1" fillId="2" borderId="17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vertical="center"/>
    </xf>
    <xf numFmtId="0" fontId="6" fillId="2" borderId="26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31" xfId="0" applyFont="1" applyFill="1" applyBorder="1" applyAlignment="1">
      <alignment vertical="center" wrapText="1"/>
    </xf>
    <xf numFmtId="0" fontId="6" fillId="2" borderId="36" xfId="0" applyFont="1" applyFill="1" applyBorder="1" applyAlignment="1">
      <alignment vertical="center" wrapText="1"/>
    </xf>
    <xf numFmtId="0" fontId="6" fillId="2" borderId="37" xfId="0" applyFont="1" applyFill="1" applyBorder="1" applyAlignment="1">
      <alignment vertical="center" wrapText="1"/>
    </xf>
    <xf numFmtId="0" fontId="6" fillId="2" borderId="47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2" fontId="1" fillId="2" borderId="49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vertical="center" wrapText="1"/>
    </xf>
    <xf numFmtId="0" fontId="6" fillId="2" borderId="35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vertical="center" wrapText="1"/>
    </xf>
    <xf numFmtId="0" fontId="6" fillId="2" borderId="43" xfId="0" applyFont="1" applyFill="1" applyBorder="1" applyAlignment="1">
      <alignment vertical="center" wrapText="1"/>
    </xf>
    <xf numFmtId="0" fontId="6" fillId="2" borderId="44" xfId="0" applyFont="1" applyFill="1" applyBorder="1" applyAlignment="1">
      <alignment vertical="center" wrapText="1"/>
    </xf>
    <xf numFmtId="0" fontId="6" fillId="2" borderId="45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2" fontId="1" fillId="0" borderId="32" xfId="0" applyNumberFormat="1" applyFont="1" applyBorder="1" applyAlignment="1">
      <alignment horizontal="center" vertical="center" wrapText="1"/>
    </xf>
    <xf numFmtId="2" fontId="1" fillId="0" borderId="27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41" xfId="0" applyFont="1" applyBorder="1" applyAlignment="1">
      <alignment vertical="center" wrapText="1"/>
    </xf>
    <xf numFmtId="0" fontId="6" fillId="0" borderId="46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28" xfId="0" applyFont="1" applyBorder="1" applyAlignment="1">
      <alignment vertical="center" wrapText="1"/>
    </xf>
    <xf numFmtId="0" fontId="6" fillId="0" borderId="15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tabSelected="1" topLeftCell="A19" zoomScale="70" zoomScaleNormal="70" workbookViewId="0">
      <selection activeCell="N28" sqref="N28:P29"/>
    </sheetView>
  </sheetViews>
  <sheetFormatPr defaultRowHeight="14.4" x14ac:dyDescent="0.3"/>
  <cols>
    <col min="1" max="1" width="39.5546875" customWidth="1"/>
    <col min="2" max="2" width="15" customWidth="1"/>
    <col min="13" max="13" width="15.6640625" customWidth="1"/>
    <col min="14" max="14" width="15.77734375" customWidth="1"/>
    <col min="17" max="17" width="7.109375" customWidth="1"/>
    <col min="18" max="18" width="20" customWidth="1"/>
    <col min="19" max="19" width="28.6640625" customWidth="1"/>
    <col min="20" max="20" width="24.44140625" customWidth="1"/>
    <col min="21" max="21" width="25" customWidth="1"/>
    <col min="22" max="22" width="34.6640625" customWidth="1"/>
    <col min="23" max="23" width="30" customWidth="1"/>
    <col min="26" max="26" width="43" customWidth="1"/>
    <col min="27" max="27" width="27.109375" customWidth="1"/>
    <col min="28" max="28" width="24" customWidth="1"/>
  </cols>
  <sheetData>
    <row r="1" spans="1:28" ht="15" thickBot="1" x14ac:dyDescent="0.35">
      <c r="A1" s="5" t="s">
        <v>0</v>
      </c>
      <c r="B1" s="5"/>
      <c r="C1" s="6"/>
      <c r="Z1">
        <v>7.2</v>
      </c>
    </row>
    <row r="2" spans="1:28" ht="63.75" customHeight="1" thickBot="1" x14ac:dyDescent="0.35">
      <c r="A2" s="5" t="s">
        <v>1</v>
      </c>
      <c r="B2" s="6">
        <f>(96+20)*(156+20)*0.2/1000*1.22</f>
        <v>4.981504000000001</v>
      </c>
      <c r="C2" s="7"/>
      <c r="R2" s="131" t="s">
        <v>19</v>
      </c>
      <c r="S2" s="132"/>
      <c r="T2" s="133"/>
      <c r="U2" s="12" t="s">
        <v>20</v>
      </c>
      <c r="V2" s="13" t="s">
        <v>21</v>
      </c>
      <c r="W2" s="12" t="s">
        <v>22</v>
      </c>
      <c r="Z2" s="46"/>
      <c r="AA2" s="152" t="s">
        <v>105</v>
      </c>
      <c r="AB2" s="153"/>
    </row>
    <row r="3" spans="1:28" ht="16.2" thickBot="1" x14ac:dyDescent="0.35">
      <c r="A3" s="5" t="s">
        <v>2</v>
      </c>
      <c r="B3" s="6">
        <f>96*156/1000</f>
        <v>14.976000000000001</v>
      </c>
      <c r="C3" s="7"/>
      <c r="R3" s="131">
        <v>1</v>
      </c>
      <c r="S3" s="132"/>
      <c r="T3" s="133"/>
      <c r="U3" s="15">
        <v>2</v>
      </c>
      <c r="V3" s="12"/>
      <c r="W3" s="15">
        <v>3</v>
      </c>
      <c r="Z3" s="42" t="s">
        <v>104</v>
      </c>
      <c r="AA3" s="49" t="s">
        <v>42</v>
      </c>
      <c r="AB3" s="49" t="s">
        <v>106</v>
      </c>
    </row>
    <row r="4" spans="1:28" ht="79.5" customHeight="1" thickBot="1" x14ac:dyDescent="0.35">
      <c r="A4" s="5" t="s">
        <v>3</v>
      </c>
      <c r="B4" s="6">
        <f>1.65/6*(3.3*156+4.95*159+(3.3+4.95)*(156+159))</f>
        <v>1072.6649999999997</v>
      </c>
      <c r="C4" s="6">
        <f>B4*5/1000</f>
        <v>5.3633249999999988</v>
      </c>
      <c r="R4" s="134" t="s">
        <v>23</v>
      </c>
      <c r="S4" s="135"/>
      <c r="T4" s="136"/>
      <c r="U4" s="15"/>
      <c r="V4" s="16"/>
      <c r="W4" s="15"/>
      <c r="Z4" s="55" t="s">
        <v>107</v>
      </c>
      <c r="AA4" s="70">
        <v>614094.78</v>
      </c>
      <c r="AB4" s="68">
        <f>AA4*100/$AA$13</f>
        <v>24.979145734183582</v>
      </c>
    </row>
    <row r="5" spans="1:28" ht="31.8" thickBot="1" x14ac:dyDescent="0.35">
      <c r="A5" s="5"/>
      <c r="B5" s="6">
        <f>1.65/6*(3.3*2.7+4.95*4.35+(3.3+4.95)*(2.7+4.35))</f>
        <v>24.366374999999998</v>
      </c>
      <c r="C5" s="6">
        <f>B5*70/1000</f>
        <v>1.7056462499999998</v>
      </c>
      <c r="R5" s="134" t="s">
        <v>24</v>
      </c>
      <c r="S5" s="135"/>
      <c r="T5" s="136"/>
      <c r="U5" s="14" t="s">
        <v>25</v>
      </c>
      <c r="V5" s="17"/>
      <c r="W5" s="18">
        <v>1.44</v>
      </c>
      <c r="Z5" s="56" t="s">
        <v>108</v>
      </c>
      <c r="AA5" s="71">
        <v>127725.27</v>
      </c>
      <c r="AB5" s="68">
        <f t="shared" ref="AB5:AB12" si="0">AA5*100/$AA$13</f>
        <v>5.1954001844274691</v>
      </c>
    </row>
    <row r="6" spans="1:28" ht="19.2" thickBot="1" x14ac:dyDescent="0.35">
      <c r="A6" s="5"/>
      <c r="B6" s="6">
        <f>1.65/6*(2.7^2+4.35^2+(2.7*2)*(4.35*2))</f>
        <v>20.127937499999998</v>
      </c>
      <c r="C6" s="6">
        <f>B6*89/1000</f>
        <v>1.7913864374999999</v>
      </c>
      <c r="R6" s="134" t="s">
        <v>26</v>
      </c>
      <c r="S6" s="135"/>
      <c r="T6" s="136"/>
      <c r="U6" s="14" t="s">
        <v>27</v>
      </c>
      <c r="V6" s="19"/>
      <c r="W6" s="20">
        <v>14400</v>
      </c>
      <c r="Z6" s="55" t="s">
        <v>109</v>
      </c>
      <c r="AA6" s="68"/>
      <c r="AB6" s="68">
        <f t="shared" si="0"/>
        <v>0</v>
      </c>
    </row>
    <row r="7" spans="1:28" ht="48" customHeight="1" thickBot="1" x14ac:dyDescent="0.35">
      <c r="A7" s="5"/>
      <c r="B7" s="6" t="s">
        <v>4</v>
      </c>
      <c r="C7" s="6">
        <f>C4-C5-C6</f>
        <v>1.8662923124999988</v>
      </c>
      <c r="R7" s="134" t="s">
        <v>28</v>
      </c>
      <c r="S7" s="135"/>
      <c r="T7" s="136"/>
      <c r="U7" s="14" t="s">
        <v>29</v>
      </c>
      <c r="V7" s="17"/>
      <c r="W7" s="18">
        <v>1</v>
      </c>
      <c r="Z7" s="55" t="s">
        <v>110</v>
      </c>
      <c r="AA7" s="70">
        <v>618476.36</v>
      </c>
      <c r="AB7" s="68">
        <f t="shared" si="0"/>
        <v>25.157372498081468</v>
      </c>
    </row>
    <row r="8" spans="1:28" ht="31.5" customHeight="1" thickBot="1" x14ac:dyDescent="0.35">
      <c r="A8" s="5"/>
      <c r="B8" s="6"/>
      <c r="C8" s="6">
        <f>C7*1.12</f>
        <v>2.0902473899999987</v>
      </c>
      <c r="R8" s="137" t="s">
        <v>30</v>
      </c>
      <c r="S8" s="138"/>
      <c r="T8" s="139"/>
      <c r="U8" s="11"/>
      <c r="V8" s="21"/>
      <c r="W8" s="22" t="s">
        <v>31</v>
      </c>
      <c r="Z8" s="55" t="s">
        <v>111</v>
      </c>
      <c r="AA8" s="70">
        <v>80207.679999999993</v>
      </c>
      <c r="AB8" s="68">
        <f t="shared" si="0"/>
        <v>3.2625571702803948</v>
      </c>
    </row>
    <row r="9" spans="1:28" ht="94.5" customHeight="1" thickBot="1" x14ac:dyDescent="0.35">
      <c r="A9" s="4" t="s">
        <v>5</v>
      </c>
      <c r="B9" s="6" t="s">
        <v>7</v>
      </c>
      <c r="C9" s="6">
        <f>C4-C7</f>
        <v>3.4970326875</v>
      </c>
      <c r="R9" s="104" t="s">
        <v>32</v>
      </c>
      <c r="S9" s="105"/>
      <c r="T9" s="106"/>
      <c r="U9" s="23"/>
      <c r="V9" s="24"/>
      <c r="W9" s="22" t="s">
        <v>33</v>
      </c>
      <c r="Z9" s="55" t="s">
        <v>112</v>
      </c>
      <c r="AA9" s="70">
        <v>377819.32</v>
      </c>
      <c r="AB9" s="68">
        <f t="shared" si="0"/>
        <v>15.368317990701927</v>
      </c>
    </row>
    <row r="10" spans="1:28" ht="32.25" customHeight="1" thickBot="1" x14ac:dyDescent="0.35">
      <c r="A10" s="4" t="s">
        <v>6</v>
      </c>
      <c r="B10" s="6">
        <f>(2.3*1.7*0.1*70+1.7*1.7*0.1*89)/100</f>
        <v>0.53090999999999999</v>
      </c>
      <c r="C10" s="6">
        <f>B10*1.12</f>
        <v>0.59461920000000001</v>
      </c>
      <c r="R10" s="104" t="s">
        <v>34</v>
      </c>
      <c r="S10" s="105"/>
      <c r="T10" s="106"/>
      <c r="U10" s="25" t="s">
        <v>35</v>
      </c>
      <c r="V10" s="24" t="s">
        <v>36</v>
      </c>
      <c r="W10" s="22">
        <v>199180.79999999999</v>
      </c>
      <c r="Z10" s="57" t="s">
        <v>113</v>
      </c>
      <c r="AA10" s="72">
        <f>SUM(AA4:AA9)</f>
        <v>1818323.4100000001</v>
      </c>
      <c r="AB10" s="68">
        <f t="shared" si="0"/>
        <v>73.962793577674844</v>
      </c>
    </row>
    <row r="11" spans="1:28" ht="16.2" thickBot="1" x14ac:dyDescent="0.35">
      <c r="A11" s="4" t="s">
        <v>8</v>
      </c>
      <c r="B11" s="6">
        <f>(2.1*1.5*0.65*70+1.5*1.5*0.65*89)/100</f>
        <v>2.7348750000000006</v>
      </c>
      <c r="C11" s="6"/>
      <c r="R11" s="104" t="s">
        <v>37</v>
      </c>
      <c r="S11" s="105"/>
      <c r="T11" s="106"/>
      <c r="U11" s="26" t="s">
        <v>38</v>
      </c>
      <c r="V11" s="13" t="s">
        <v>39</v>
      </c>
      <c r="W11" s="22">
        <v>14976</v>
      </c>
      <c r="Z11" s="55" t="s">
        <v>114</v>
      </c>
      <c r="AA11" s="70">
        <v>416826.7</v>
      </c>
      <c r="AB11" s="68">
        <f t="shared" si="0"/>
        <v>16.954996564534905</v>
      </c>
    </row>
    <row r="12" spans="1:28" ht="48" customHeight="1" thickBot="1" x14ac:dyDescent="0.35">
      <c r="A12" s="4" t="s">
        <v>9</v>
      </c>
      <c r="B12" s="6">
        <f>(96+156)*2*9.6/100-8.78-1.04-26.66-6.58</f>
        <v>5.3239999999999927</v>
      </c>
      <c r="C12" s="6"/>
      <c r="R12" s="107" t="s">
        <v>40</v>
      </c>
      <c r="S12" s="108"/>
      <c r="T12" s="109"/>
      <c r="U12" s="146" t="s">
        <v>42</v>
      </c>
      <c r="V12" s="27" t="s">
        <v>43</v>
      </c>
      <c r="W12" s="58">
        <v>4877632.9800000004</v>
      </c>
      <c r="Z12" s="55" t="s">
        <v>115</v>
      </c>
      <c r="AA12" s="73">
        <v>223279.76</v>
      </c>
      <c r="AB12" s="68">
        <f t="shared" si="0"/>
        <v>9.0822098577902484</v>
      </c>
    </row>
    <row r="13" spans="1:28" ht="34.5" customHeight="1" thickBot="1" x14ac:dyDescent="0.35">
      <c r="A13" s="4" t="s">
        <v>10</v>
      </c>
      <c r="B13" s="6"/>
      <c r="C13" s="6">
        <f>(97+157)*2*0.05/100+(3*4*8*0.05)/100</f>
        <v>0.30199999999999999</v>
      </c>
      <c r="R13" s="110" t="s">
        <v>41</v>
      </c>
      <c r="S13" s="111"/>
      <c r="T13" s="112"/>
      <c r="U13" s="147"/>
      <c r="V13" s="28" t="s">
        <v>43</v>
      </c>
      <c r="W13" s="59">
        <v>3402575.05</v>
      </c>
      <c r="Z13" s="57" t="s">
        <v>116</v>
      </c>
      <c r="AA13" s="72">
        <f>AA12+AA11+AA10</f>
        <v>2458429.87</v>
      </c>
      <c r="AB13" s="72">
        <v>100</v>
      </c>
    </row>
    <row r="14" spans="1:28" ht="29.25" customHeight="1" thickBot="1" x14ac:dyDescent="0.35">
      <c r="A14" s="3" t="s">
        <v>11</v>
      </c>
      <c r="B14" s="1"/>
      <c r="C14" s="1">
        <f>(97+157)*2*0.1+(3*4*8*0.1)</f>
        <v>60.400000000000006</v>
      </c>
      <c r="R14" s="148" t="s">
        <v>44</v>
      </c>
      <c r="S14" s="149"/>
      <c r="T14" s="150"/>
      <c r="U14" s="14" t="s">
        <v>45</v>
      </c>
      <c r="V14" s="19" t="s">
        <v>120</v>
      </c>
      <c r="W14" s="60">
        <f>W12/W10</f>
        <v>24.488469671775597</v>
      </c>
      <c r="Z14">
        <v>7.3</v>
      </c>
      <c r="AA14" s="1"/>
      <c r="AB14" s="1">
        <f>AB10+AB11+AB12</f>
        <v>100</v>
      </c>
    </row>
    <row r="15" spans="1:28" ht="48" customHeight="1" thickBot="1" x14ac:dyDescent="0.35">
      <c r="A15" s="3" t="s">
        <v>12</v>
      </c>
      <c r="B15" s="1"/>
      <c r="C15" s="1">
        <f>(97+157)*2*0.05+(3*4*8*0.05)</f>
        <v>30.200000000000003</v>
      </c>
      <c r="R15" s="137" t="s">
        <v>46</v>
      </c>
      <c r="S15" s="138"/>
      <c r="T15" s="139"/>
      <c r="U15" s="30" t="s">
        <v>45</v>
      </c>
      <c r="V15" s="31" t="s">
        <v>127</v>
      </c>
      <c r="W15" s="61">
        <f>W13/W10</f>
        <v>17.082846589631128</v>
      </c>
      <c r="Z15" s="46"/>
      <c r="AA15" s="154" t="s">
        <v>105</v>
      </c>
      <c r="AB15" s="155"/>
    </row>
    <row r="16" spans="1:28" ht="48" customHeight="1" thickBot="1" x14ac:dyDescent="0.35">
      <c r="A16" s="3" t="s">
        <v>13</v>
      </c>
      <c r="B16" s="1"/>
      <c r="C16" s="1">
        <f>(97+157)*2/1000+(3*4*8)/1000</f>
        <v>0.60399999999999998</v>
      </c>
      <c r="R16" s="104" t="s">
        <v>47</v>
      </c>
      <c r="S16" s="105"/>
      <c r="T16" s="151"/>
      <c r="U16" s="30" t="s">
        <v>48</v>
      </c>
      <c r="V16" s="13" t="s">
        <v>125</v>
      </c>
      <c r="W16" s="61">
        <f>W12/W11</f>
        <v>325.69664663461543</v>
      </c>
      <c r="Z16" s="42" t="s">
        <v>104</v>
      </c>
      <c r="AA16" s="68" t="s">
        <v>42</v>
      </c>
      <c r="AB16" s="68" t="s">
        <v>106</v>
      </c>
    </row>
    <row r="17" spans="2:28" ht="48" customHeight="1" thickBot="1" x14ac:dyDescent="0.35">
      <c r="B17" s="1"/>
      <c r="C17" s="2"/>
      <c r="R17" s="104" t="s">
        <v>49</v>
      </c>
      <c r="S17" s="105"/>
      <c r="T17" s="151"/>
      <c r="U17" s="30" t="s">
        <v>48</v>
      </c>
      <c r="V17" s="13" t="s">
        <v>128</v>
      </c>
      <c r="W17" s="61">
        <f>W13/W11</f>
        <v>227.20185964209401</v>
      </c>
      <c r="Z17" s="55" t="s">
        <v>107</v>
      </c>
      <c r="AA17" s="75">
        <v>851185</v>
      </c>
      <c r="AB17" s="68">
        <f>AA17*100/$AA$27</f>
        <v>25.367194827804855</v>
      </c>
    </row>
    <row r="18" spans="2:28" ht="46.5" customHeight="1" thickBot="1" x14ac:dyDescent="0.35">
      <c r="B18" s="89" t="s">
        <v>14</v>
      </c>
      <c r="C18" s="91">
        <v>394835.68</v>
      </c>
      <c r="D18" s="92"/>
      <c r="E18" s="95">
        <v>92697.85</v>
      </c>
      <c r="F18" s="96"/>
      <c r="G18" s="95">
        <v>1400730.53</v>
      </c>
      <c r="H18" s="96"/>
      <c r="I18" s="95">
        <v>242190.74</v>
      </c>
      <c r="J18" s="96"/>
      <c r="K18" s="85" t="s">
        <v>15</v>
      </c>
      <c r="L18" s="86"/>
      <c r="M18" s="78"/>
      <c r="N18" s="80">
        <v>1979831.3</v>
      </c>
      <c r="O18" s="81"/>
      <c r="P18" s="82"/>
      <c r="Q18" s="8"/>
      <c r="R18" s="107" t="s">
        <v>50</v>
      </c>
      <c r="S18" s="108"/>
      <c r="T18" s="113"/>
      <c r="U18" s="140" t="s">
        <v>42</v>
      </c>
      <c r="V18" s="24"/>
      <c r="W18" s="142">
        <v>12006276</v>
      </c>
      <c r="Z18" s="56" t="s">
        <v>108</v>
      </c>
      <c r="AA18" s="75">
        <v>238518</v>
      </c>
      <c r="AB18" s="68">
        <f t="shared" ref="AB18:AB27" si="1">AA18*100/$AA$27</f>
        <v>7.1083637234424462</v>
      </c>
    </row>
    <row r="19" spans="2:28" ht="31.8" thickBot="1" x14ac:dyDescent="0.35">
      <c r="B19" s="90"/>
      <c r="C19" s="93"/>
      <c r="D19" s="94"/>
      <c r="E19" s="83">
        <v>37946.720000000001</v>
      </c>
      <c r="F19" s="84"/>
      <c r="G19" s="83">
        <v>96893.37</v>
      </c>
      <c r="H19" s="84"/>
      <c r="I19" s="83">
        <v>272470.98</v>
      </c>
      <c r="J19" s="84"/>
      <c r="K19" s="87"/>
      <c r="L19" s="88"/>
      <c r="M19" s="79"/>
      <c r="N19" s="80">
        <v>54764.51</v>
      </c>
      <c r="O19" s="81"/>
      <c r="P19" s="82"/>
      <c r="Q19" s="8"/>
      <c r="R19" s="114"/>
      <c r="S19" s="115"/>
      <c r="T19" s="116"/>
      <c r="U19" s="141"/>
      <c r="V19" s="21" t="s">
        <v>51</v>
      </c>
      <c r="W19" s="143"/>
      <c r="Z19" s="55" t="s">
        <v>117</v>
      </c>
      <c r="AA19" s="68"/>
      <c r="AB19" s="68">
        <f t="shared" si="1"/>
        <v>0</v>
      </c>
    </row>
    <row r="20" spans="2:28" ht="33" customHeight="1" thickBot="1" x14ac:dyDescent="0.35">
      <c r="B20" s="103" t="s">
        <v>136</v>
      </c>
      <c r="C20" s="101">
        <f>0.1*C18</f>
        <v>39483.567999999999</v>
      </c>
      <c r="D20" s="102"/>
      <c r="E20" s="99">
        <f>0.1*E18</f>
        <v>9269.7850000000017</v>
      </c>
      <c r="F20" s="100"/>
      <c r="G20" s="99">
        <f>0.1*G18</f>
        <v>140073.05300000001</v>
      </c>
      <c r="H20" s="100"/>
      <c r="I20" s="99">
        <f>(E21+C20)*0.7082</f>
        <v>30649.649568000001</v>
      </c>
      <c r="J20" s="100"/>
      <c r="K20" s="101" t="s">
        <v>15</v>
      </c>
      <c r="L20" s="102"/>
      <c r="M20" s="97"/>
      <c r="N20" s="80">
        <f>SUM(C20,E20,G21,G20,I20,I21,M20)</f>
        <v>258075.256888</v>
      </c>
      <c r="O20" s="81"/>
      <c r="P20" s="82"/>
      <c r="Q20" s="8"/>
      <c r="R20" s="29" t="s">
        <v>52</v>
      </c>
      <c r="S20" s="32" t="s">
        <v>53</v>
      </c>
      <c r="T20" s="33"/>
      <c r="U20" s="34" t="s">
        <v>42</v>
      </c>
      <c r="V20" s="12" t="s">
        <v>121</v>
      </c>
      <c r="W20" s="62">
        <f>12006276-4061724-2571165</f>
        <v>5373387</v>
      </c>
      <c r="Z20" s="55" t="s">
        <v>110</v>
      </c>
      <c r="AA20" s="74">
        <v>901089</v>
      </c>
      <c r="AB20" s="68">
        <f t="shared" si="1"/>
        <v>26.854444357210063</v>
      </c>
    </row>
    <row r="21" spans="2:28" ht="28.5" customHeight="1" thickBot="1" x14ac:dyDescent="0.35">
      <c r="B21" s="90"/>
      <c r="C21" s="87"/>
      <c r="D21" s="88"/>
      <c r="E21" s="99">
        <f>0.1*E19</f>
        <v>3794.6720000000005</v>
      </c>
      <c r="F21" s="100"/>
      <c r="G21" s="99">
        <f>0.1*G19</f>
        <v>9689.3369999999995</v>
      </c>
      <c r="H21" s="100"/>
      <c r="I21" s="99">
        <f>(E21+C20)*0.668</f>
        <v>28909.864320000001</v>
      </c>
      <c r="J21" s="100"/>
      <c r="K21" s="87"/>
      <c r="L21" s="88"/>
      <c r="M21" s="98"/>
      <c r="N21" s="80">
        <f>N19*0.16</f>
        <v>8762.3216000000011</v>
      </c>
      <c r="O21" s="81"/>
      <c r="P21" s="82"/>
      <c r="Q21" s="8"/>
      <c r="R21" s="29"/>
      <c r="S21" s="144" t="s">
        <v>54</v>
      </c>
      <c r="T21" s="145"/>
      <c r="U21" s="35" t="s">
        <v>42</v>
      </c>
      <c r="V21" s="16"/>
      <c r="W21" s="10">
        <v>2571165</v>
      </c>
      <c r="Z21" s="55" t="s">
        <v>111</v>
      </c>
      <c r="AA21" s="74">
        <v>69738.759999999995</v>
      </c>
      <c r="AB21" s="68">
        <f t="shared" si="1"/>
        <v>2.078369228745248</v>
      </c>
    </row>
    <row r="22" spans="2:28" ht="88.5" customHeight="1" thickBot="1" x14ac:dyDescent="0.35">
      <c r="B22" s="103" t="s">
        <v>137</v>
      </c>
      <c r="C22" s="101">
        <f>C18*0.02</f>
        <v>7896.7136</v>
      </c>
      <c r="D22" s="102"/>
      <c r="E22" s="99">
        <f>E18*0.02</f>
        <v>1853.9570000000001</v>
      </c>
      <c r="F22" s="100"/>
      <c r="G22" s="99">
        <f>G18*0.02</f>
        <v>28014.6106</v>
      </c>
      <c r="H22" s="100"/>
      <c r="I22" s="99">
        <f>(E23+C22)*0.521</f>
        <v>4509.5926079999999</v>
      </c>
      <c r="J22" s="100"/>
      <c r="K22" s="101" t="s">
        <v>15</v>
      </c>
      <c r="L22" s="102"/>
      <c r="M22" s="97"/>
      <c r="N22" s="80">
        <f>SUM(C22,E22,G23,G22,I22,I23,M22)</f>
        <v>47402.347496000002</v>
      </c>
      <c r="O22" s="81"/>
      <c r="P22" s="82"/>
      <c r="Q22" s="8"/>
      <c r="R22" s="117" t="s">
        <v>55</v>
      </c>
      <c r="S22" s="118"/>
      <c r="T22" s="119"/>
      <c r="U22" s="36" t="s">
        <v>45</v>
      </c>
      <c r="V22" s="37" t="s">
        <v>122</v>
      </c>
      <c r="W22" s="63">
        <f>W18/W10</f>
        <v>60.278279834200887</v>
      </c>
      <c r="Z22" s="55" t="s">
        <v>112</v>
      </c>
      <c r="AA22" s="75">
        <v>524819</v>
      </c>
      <c r="AB22" s="68">
        <f t="shared" si="1"/>
        <v>15.640766487113513</v>
      </c>
    </row>
    <row r="23" spans="2:28" ht="63" customHeight="1" thickBot="1" x14ac:dyDescent="0.35">
      <c r="B23" s="90"/>
      <c r="C23" s="87"/>
      <c r="D23" s="88"/>
      <c r="E23" s="99">
        <f>E19*0.02</f>
        <v>758.93439999999998</v>
      </c>
      <c r="F23" s="100"/>
      <c r="G23" s="99">
        <f>G19*0.02</f>
        <v>1937.8673999999999</v>
      </c>
      <c r="H23" s="100"/>
      <c r="I23" s="99">
        <f>(E23+C22)*0.3685</f>
        <v>3189.6062879999995</v>
      </c>
      <c r="J23" s="100"/>
      <c r="K23" s="87"/>
      <c r="L23" s="88"/>
      <c r="M23" s="98"/>
      <c r="N23" s="80">
        <f>N19*0.05</f>
        <v>2738.2255000000005</v>
      </c>
      <c r="O23" s="81"/>
      <c r="P23" s="82"/>
      <c r="Q23" s="8"/>
      <c r="R23" s="117" t="s">
        <v>56</v>
      </c>
      <c r="S23" s="118"/>
      <c r="T23" s="119"/>
      <c r="U23" s="36" t="s">
        <v>45</v>
      </c>
      <c r="V23" s="37" t="s">
        <v>123</v>
      </c>
      <c r="W23" s="63">
        <f>W20/W10</f>
        <v>26.977434572006942</v>
      </c>
      <c r="Z23" s="57" t="s">
        <v>113</v>
      </c>
      <c r="AA23" s="68">
        <f>AA17+AA18+AA20+AA21+AA22</f>
        <v>2585349.7599999998</v>
      </c>
      <c r="AB23" s="68">
        <f t="shared" si="1"/>
        <v>77.049138624316114</v>
      </c>
    </row>
    <row r="24" spans="2:28" ht="63" customHeight="1" thickBot="1" x14ac:dyDescent="0.35">
      <c r="B24" s="103" t="s">
        <v>16</v>
      </c>
      <c r="C24" s="101">
        <f>C18*0.08</f>
        <v>31586.8544</v>
      </c>
      <c r="D24" s="102"/>
      <c r="E24" s="99">
        <f>E18*0.08</f>
        <v>7415.8280000000004</v>
      </c>
      <c r="F24" s="100"/>
      <c r="G24" s="99">
        <f>G18*0.08</f>
        <v>112058.4424</v>
      </c>
      <c r="H24" s="100"/>
      <c r="I24" s="99">
        <f>(E25+C24)*0.521</f>
        <v>18038.370432</v>
      </c>
      <c r="J24" s="100"/>
      <c r="K24" s="101" t="s">
        <v>15</v>
      </c>
      <c r="L24" s="102"/>
      <c r="M24" s="97"/>
      <c r="N24" s="80">
        <f>SUM(C24,E24,G25,G24,I24,I25,M24)</f>
        <v>189609.38998400001</v>
      </c>
      <c r="O24" s="81"/>
      <c r="P24" s="82"/>
      <c r="Q24" s="8"/>
      <c r="R24" s="117" t="s">
        <v>57</v>
      </c>
      <c r="S24" s="118"/>
      <c r="T24" s="119"/>
      <c r="U24" s="35" t="s">
        <v>48</v>
      </c>
      <c r="V24" s="38" t="s">
        <v>124</v>
      </c>
      <c r="W24" s="63">
        <f>W18/W11</f>
        <v>801.70112179487182</v>
      </c>
      <c r="Z24" s="55" t="s">
        <v>114</v>
      </c>
      <c r="AA24" s="68">
        <v>546826</v>
      </c>
      <c r="AB24" s="68">
        <f t="shared" si="1"/>
        <v>16.296623740913219</v>
      </c>
    </row>
    <row r="25" spans="2:28" ht="63" customHeight="1" thickBot="1" x14ac:dyDescent="0.35">
      <c r="B25" s="90"/>
      <c r="C25" s="87"/>
      <c r="D25" s="88"/>
      <c r="E25" s="99">
        <f>E19*0.08</f>
        <v>3035.7375999999999</v>
      </c>
      <c r="F25" s="100"/>
      <c r="G25" s="99">
        <f>G19*0.08</f>
        <v>7751.4695999999994</v>
      </c>
      <c r="H25" s="100"/>
      <c r="I25" s="99">
        <f>(E25+C24)*0.3685</f>
        <v>12758.425151999998</v>
      </c>
      <c r="J25" s="100"/>
      <c r="K25" s="87"/>
      <c r="L25" s="88"/>
      <c r="M25" s="98"/>
      <c r="N25" s="80">
        <f>111919.18*0.08</f>
        <v>8953.5344000000005</v>
      </c>
      <c r="O25" s="81"/>
      <c r="P25" s="82"/>
      <c r="Q25" s="8"/>
      <c r="R25" s="117" t="s">
        <v>58</v>
      </c>
      <c r="S25" s="118"/>
      <c r="T25" s="119"/>
      <c r="U25" s="35" t="s">
        <v>48</v>
      </c>
      <c r="V25" s="38" t="s">
        <v>126</v>
      </c>
      <c r="W25" s="63">
        <f>W20/W11</f>
        <v>358.79987980769232</v>
      </c>
      <c r="Z25" s="57" t="s">
        <v>116</v>
      </c>
      <c r="AA25" s="68">
        <f>AA24+AA23</f>
        <v>3132175.76</v>
      </c>
      <c r="AB25" s="68">
        <f t="shared" si="1"/>
        <v>93.345762365229348</v>
      </c>
    </row>
    <row r="26" spans="2:28" ht="63" customHeight="1" thickBot="1" x14ac:dyDescent="0.35">
      <c r="B26" s="103" t="s">
        <v>17</v>
      </c>
      <c r="C26" s="101">
        <f>K26*0.04</f>
        <v>47515.951200000003</v>
      </c>
      <c r="D26" s="102"/>
      <c r="E26" s="99">
        <f>K26*0.05</f>
        <v>59394.939000000006</v>
      </c>
      <c r="F26" s="100"/>
      <c r="G26" s="99">
        <f>K26*0.07</f>
        <v>83152.914600000004</v>
      </c>
      <c r="H26" s="100"/>
      <c r="I26" s="99">
        <f>(C26+E27)*0.3362</f>
        <v>24149.184601619552</v>
      </c>
      <c r="J26" s="100"/>
      <c r="K26" s="101">
        <f>N18*0.6</f>
        <v>1187898.78</v>
      </c>
      <c r="L26" s="102"/>
      <c r="M26" s="97" t="s">
        <v>15</v>
      </c>
      <c r="N26" s="80">
        <f>SUM(C26,E26,G27,G26,I26,I27,K26)</f>
        <v>1432221.2348529657</v>
      </c>
      <c r="O26" s="81"/>
      <c r="P26" s="82"/>
      <c r="Q26" s="8"/>
      <c r="R26" s="117" t="s">
        <v>59</v>
      </c>
      <c r="S26" s="118"/>
      <c r="T26" s="119"/>
      <c r="U26" s="39" t="s">
        <v>60</v>
      </c>
      <c r="V26" s="38" t="s">
        <v>43</v>
      </c>
      <c r="W26" s="64">
        <v>513560</v>
      </c>
      <c r="Z26" s="55" t="s">
        <v>118</v>
      </c>
      <c r="AA26" s="68">
        <v>223280</v>
      </c>
      <c r="AB26" s="68">
        <f t="shared" si="1"/>
        <v>6.6542376347706638</v>
      </c>
    </row>
    <row r="27" spans="2:28" ht="31.5" customHeight="1" thickBot="1" x14ac:dyDescent="0.35">
      <c r="B27" s="89"/>
      <c r="C27" s="85"/>
      <c r="D27" s="86"/>
      <c r="E27" s="128">
        <f>E26/(E24/E25)</f>
        <v>24313.866175429957</v>
      </c>
      <c r="F27" s="129"/>
      <c r="G27" s="128">
        <f>G26/(G24/G25)</f>
        <v>5751.9743793377602</v>
      </c>
      <c r="H27" s="129"/>
      <c r="I27" s="128">
        <f>(C26+E27)*0.3391</f>
        <v>24357.491072008303</v>
      </c>
      <c r="J27" s="129"/>
      <c r="K27" s="85"/>
      <c r="L27" s="86"/>
      <c r="M27" s="127"/>
      <c r="N27" s="128">
        <f>N19*0.2</f>
        <v>10952.902000000002</v>
      </c>
      <c r="O27" s="130"/>
      <c r="P27" s="129"/>
      <c r="Q27" s="8"/>
      <c r="R27" s="117" t="s">
        <v>61</v>
      </c>
      <c r="S27" s="118"/>
      <c r="T27" s="119"/>
      <c r="U27" s="40" t="s">
        <v>60</v>
      </c>
      <c r="V27" s="38"/>
      <c r="W27" s="65">
        <v>211527.01</v>
      </c>
      <c r="Z27" s="57" t="s">
        <v>119</v>
      </c>
      <c r="AA27" s="74">
        <f>AA26+AA25</f>
        <v>3355455.76</v>
      </c>
      <c r="AB27" s="68">
        <f t="shared" si="1"/>
        <v>100</v>
      </c>
    </row>
    <row r="28" spans="2:28" ht="31.5" customHeight="1" thickBot="1" x14ac:dyDescent="0.35">
      <c r="B28" s="76" t="s">
        <v>18</v>
      </c>
      <c r="C28" s="120">
        <f>SUM(C18:D27)</f>
        <v>521318.76720000006</v>
      </c>
      <c r="D28" s="121"/>
      <c r="E28" s="124">
        <f>E18+E20+E22+E24+E26</f>
        <v>170632.359</v>
      </c>
      <c r="F28" s="126"/>
      <c r="G28" s="124">
        <f>G18+G20+G22+G24+G26</f>
        <v>1764029.5506000002</v>
      </c>
      <c r="H28" s="126"/>
      <c r="I28" s="124">
        <f>I18+I20+I22+I24+I26</f>
        <v>319537.53720961954</v>
      </c>
      <c r="J28" s="126"/>
      <c r="K28" s="120">
        <f>K26</f>
        <v>1187898.78</v>
      </c>
      <c r="L28" s="121"/>
      <c r="M28" s="76"/>
      <c r="N28" s="124">
        <f>SUM(N18,N20,N22,N24,N26)</f>
        <v>3907139.5292209657</v>
      </c>
      <c r="O28" s="125"/>
      <c r="P28" s="126"/>
      <c r="Q28" s="9"/>
      <c r="R28" s="171" t="s">
        <v>62</v>
      </c>
      <c r="S28" s="172"/>
      <c r="T28" s="173"/>
      <c r="U28" s="41" t="s">
        <v>64</v>
      </c>
      <c r="V28" s="42" t="s">
        <v>129</v>
      </c>
      <c r="W28" s="63">
        <f>N28/(W27/8)</f>
        <v>147.76891250799471</v>
      </c>
    </row>
    <row r="29" spans="2:28" ht="24.75" customHeight="1" thickBot="1" x14ac:dyDescent="0.35">
      <c r="B29" s="76"/>
      <c r="C29" s="122"/>
      <c r="D29" s="123"/>
      <c r="E29" s="124">
        <f>E19+E21+E23+E25+E27</f>
        <v>69849.930175429952</v>
      </c>
      <c r="F29" s="126"/>
      <c r="G29" s="124">
        <f>G19+G21+G23+G25+G27</f>
        <v>122024.01837933775</v>
      </c>
      <c r="H29" s="126"/>
      <c r="I29" s="124">
        <f>I19+I21+I23+I25+I27</f>
        <v>341686.36683200829</v>
      </c>
      <c r="J29" s="126"/>
      <c r="K29" s="122"/>
      <c r="L29" s="123"/>
      <c r="M29" s="77">
        <f>M18</f>
        <v>0</v>
      </c>
      <c r="N29" s="124">
        <f>SUM(N19,N21,N23,N25,N27)</f>
        <v>86171.493500000011</v>
      </c>
      <c r="O29" s="125"/>
      <c r="P29" s="126"/>
      <c r="Q29" s="9"/>
      <c r="R29" s="174" t="s">
        <v>63</v>
      </c>
      <c r="S29" s="175"/>
      <c r="T29" s="176"/>
      <c r="U29" s="43" t="s">
        <v>64</v>
      </c>
      <c r="V29" s="44" t="s">
        <v>130</v>
      </c>
      <c r="W29" s="66">
        <f>N30/(W27/8)</f>
        <v>102.84230838306523</v>
      </c>
    </row>
    <row r="30" spans="2:28" ht="63" customHeight="1" thickBot="1" x14ac:dyDescent="0.35">
      <c r="M30" s="10">
        <f>SUM(C28,E28,G28,I28,I29,G29,M29,K28)</f>
        <v>4427127.3792209662</v>
      </c>
      <c r="N30" s="10">
        <f>N28-K28</f>
        <v>2719240.7492209654</v>
      </c>
      <c r="R30" s="165" t="s">
        <v>65</v>
      </c>
      <c r="S30" s="166"/>
      <c r="T30" s="167"/>
      <c r="U30" s="16" t="s">
        <v>64</v>
      </c>
      <c r="V30" s="45" t="s">
        <v>131</v>
      </c>
      <c r="W30" s="63">
        <f>W18/(W26/8)</f>
        <v>187.02821091985356</v>
      </c>
    </row>
    <row r="31" spans="2:28" ht="29.25" customHeight="1" thickBot="1" x14ac:dyDescent="0.35">
      <c r="N31">
        <v>3402575.05</v>
      </c>
      <c r="R31" s="168" t="s">
        <v>66</v>
      </c>
      <c r="S31" s="169"/>
      <c r="T31" s="170"/>
      <c r="U31" s="16" t="s">
        <v>64</v>
      </c>
      <c r="V31" s="38" t="s">
        <v>132</v>
      </c>
      <c r="W31" s="63">
        <f>W20/(W26/8)</f>
        <v>83.704135836124308</v>
      </c>
    </row>
    <row r="32" spans="2:28" ht="16.2" thickBot="1" x14ac:dyDescent="0.35">
      <c r="R32" s="117" t="s">
        <v>67</v>
      </c>
      <c r="S32" s="118"/>
      <c r="T32" s="119"/>
      <c r="U32" s="16" t="s">
        <v>68</v>
      </c>
      <c r="V32" s="38" t="s">
        <v>133</v>
      </c>
      <c r="W32" s="63">
        <f>1648798/W18</f>
        <v>0.13732801078369347</v>
      </c>
    </row>
    <row r="33" spans="18:23" ht="16.2" thickBot="1" x14ac:dyDescent="0.35">
      <c r="R33" s="117" t="s">
        <v>69</v>
      </c>
      <c r="S33" s="118"/>
      <c r="T33" s="119"/>
      <c r="U33" s="16" t="s">
        <v>68</v>
      </c>
      <c r="V33" s="38" t="s">
        <v>134</v>
      </c>
      <c r="W33" s="63">
        <f>W18/1648798</f>
        <v>7.2818356160063269</v>
      </c>
    </row>
    <row r="34" spans="18:23" ht="47.25" customHeight="1" thickBot="1" x14ac:dyDescent="0.35">
      <c r="R34" s="117" t="s">
        <v>70</v>
      </c>
      <c r="S34" s="118"/>
      <c r="T34" s="119"/>
      <c r="U34" s="16" t="s">
        <v>71</v>
      </c>
      <c r="V34" s="38" t="s">
        <v>72</v>
      </c>
      <c r="W34" s="63">
        <v>262</v>
      </c>
    </row>
    <row r="35" spans="18:23" ht="16.2" thickBot="1" x14ac:dyDescent="0.35">
      <c r="R35" s="117" t="s">
        <v>73</v>
      </c>
      <c r="S35" s="118"/>
      <c r="T35" s="119"/>
      <c r="U35" s="16" t="s">
        <v>71</v>
      </c>
      <c r="V35" s="38" t="s">
        <v>74</v>
      </c>
      <c r="W35" s="63">
        <v>255</v>
      </c>
    </row>
    <row r="36" spans="18:23" ht="16.2" thickBot="1" x14ac:dyDescent="0.35">
      <c r="R36" s="117" t="s">
        <v>75</v>
      </c>
      <c r="S36" s="118"/>
      <c r="T36" s="119"/>
      <c r="U36" s="16" t="s">
        <v>42</v>
      </c>
      <c r="V36" s="38" t="s">
        <v>76</v>
      </c>
      <c r="W36" s="63">
        <f>(0.5*524819.21*(262-255))/365</f>
        <v>5032.512972602739</v>
      </c>
    </row>
    <row r="37" spans="18:23" ht="16.2" thickBot="1" x14ac:dyDescent="0.35">
      <c r="R37" s="117" t="s">
        <v>77</v>
      </c>
      <c r="S37" s="118"/>
      <c r="T37" s="119"/>
      <c r="U37" s="16" t="s">
        <v>42</v>
      </c>
      <c r="V37" s="38" t="s">
        <v>135</v>
      </c>
      <c r="W37" s="63">
        <f>5032.51+V51</f>
        <v>12735.65</v>
      </c>
    </row>
    <row r="38" spans="18:23" ht="66" customHeight="1" thickBot="1" x14ac:dyDescent="0.35"/>
    <row r="39" spans="18:23" ht="15.6" x14ac:dyDescent="0.3">
      <c r="R39" s="156" t="s">
        <v>19</v>
      </c>
      <c r="S39" s="47" t="s">
        <v>78</v>
      </c>
      <c r="T39" s="161" t="s">
        <v>22</v>
      </c>
      <c r="U39" s="162"/>
    </row>
    <row r="40" spans="18:23" ht="16.2" thickBot="1" x14ac:dyDescent="0.35">
      <c r="R40" s="160"/>
      <c r="S40" s="48" t="s">
        <v>79</v>
      </c>
      <c r="T40" s="163"/>
      <c r="U40" s="164"/>
    </row>
    <row r="41" spans="18:23" ht="16.2" thickBot="1" x14ac:dyDescent="0.35">
      <c r="R41" s="157"/>
      <c r="S41" s="49" t="s">
        <v>80</v>
      </c>
      <c r="T41" s="49" t="s">
        <v>81</v>
      </c>
      <c r="U41" s="49" t="s">
        <v>82</v>
      </c>
    </row>
    <row r="42" spans="18:23" ht="79.5" customHeight="1" thickBot="1" x14ac:dyDescent="0.35">
      <c r="R42" s="42" t="s">
        <v>83</v>
      </c>
      <c r="S42" s="49" t="s">
        <v>84</v>
      </c>
      <c r="T42" s="67">
        <v>3579.94</v>
      </c>
      <c r="U42" s="67">
        <v>5350.98</v>
      </c>
    </row>
    <row r="43" spans="18:23" ht="78" x14ac:dyDescent="0.3">
      <c r="R43" s="50" t="s">
        <v>85</v>
      </c>
      <c r="S43" s="156" t="s">
        <v>84</v>
      </c>
      <c r="T43" s="158">
        <v>2208.81</v>
      </c>
      <c r="U43" s="158">
        <v>3642.08</v>
      </c>
    </row>
    <row r="44" spans="18:23" ht="47.4" thickBot="1" x14ac:dyDescent="0.35">
      <c r="R44" s="42" t="s">
        <v>86</v>
      </c>
      <c r="S44" s="157"/>
      <c r="T44" s="159"/>
      <c r="U44" s="159"/>
    </row>
    <row r="45" spans="18:23" ht="48" customHeight="1" thickBot="1" x14ac:dyDescent="0.35">
      <c r="R45" s="42" t="s">
        <v>87</v>
      </c>
      <c r="S45" s="49" t="s">
        <v>84</v>
      </c>
      <c r="T45" s="67">
        <v>4067.03</v>
      </c>
      <c r="U45" s="67">
        <v>5740.1</v>
      </c>
    </row>
    <row r="46" spans="18:23" ht="31.8" thickBot="1" x14ac:dyDescent="0.35">
      <c r="R46" s="42" t="s">
        <v>88</v>
      </c>
      <c r="S46" s="49" t="s">
        <v>84</v>
      </c>
      <c r="T46" s="67">
        <v>128</v>
      </c>
      <c r="U46" s="67">
        <v>180.65</v>
      </c>
    </row>
    <row r="47" spans="18:23" ht="110.25" customHeight="1" x14ac:dyDescent="0.3">
      <c r="R47" s="156" t="s">
        <v>89</v>
      </c>
      <c r="S47" s="156" t="s">
        <v>90</v>
      </c>
      <c r="T47" s="158">
        <v>2527.98</v>
      </c>
      <c r="U47" s="158">
        <v>3845.1</v>
      </c>
    </row>
    <row r="48" spans="18:23" ht="15.75" customHeight="1" thickBot="1" x14ac:dyDescent="0.35">
      <c r="R48" s="157"/>
      <c r="S48" s="157"/>
      <c r="T48" s="159"/>
      <c r="U48" s="159"/>
    </row>
    <row r="49" spans="18:22" ht="47.4" thickBot="1" x14ac:dyDescent="0.35">
      <c r="R49" s="51" t="s">
        <v>91</v>
      </c>
      <c r="S49" s="49"/>
      <c r="T49" s="68">
        <f>SUM(T42:T48)</f>
        <v>12511.76</v>
      </c>
      <c r="U49" s="68">
        <f>SUM(U42:U48)</f>
        <v>18758.91</v>
      </c>
    </row>
    <row r="50" spans="18:22" ht="27" customHeight="1" thickBot="1" x14ac:dyDescent="0.35">
      <c r="R50" s="42" t="s">
        <v>92</v>
      </c>
      <c r="S50" s="49" t="s">
        <v>93</v>
      </c>
      <c r="T50" s="68">
        <v>2794.49</v>
      </c>
      <c r="U50" s="68">
        <v>4250.4799999999996</v>
      </c>
    </row>
    <row r="51" spans="18:22" ht="31.8" thickBot="1" x14ac:dyDescent="0.35">
      <c r="R51" s="51" t="s">
        <v>94</v>
      </c>
      <c r="S51" s="49"/>
      <c r="T51" s="68">
        <f>T50+T49</f>
        <v>15306.25</v>
      </c>
      <c r="U51" s="68">
        <f>U50+U49</f>
        <v>23009.39</v>
      </c>
      <c r="V51" s="1">
        <f>U51-T51</f>
        <v>7703.1399999999994</v>
      </c>
    </row>
    <row r="52" spans="18:22" ht="31.8" thickBot="1" x14ac:dyDescent="0.35">
      <c r="R52" s="42" t="s">
        <v>95</v>
      </c>
      <c r="S52" s="49" t="s">
        <v>84</v>
      </c>
      <c r="T52" s="68">
        <v>92.36</v>
      </c>
      <c r="U52" s="69">
        <v>139.9</v>
      </c>
    </row>
    <row r="53" spans="18:22" ht="31.8" thickBot="1" x14ac:dyDescent="0.35">
      <c r="R53" s="42" t="s">
        <v>96</v>
      </c>
      <c r="S53" s="52" t="s">
        <v>97</v>
      </c>
      <c r="T53" s="68">
        <f>T51/T52*8</f>
        <v>1325.7903854482461</v>
      </c>
      <c r="U53" s="68">
        <f>U51/U52*8</f>
        <v>1315.7621157969977</v>
      </c>
    </row>
    <row r="54" spans="18:22" ht="31.8" thickBot="1" x14ac:dyDescent="0.35">
      <c r="R54" s="42" t="s">
        <v>98</v>
      </c>
      <c r="S54" s="52" t="s">
        <v>97</v>
      </c>
      <c r="T54" s="68">
        <f>T51/T45</f>
        <v>3.7634957204643191</v>
      </c>
      <c r="U54" s="68">
        <f>U51/U45</f>
        <v>4.0085346945175164</v>
      </c>
    </row>
    <row r="55" spans="18:22" ht="31.8" thickBot="1" x14ac:dyDescent="0.35">
      <c r="R55" s="42" t="s">
        <v>99</v>
      </c>
      <c r="S55" s="53"/>
      <c r="T55" s="68">
        <f>T45/T51</f>
        <v>0.2657104124132299</v>
      </c>
      <c r="U55" s="68">
        <f>U45/U51</f>
        <v>0.24946771731019382</v>
      </c>
    </row>
    <row r="56" spans="18:22" ht="63" thickBot="1" x14ac:dyDescent="0.35">
      <c r="R56" s="54" t="s">
        <v>100</v>
      </c>
      <c r="S56" s="53"/>
      <c r="T56" s="68">
        <v>120.4</v>
      </c>
      <c r="U56" s="68">
        <v>120.4</v>
      </c>
    </row>
    <row r="57" spans="18:22" ht="16.2" thickBot="1" x14ac:dyDescent="0.35">
      <c r="R57" s="54" t="s">
        <v>101</v>
      </c>
      <c r="S57" s="53"/>
      <c r="T57" s="68">
        <f>T51/T56</f>
        <v>127.12832225913621</v>
      </c>
      <c r="U57" s="68">
        <f>U51/U56</f>
        <v>191.1078903654485</v>
      </c>
    </row>
    <row r="58" spans="18:22" ht="31.8" thickBot="1" x14ac:dyDescent="0.35">
      <c r="R58" s="54" t="s">
        <v>102</v>
      </c>
      <c r="S58" s="53"/>
      <c r="T58" s="68">
        <f>T56/T51</f>
        <v>7.8660677827684777E-3</v>
      </c>
      <c r="U58" s="68">
        <f>U56/U51</f>
        <v>5.2326463239573068E-3</v>
      </c>
    </row>
    <row r="59" spans="18:22" ht="31.8" thickBot="1" x14ac:dyDescent="0.35">
      <c r="R59" s="54" t="s">
        <v>103</v>
      </c>
      <c r="S59" s="53"/>
      <c r="T59" s="68">
        <f>T50/T51*100</f>
        <v>18.257182523478971</v>
      </c>
      <c r="U59" s="68">
        <f>U50/U51*100</f>
        <v>18.472806102204359</v>
      </c>
    </row>
  </sheetData>
  <mergeCells count="118">
    <mergeCell ref="AA2:AB2"/>
    <mergeCell ref="AA15:AB15"/>
    <mergeCell ref="S43:S44"/>
    <mergeCell ref="T43:T44"/>
    <mergeCell ref="U43:U44"/>
    <mergeCell ref="R47:R48"/>
    <mergeCell ref="S47:S48"/>
    <mergeCell ref="T47:T48"/>
    <mergeCell ref="U47:U48"/>
    <mergeCell ref="R35:T35"/>
    <mergeCell ref="R36:T36"/>
    <mergeCell ref="R37:T37"/>
    <mergeCell ref="R39:R41"/>
    <mergeCell ref="T39:U40"/>
    <mergeCell ref="R30:T30"/>
    <mergeCell ref="R31:T31"/>
    <mergeCell ref="R32:T32"/>
    <mergeCell ref="R33:T33"/>
    <mergeCell ref="R34:T34"/>
    <mergeCell ref="R25:T25"/>
    <mergeCell ref="R26:T26"/>
    <mergeCell ref="R27:T27"/>
    <mergeCell ref="R28:T28"/>
    <mergeCell ref="R29:T29"/>
    <mergeCell ref="U18:U19"/>
    <mergeCell ref="W18:W19"/>
    <mergeCell ref="S21:T21"/>
    <mergeCell ref="R22:T22"/>
    <mergeCell ref="R23:T23"/>
    <mergeCell ref="U12:U13"/>
    <mergeCell ref="R14:T14"/>
    <mergeCell ref="R15:T15"/>
    <mergeCell ref="R16:T16"/>
    <mergeCell ref="R17:T17"/>
    <mergeCell ref="R2:T2"/>
    <mergeCell ref="R3:T3"/>
    <mergeCell ref="R4:T4"/>
    <mergeCell ref="R5:T5"/>
    <mergeCell ref="R6:T6"/>
    <mergeCell ref="R7:T7"/>
    <mergeCell ref="R8:T8"/>
    <mergeCell ref="R9:T9"/>
    <mergeCell ref="R10:T10"/>
    <mergeCell ref="R11:T11"/>
    <mergeCell ref="R12:T12"/>
    <mergeCell ref="R13:T13"/>
    <mergeCell ref="R18:T19"/>
    <mergeCell ref="R24:T24"/>
    <mergeCell ref="K28:L29"/>
    <mergeCell ref="N28:P28"/>
    <mergeCell ref="N29:P29"/>
    <mergeCell ref="C28:D29"/>
    <mergeCell ref="E28:F28"/>
    <mergeCell ref="E29:F29"/>
    <mergeCell ref="G28:H28"/>
    <mergeCell ref="G29:H29"/>
    <mergeCell ref="I28:J28"/>
    <mergeCell ref="I29:J29"/>
    <mergeCell ref="M26:M27"/>
    <mergeCell ref="N26:P26"/>
    <mergeCell ref="E27:F27"/>
    <mergeCell ref="G27:H27"/>
    <mergeCell ref="I27:J27"/>
    <mergeCell ref="N27:P27"/>
    <mergeCell ref="K26:L27"/>
    <mergeCell ref="M22:M23"/>
    <mergeCell ref="N22:P22"/>
    <mergeCell ref="B26:B27"/>
    <mergeCell ref="C26:D27"/>
    <mergeCell ref="E26:F26"/>
    <mergeCell ref="G26:H26"/>
    <mergeCell ref="I26:J26"/>
    <mergeCell ref="M24:M25"/>
    <mergeCell ref="N24:P24"/>
    <mergeCell ref="E25:F25"/>
    <mergeCell ref="G25:H25"/>
    <mergeCell ref="I25:J25"/>
    <mergeCell ref="N25:P25"/>
    <mergeCell ref="K24:L25"/>
    <mergeCell ref="B24:B25"/>
    <mergeCell ref="C24:D25"/>
    <mergeCell ref="E24:F24"/>
    <mergeCell ref="G24:H24"/>
    <mergeCell ref="I24:J24"/>
    <mergeCell ref="E23:F23"/>
    <mergeCell ref="G23:H23"/>
    <mergeCell ref="I23:J23"/>
    <mergeCell ref="N23:P23"/>
    <mergeCell ref="K22:L23"/>
    <mergeCell ref="B22:B23"/>
    <mergeCell ref="C22:D23"/>
    <mergeCell ref="E22:F22"/>
    <mergeCell ref="G22:H22"/>
    <mergeCell ref="I22:J22"/>
    <mergeCell ref="M20:M21"/>
    <mergeCell ref="N20:P20"/>
    <mergeCell ref="E21:F21"/>
    <mergeCell ref="G21:H21"/>
    <mergeCell ref="I21:J21"/>
    <mergeCell ref="N21:P21"/>
    <mergeCell ref="K20:L21"/>
    <mergeCell ref="B20:B21"/>
    <mergeCell ref="C20:D21"/>
    <mergeCell ref="E20:F20"/>
    <mergeCell ref="G20:H20"/>
    <mergeCell ref="I20:J20"/>
    <mergeCell ref="M18:M19"/>
    <mergeCell ref="N18:P18"/>
    <mergeCell ref="E19:F19"/>
    <mergeCell ref="G19:H19"/>
    <mergeCell ref="I19:J19"/>
    <mergeCell ref="N19:P19"/>
    <mergeCell ref="K18:L19"/>
    <mergeCell ref="B18:B19"/>
    <mergeCell ref="C18:D19"/>
    <mergeCell ref="E18:F18"/>
    <mergeCell ref="G18:H18"/>
    <mergeCell ref="I18:J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Антон Ковалев</cp:lastModifiedBy>
  <dcterms:created xsi:type="dcterms:W3CDTF">2018-11-25T15:20:14Z</dcterms:created>
  <dcterms:modified xsi:type="dcterms:W3CDTF">2019-05-30T11:28:57Z</dcterms:modified>
</cp:coreProperties>
</file>