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пгс диплом\цех металлоконструкций\6 - Экономика\"/>
    </mc:Choice>
  </mc:AlternateContent>
  <bookViews>
    <workbookView xWindow="0" yWindow="0" windowWidth="11496" windowHeight="9312"/>
  </bookViews>
  <sheets>
    <sheet name="Сводный сметный расчет" sheetId="1" r:id="rId1"/>
  </sheets>
  <calcPr calcId="152511"/>
</workbook>
</file>

<file path=xl/calcChain.xml><?xml version="1.0" encoding="utf-8"?>
<calcChain xmlns="http://schemas.openxmlformats.org/spreadsheetml/2006/main">
  <c r="C26" i="1" l="1"/>
  <c r="D26" i="1"/>
  <c r="E26" i="1"/>
  <c r="E28" i="1" s="1"/>
  <c r="F26" i="1"/>
  <c r="G26" i="1"/>
  <c r="G28" i="1" s="1"/>
  <c r="H26" i="1"/>
  <c r="I26" i="1"/>
  <c r="I28" i="1" s="1"/>
  <c r="D27" i="1"/>
  <c r="D29" i="1" s="1"/>
  <c r="E27" i="1"/>
  <c r="F27" i="1"/>
  <c r="F29" i="1" s="1"/>
  <c r="I27" i="1"/>
  <c r="C28" i="1"/>
  <c r="D28" i="1"/>
  <c r="F28" i="1"/>
  <c r="H28" i="1"/>
  <c r="E29" i="1"/>
  <c r="I29" i="1"/>
  <c r="C31" i="1"/>
  <c r="C33" i="1" s="1"/>
  <c r="D31" i="1"/>
  <c r="D33" i="1" s="1"/>
  <c r="E31" i="1"/>
  <c r="E33" i="1" s="1"/>
  <c r="F31" i="1"/>
  <c r="G31" i="1"/>
  <c r="G33" i="1" s="1"/>
  <c r="H31" i="1"/>
  <c r="I31" i="1"/>
  <c r="I33" i="1" s="1"/>
  <c r="D32" i="1"/>
  <c r="E32" i="1"/>
  <c r="F32" i="1"/>
  <c r="F34" i="1" s="1"/>
  <c r="I32" i="1"/>
  <c r="F33" i="1"/>
  <c r="H33" i="1"/>
  <c r="D34" i="1"/>
  <c r="E34" i="1"/>
  <c r="I34" i="1"/>
  <c r="A133" i="1" l="1"/>
  <c r="A135" i="1" s="1"/>
  <c r="B135" i="1" s="1"/>
  <c r="C41" i="1" l="1"/>
  <c r="H11" i="1" l="1"/>
  <c r="H18" i="1"/>
  <c r="F10" i="1"/>
  <c r="F9" i="1"/>
  <c r="D10" i="1"/>
  <c r="D12" i="1" s="1"/>
  <c r="I18" i="1"/>
  <c r="H43" i="1" l="1"/>
  <c r="H45" i="1" s="1"/>
  <c r="H9" i="1"/>
  <c r="H41" i="1" s="1"/>
  <c r="C9" i="1" l="1"/>
  <c r="C11" i="1" s="1"/>
  <c r="D9" i="1"/>
  <c r="D11" i="1" s="1"/>
  <c r="E9" i="1"/>
  <c r="E11" i="1" s="1"/>
  <c r="F11" i="1"/>
  <c r="G9" i="1"/>
  <c r="G11" i="1" s="1"/>
  <c r="I9" i="1"/>
  <c r="I11" i="1" s="1"/>
  <c r="E10" i="1"/>
  <c r="E12" i="1" s="1"/>
  <c r="F12" i="1"/>
  <c r="I10" i="1"/>
  <c r="I12" i="1" s="1"/>
  <c r="C18" i="1"/>
  <c r="E18" i="1"/>
  <c r="F18" i="1"/>
  <c r="G18" i="1"/>
  <c r="D19" i="1"/>
  <c r="E19" i="1"/>
  <c r="F19" i="1"/>
  <c r="C43" i="1"/>
  <c r="D41" i="1"/>
  <c r="D43" i="1" s="1"/>
  <c r="E41" i="1"/>
  <c r="E43" i="1" s="1"/>
  <c r="F41" i="1"/>
  <c r="F43" i="1" s="1"/>
  <c r="G41" i="1"/>
  <c r="G43" i="1" s="1"/>
  <c r="I41" i="1"/>
  <c r="I43" i="1" s="1"/>
  <c r="D42" i="1"/>
  <c r="D44" i="1" s="1"/>
  <c r="E42" i="1"/>
  <c r="E44" i="1" s="1"/>
  <c r="F42" i="1"/>
  <c r="F44" i="1" s="1"/>
  <c r="I42" i="1"/>
  <c r="I44" i="1" s="1"/>
  <c r="D62" i="1"/>
  <c r="D65" i="1"/>
  <c r="D70" i="1"/>
  <c r="D72" i="1"/>
  <c r="H97" i="1"/>
  <c r="I97" i="1"/>
  <c r="I45" i="1" l="1"/>
  <c r="C45" i="1"/>
  <c r="I19" i="1"/>
  <c r="I46" i="1" s="1"/>
  <c r="D18" i="1"/>
  <c r="D45" i="1" s="1"/>
  <c r="E46" i="1"/>
  <c r="F45" i="1"/>
  <c r="F54" i="1" s="1"/>
  <c r="F77" i="1" s="1"/>
  <c r="F99" i="1" s="1"/>
  <c r="D46" i="1"/>
  <c r="E45" i="1"/>
  <c r="F46" i="1"/>
  <c r="F55" i="1" s="1"/>
  <c r="F78" i="1" s="1"/>
  <c r="F100" i="1" s="1"/>
  <c r="G45" i="1"/>
  <c r="G54" i="1" s="1"/>
  <c r="G77" i="1" s="1"/>
  <c r="G99" i="1" s="1"/>
  <c r="G101" i="1" s="1"/>
  <c r="G103" i="1" s="1"/>
  <c r="I49" i="1" l="1"/>
  <c r="I53" i="1" s="1"/>
  <c r="I55" i="1" s="1"/>
  <c r="I58" i="1"/>
  <c r="I76" i="1" s="1"/>
  <c r="I57" i="1"/>
  <c r="I64" i="1"/>
  <c r="H64" i="1" s="1"/>
  <c r="C57" i="1"/>
  <c r="C75" i="1" s="1"/>
  <c r="I48" i="1"/>
  <c r="C48" i="1" s="1"/>
  <c r="C52" i="1" s="1"/>
  <c r="C54" i="1" s="1"/>
  <c r="G107" i="1"/>
  <c r="G111" i="1" s="1"/>
  <c r="G117" i="1" s="1"/>
  <c r="F102" i="1"/>
  <c r="F104" i="1" s="1"/>
  <c r="F101" i="1"/>
  <c r="F103" i="1" s="1"/>
  <c r="I78" i="1" l="1"/>
  <c r="I100" i="1" s="1"/>
  <c r="I61" i="1"/>
  <c r="D48" i="1"/>
  <c r="D52" i="1" s="1"/>
  <c r="D54" i="1" s="1"/>
  <c r="E48" i="1"/>
  <c r="E113" i="1" s="1"/>
  <c r="I113" i="1" s="1"/>
  <c r="F107" i="1"/>
  <c r="F111" i="1" s="1"/>
  <c r="F117" i="1" s="1"/>
  <c r="E57" i="1"/>
  <c r="E75" i="1" s="1"/>
  <c r="D57" i="1"/>
  <c r="D58" i="1" s="1"/>
  <c r="D76" i="1" s="1"/>
  <c r="F108" i="1"/>
  <c r="F112" i="1" s="1"/>
  <c r="F118" i="1" s="1"/>
  <c r="C77" i="1"/>
  <c r="I102" i="1" l="1"/>
  <c r="I104" i="1" s="1"/>
  <c r="I108" i="1" s="1"/>
  <c r="D49" i="1"/>
  <c r="D53" i="1" s="1"/>
  <c r="D55" i="1" s="1"/>
  <c r="D78" i="1" s="1"/>
  <c r="D100" i="1" s="1"/>
  <c r="H61" i="1"/>
  <c r="E50" i="1"/>
  <c r="I50" i="1" s="1"/>
  <c r="I52" i="1" s="1"/>
  <c r="I54" i="1" s="1"/>
  <c r="E49" i="1"/>
  <c r="E53" i="1" s="1"/>
  <c r="E55" i="1" s="1"/>
  <c r="E78" i="1" s="1"/>
  <c r="E100" i="1" s="1"/>
  <c r="I110" i="1"/>
  <c r="D75" i="1"/>
  <c r="D77" i="1" s="1"/>
  <c r="D99" i="1" s="1"/>
  <c r="C99" i="1"/>
  <c r="C101" i="1" s="1"/>
  <c r="D101" i="1" l="1"/>
  <c r="D103" i="1" s="1"/>
  <c r="D107" i="1" s="1"/>
  <c r="D111" i="1" s="1"/>
  <c r="D117" i="1" s="1"/>
  <c r="E102" i="1"/>
  <c r="E104" i="1" s="1"/>
  <c r="E108" i="1" s="1"/>
  <c r="E112" i="1" s="1"/>
  <c r="E118" i="1" s="1"/>
  <c r="E52" i="1"/>
  <c r="E54" i="1" s="1"/>
  <c r="I112" i="1"/>
  <c r="I118" i="1" s="1"/>
  <c r="C103" i="1"/>
  <c r="D102" i="1"/>
  <c r="D104" i="1" s="1"/>
  <c r="E77" i="1" l="1"/>
  <c r="I69" i="1"/>
  <c r="D108" i="1"/>
  <c r="D112" i="1" s="1"/>
  <c r="D118" i="1" s="1"/>
  <c r="C107" i="1"/>
  <c r="C111" i="1" s="1"/>
  <c r="C117" i="1" s="1"/>
  <c r="H69" i="1" l="1"/>
  <c r="H75" i="1" s="1"/>
  <c r="H77" i="1" s="1"/>
  <c r="I86" i="1" s="1"/>
  <c r="I75" i="1"/>
  <c r="I77" i="1" s="1"/>
  <c r="I80" i="1" s="1"/>
  <c r="H80" i="1" s="1"/>
  <c r="E99" i="1"/>
  <c r="E101" i="1" s="1"/>
  <c r="E103" i="1" s="1"/>
  <c r="E107" i="1" s="1"/>
  <c r="E111" i="1" s="1"/>
  <c r="E117" i="1" s="1"/>
  <c r="I84" i="1" l="1"/>
  <c r="H84" i="1" s="1"/>
  <c r="I88" i="1"/>
  <c r="H88" i="1" s="1"/>
  <c r="I82" i="1"/>
  <c r="H82" i="1" s="1"/>
  <c r="H86" i="1"/>
  <c r="I92" i="1" l="1"/>
  <c r="I99" i="1" s="1"/>
  <c r="H92" i="1"/>
  <c r="H99" i="1" s="1"/>
  <c r="H109" i="1" s="1"/>
  <c r="I101" i="1" l="1"/>
  <c r="I103" i="1" s="1"/>
  <c r="I107" i="1" s="1"/>
  <c r="I109" i="1"/>
  <c r="H101" i="1"/>
  <c r="H103" i="1" s="1"/>
  <c r="H107" i="1" l="1"/>
  <c r="H111" i="1" s="1"/>
  <c r="H117" i="1" s="1"/>
  <c r="I111" i="1"/>
  <c r="I117" i="1" s="1"/>
</calcChain>
</file>

<file path=xl/sharedStrings.xml><?xml version="1.0" encoding="utf-8"?>
<sst xmlns="http://schemas.openxmlformats.org/spreadsheetml/2006/main" count="265" uniqueCount="83">
  <si>
    <t xml:space="preserve">  Итого к утверждению</t>
  </si>
  <si>
    <t>-</t>
  </si>
  <si>
    <t>Итого по сводному  сметному расчету</t>
  </si>
  <si>
    <t xml:space="preserve">Укрупненный показатель </t>
  </si>
  <si>
    <t xml:space="preserve">  Итого</t>
  </si>
  <si>
    <t xml:space="preserve">  Итого  с учетом риска</t>
  </si>
  <si>
    <t xml:space="preserve">  Итого по главе 11</t>
  </si>
  <si>
    <t>Подготовка эксплуатационных кадров</t>
  </si>
  <si>
    <t>ГЛАВА 11. ПОДГОТОВКА ЭКСПЛУАТАЦИОННЫХ КАДРОВ</t>
  </si>
  <si>
    <t xml:space="preserve">  Итого по главе 10</t>
  </si>
  <si>
    <t>Средства на научно-проектные работы (для объектов реставрации)</t>
  </si>
  <si>
    <t>Средства на проведение экспертизы</t>
  </si>
  <si>
    <t>Средства на проектные и изыскательские работы</t>
  </si>
  <si>
    <t>Средства на мониторинг цен (тарифов), расчет индексов цен в строительстве</t>
  </si>
  <si>
    <t>ГЛАВА 10. СРЕДСТВА ЗАКАЗЧИКА, ЗАСТРОЙЩИКА</t>
  </si>
  <si>
    <t xml:space="preserve">  Итого по главам 1-9</t>
  </si>
  <si>
    <t xml:space="preserve">  Итого по главе 9</t>
  </si>
  <si>
    <t>Другие средства</t>
  </si>
  <si>
    <t>Средства на пусконаладочные работы</t>
  </si>
  <si>
    <t>Средства на шеф-монтаж оборудования</t>
  </si>
  <si>
    <t>Дополнительные средства при производстве работ в зимнее время</t>
  </si>
  <si>
    <t>ГЛАВА 9. ПРОЧИЕ РАБОТЫ И РАСХОДЫ</t>
  </si>
  <si>
    <t xml:space="preserve">  Итого по главам 1-8</t>
  </si>
  <si>
    <t xml:space="preserve">  Итого по главе 8</t>
  </si>
  <si>
    <t>В том числе возврат материалов</t>
  </si>
  <si>
    <t>Временные здания и сооружения</t>
  </si>
  <si>
    <t>ГЛАВА 8. ВРЕМЕННЫЕ ЗДАНИЯ И СООРУЖЕНИЯ</t>
  </si>
  <si>
    <t xml:space="preserve">  Итого по главам 1-7</t>
  </si>
  <si>
    <t xml:space="preserve">  Итого по главе 7</t>
  </si>
  <si>
    <t>ГЛАВА 7. БЛАГОУСТРОЙСТВО ТЕРРИТОРИИ</t>
  </si>
  <si>
    <t xml:space="preserve">  Итого по главе 5</t>
  </si>
  <si>
    <t>ГЛАВА 5. ЗДАНИЯ, СООРУЖЕНИЯ ТРАНСПОРТНОГО ХОЗЯЙСТВА И СВЯЗИ</t>
  </si>
  <si>
    <t xml:space="preserve">  Итого по главе 4</t>
  </si>
  <si>
    <t>ГЛАВА 4. ЗДАНИЯ, СООРУЖЕНИЯ ЭНЕРГЕТИЧЕСКОГО ХОЗЯЙСТВА</t>
  </si>
  <si>
    <t xml:space="preserve">  Итого по главе 2</t>
  </si>
  <si>
    <t>Здания и сооружения, предназначенные для выполнения основных технологических функций</t>
  </si>
  <si>
    <t xml:space="preserve">Объектная смета №1 </t>
  </si>
  <si>
    <t>ГЛАВА 2. ОСНОВНЫЕ ЗДАНИЯ, СООРУЖЕНИЯ</t>
  </si>
  <si>
    <t xml:space="preserve">  Итого по главе 1</t>
  </si>
  <si>
    <t>ГЛАВА 1. ПОДГОТОВКА ТЕРРИТОРИИ СТРОИТЕЛЬСТВА</t>
  </si>
  <si>
    <t>Трудоем-кость, чел-час</t>
  </si>
  <si>
    <t>Прибыль</t>
  </si>
  <si>
    <t>Транспорт</t>
  </si>
  <si>
    <t>В т.ч. заработ-ная плата машинистов</t>
  </si>
  <si>
    <t>Прочие средства</t>
  </si>
  <si>
    <t>Оборудо-вание</t>
  </si>
  <si>
    <t>ОПР и ОХР</t>
  </si>
  <si>
    <t>Материа-лы, изде-лия, кон-струкции</t>
  </si>
  <si>
    <t>ЭМиМ</t>
  </si>
  <si>
    <t xml:space="preserve">Заработная плата </t>
  </si>
  <si>
    <t>Общая стоимость, тыс. руб</t>
  </si>
  <si>
    <t xml:space="preserve">Стоимость, тыс. руб </t>
  </si>
  <si>
    <t>Наименование глав, объектов, работ, средств</t>
  </si>
  <si>
    <t>Номера сметных расчетов (смет)</t>
  </si>
  <si>
    <t xml:space="preserve"> Сводный сметный расчет стоимости строительства</t>
  </si>
  <si>
    <t>Объект: Цех маталлоконструкций с административно-бытовым корпусом площадью 7336 м2 в г. Верхнедвинск</t>
  </si>
  <si>
    <t>Средства на подготовку территории строительства (2% от гл.2)</t>
  </si>
  <si>
    <t>Здания электростанций, трансформаторных подстанций и т.п. (10% от гл.2)</t>
  </si>
  <si>
    <t>Внутризаводские пути, подъездные дороги, стоянки для автомашин, гаражи и т.п. (7% от гл.2)</t>
  </si>
  <si>
    <t>НРР                                                  8.01.102-2017</t>
  </si>
  <si>
    <t>Средства, связанные с отчислениями на социальное страхование (34%)</t>
  </si>
  <si>
    <t>Средства, связанные с подвижным и разъездным характером работ, с перевозкой рабочих автомобильным транспортом и командированием рабочих подрядных организаций, при отсутствии сведений о подрядной организации в исходных данных заказчика на разработку проектной документации (для города 9.7%)</t>
  </si>
  <si>
    <t>Средства на непредвиденные работы и затраты</t>
  </si>
  <si>
    <t>1 057 251.57</t>
  </si>
  <si>
    <t xml:space="preserve">  Итого по главам 1-10</t>
  </si>
  <si>
    <t>Укрупненный показатель п.21</t>
  </si>
  <si>
    <t>Сметная стоимость работ по вертикальной планировке, устройству дорожек и площадок, озеленению и ограждению территории, устройству малых архитектурных форм, наружному освещению, иному благоустройству территории. (2% от гл.2)</t>
  </si>
  <si>
    <t>НРР                                                  8.01.103-2017         п30.2</t>
  </si>
  <si>
    <t xml:space="preserve">Укрупненный показатель  п.30.3  </t>
  </si>
  <si>
    <t>Средства, связанные с подготовкой объекта к приемке в эксплуатацию (0.306%)</t>
  </si>
  <si>
    <t>Укрупненный показатель  п.31.1</t>
  </si>
  <si>
    <t>Укрупненный показатель  п.30.10</t>
  </si>
  <si>
    <t>Средства на содержание заказчика, застройщика (инженерной организации), основным видом деятельности которых является строительная деятельность, а также государственных заказчиков в сфере жилищно-коммунального хозяйства</t>
  </si>
  <si>
    <t>Укрупненный показатель  п.31.7</t>
  </si>
  <si>
    <t>Укрупненный показатель  п.31.2</t>
  </si>
  <si>
    <t>Укрупненный показатель  п.31.3</t>
  </si>
  <si>
    <t>Укрупненный показатель  п.31.4</t>
  </si>
  <si>
    <t xml:space="preserve">Средства на осуществление авторского надзора </t>
  </si>
  <si>
    <t>Укрупненный показатель  п.33.1</t>
  </si>
  <si>
    <t>Укрупненный показатель  п.33.2</t>
  </si>
  <si>
    <t>Налоги и отчисления в соответствии с действующим законодательством на дату разработки сметной документации (20%)</t>
  </si>
  <si>
    <t>Возвратные суммы, учитывающие стоимость использования и реализации материалов, изделий и конструкций, полученных от сноса временных зданий и сооружений ( 15%)</t>
  </si>
  <si>
    <t xml:space="preserve">п.34.1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</si>
</sst>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" fontId="7" fillId="0" borderId="12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8" fillId="0" borderId="11" xfId="0" applyNumberFormat="1" applyFont="1" applyBorder="1" applyAlignment="1">
      <alignment horizontal="center" vertical="center" wrapText="1"/>
    </xf>
    <xf numFmtId="4" fontId="9" fillId="0" borderId="12" xfId="0" applyNumberFormat="1" applyFont="1" applyBorder="1" applyAlignment="1">
      <alignment horizontal="center" vertical="center" wrapText="1"/>
    </xf>
    <xf numFmtId="4" fontId="9" fillId="0" borderId="0" xfId="0" applyNumberFormat="1" applyFont="1"/>
    <xf numFmtId="0" fontId="8" fillId="0" borderId="0" xfId="0" applyFont="1"/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NumberFormat="1" applyFont="1" applyBorder="1" applyAlignment="1"/>
    <xf numFmtId="0" fontId="4" fillId="0" borderId="0" xfId="0" applyFont="1" applyBorder="1" applyAlignment="1"/>
    <xf numFmtId="0" fontId="5" fillId="0" borderId="0" xfId="0" applyNumberFormat="1" applyFont="1" applyFill="1" applyBorder="1" applyAlignment="1"/>
    <xf numFmtId="0" fontId="4" fillId="0" borderId="0" xfId="0" applyFont="1" applyFill="1" applyBorder="1" applyAlignment="1"/>
    <xf numFmtId="3" fontId="1" fillId="0" borderId="8" xfId="0" applyNumberFormat="1" applyFont="1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left" vertical="center" wrapText="1"/>
    </xf>
    <xf numFmtId="1" fontId="2" fillId="0" borderId="6" xfId="0" applyNumberFormat="1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left" vertical="center" wrapText="1"/>
    </xf>
    <xf numFmtId="1" fontId="1" fillId="0" borderId="2" xfId="0" applyNumberFormat="1" applyFont="1" applyFill="1" applyBorder="1" applyAlignment="1">
      <alignment horizontal="left"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horizontal="left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left" vertical="center" wrapText="1"/>
    </xf>
    <xf numFmtId="3" fontId="2" fillId="0" borderId="6" xfId="0" applyNumberFormat="1" applyFont="1" applyFill="1" applyBorder="1" applyAlignment="1">
      <alignment horizontal="left" vertical="center" wrapText="1"/>
    </xf>
    <xf numFmtId="3" fontId="2" fillId="0" borderId="5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1" fontId="1" fillId="0" borderId="6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Fill="1" applyBorder="1" applyAlignment="1">
      <alignment horizontal="left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3" fontId="0" fillId="0" borderId="3" xfId="0" applyNumberFormat="1" applyFill="1" applyBorder="1" applyAlignment="1">
      <alignment horizontal="center" vertical="center" wrapText="1"/>
    </xf>
    <xf numFmtId="3" fontId="0" fillId="0" borderId="8" xfId="0" applyNumberForma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36"/>
  <sheetViews>
    <sheetView tabSelected="1" zoomScale="85" zoomScaleNormal="85" workbookViewId="0">
      <pane xSplit="9" ySplit="7" topLeftCell="M107" activePane="bottomRight" state="frozen"/>
      <selection pane="topRight" activeCell="J1" sqref="J1"/>
      <selection pane="bottomLeft" activeCell="A8" sqref="A8"/>
      <selection pane="bottomRight" activeCell="F121" sqref="F121"/>
    </sheetView>
  </sheetViews>
  <sheetFormatPr defaultColWidth="9.109375" defaultRowHeight="13.8" x14ac:dyDescent="0.3"/>
  <cols>
    <col min="1" max="1" width="12.6640625" style="1" customWidth="1"/>
    <col min="2" max="2" width="29.44140625" style="1" customWidth="1"/>
    <col min="3" max="3" width="17.6640625" style="1" customWidth="1"/>
    <col min="4" max="4" width="16.6640625" style="1" customWidth="1"/>
    <col min="5" max="5" width="17.88671875" style="1" customWidth="1"/>
    <col min="6" max="6" width="17.33203125" style="1" bestFit="1" customWidth="1"/>
    <col min="7" max="7" width="14.77734375" style="1" bestFit="1" customWidth="1"/>
    <col min="8" max="8" width="15.109375" style="1" customWidth="1"/>
    <col min="9" max="9" width="16.6640625" style="1" customWidth="1"/>
    <col min="10" max="10" width="9.109375" style="1"/>
    <col min="11" max="11" width="9.44140625" style="1" bestFit="1" customWidth="1"/>
    <col min="12" max="12" width="13.44140625" style="1" customWidth="1"/>
    <col min="13" max="16384" width="9.109375" style="1"/>
  </cols>
  <sheetData>
    <row r="1" spans="1:12" ht="18" x14ac:dyDescent="0.35">
      <c r="A1" s="28" t="s">
        <v>54</v>
      </c>
      <c r="B1" s="29"/>
      <c r="C1" s="29"/>
      <c r="D1" s="29"/>
      <c r="E1" s="29"/>
      <c r="F1" s="29"/>
      <c r="G1" s="29"/>
      <c r="H1" s="29"/>
      <c r="I1" s="29"/>
    </row>
    <row r="2" spans="1:12" ht="18" x14ac:dyDescent="0.35">
      <c r="A2" s="30" t="s">
        <v>55</v>
      </c>
      <c r="B2" s="31"/>
      <c r="C2" s="31"/>
      <c r="D2" s="31"/>
      <c r="E2" s="31"/>
      <c r="F2" s="31"/>
      <c r="G2" s="31"/>
      <c r="H2" s="31"/>
      <c r="I2" s="31"/>
    </row>
    <row r="3" spans="1:12" ht="18" x14ac:dyDescent="0.35">
      <c r="A3" s="32"/>
      <c r="B3" s="33"/>
      <c r="C3" s="33"/>
      <c r="D3" s="33"/>
      <c r="E3" s="33"/>
      <c r="F3" s="33"/>
      <c r="G3" s="33"/>
      <c r="H3" s="33"/>
      <c r="I3" s="33"/>
    </row>
    <row r="4" spans="1:12" x14ac:dyDescent="0.3">
      <c r="A4" s="38" t="s">
        <v>53</v>
      </c>
      <c r="B4" s="38" t="s">
        <v>52</v>
      </c>
      <c r="C4" s="39" t="s">
        <v>51</v>
      </c>
      <c r="D4" s="39"/>
      <c r="E4" s="39"/>
      <c r="F4" s="39"/>
      <c r="G4" s="39"/>
      <c r="H4" s="39"/>
      <c r="I4" s="36" t="s">
        <v>50</v>
      </c>
    </row>
    <row r="5" spans="1:12" ht="27.6" x14ac:dyDescent="0.3">
      <c r="A5" s="38"/>
      <c r="B5" s="38"/>
      <c r="C5" s="38" t="s">
        <v>49</v>
      </c>
      <c r="D5" s="13" t="s">
        <v>48</v>
      </c>
      <c r="E5" s="15" t="s">
        <v>47</v>
      </c>
      <c r="F5" s="15" t="s">
        <v>46</v>
      </c>
      <c r="G5" s="36" t="s">
        <v>45</v>
      </c>
      <c r="H5" s="38" t="s">
        <v>44</v>
      </c>
      <c r="I5" s="37"/>
    </row>
    <row r="6" spans="1:12" ht="47.25" customHeight="1" x14ac:dyDescent="0.3">
      <c r="A6" s="38"/>
      <c r="B6" s="38"/>
      <c r="C6" s="38"/>
      <c r="D6" s="15" t="s">
        <v>43</v>
      </c>
      <c r="E6" s="13" t="s">
        <v>42</v>
      </c>
      <c r="F6" s="13" t="s">
        <v>41</v>
      </c>
      <c r="G6" s="37"/>
      <c r="H6" s="38"/>
      <c r="I6" s="15" t="s">
        <v>40</v>
      </c>
    </row>
    <row r="7" spans="1:12" x14ac:dyDescent="0.3">
      <c r="A7" s="13">
        <v>1</v>
      </c>
      <c r="B7" s="14">
        <v>2</v>
      </c>
      <c r="C7" s="13">
        <v>3</v>
      </c>
      <c r="D7" s="13">
        <v>4</v>
      </c>
      <c r="E7" s="13">
        <v>5</v>
      </c>
      <c r="F7" s="13">
        <v>6</v>
      </c>
      <c r="G7" s="13">
        <v>7</v>
      </c>
      <c r="H7" s="13">
        <v>8</v>
      </c>
      <c r="I7" s="13">
        <v>9</v>
      </c>
    </row>
    <row r="8" spans="1:12" x14ac:dyDescent="0.3">
      <c r="A8" s="40" t="s">
        <v>39</v>
      </c>
      <c r="B8" s="41"/>
      <c r="C8" s="41"/>
      <c r="D8" s="41"/>
      <c r="E8" s="41"/>
      <c r="F8" s="41"/>
      <c r="G8" s="41"/>
      <c r="H8" s="41"/>
      <c r="I8" s="42"/>
    </row>
    <row r="9" spans="1:12" ht="18" customHeight="1" thickBot="1" x14ac:dyDescent="0.35">
      <c r="A9" s="51" t="s">
        <v>65</v>
      </c>
      <c r="B9" s="24" t="s">
        <v>56</v>
      </c>
      <c r="C9" s="63">
        <f>C14*0.02</f>
        <v>42567.46</v>
      </c>
      <c r="D9" s="6">
        <f>D14*0.02</f>
        <v>15779.34</v>
      </c>
      <c r="E9" s="6">
        <f>E14*0.02</f>
        <v>57835.96</v>
      </c>
      <c r="F9" s="6">
        <f>F14*0.02</f>
        <v>27957.88</v>
      </c>
      <c r="G9" s="43">
        <f>G14*0.02</f>
        <v>55989.9</v>
      </c>
      <c r="H9" s="43">
        <f>$H$14*2%</f>
        <v>0</v>
      </c>
      <c r="I9" s="6">
        <f>I14*0.02</f>
        <v>188394.76</v>
      </c>
    </row>
    <row r="10" spans="1:12" ht="20.25" customHeight="1" thickBot="1" x14ac:dyDescent="0.35">
      <c r="A10" s="51"/>
      <c r="B10" s="25"/>
      <c r="C10" s="74"/>
      <c r="D10" s="12">
        <f>D16*0.02</f>
        <v>6796.8600000000006</v>
      </c>
      <c r="E10" s="12">
        <f>E16*0.02</f>
        <v>5658.62</v>
      </c>
      <c r="F10" s="12">
        <f>F16*0.02</f>
        <v>29451.86</v>
      </c>
      <c r="G10" s="26"/>
      <c r="H10" s="26"/>
      <c r="I10" s="12">
        <f>I16*0.02</f>
        <v>7443.68</v>
      </c>
      <c r="L10" s="16">
        <v>394835.68</v>
      </c>
    </row>
    <row r="11" spans="1:12" ht="18.600000000000001" customHeight="1" x14ac:dyDescent="0.3">
      <c r="A11" s="24"/>
      <c r="B11" s="57" t="s">
        <v>38</v>
      </c>
      <c r="C11" s="26">
        <f>C9</f>
        <v>42567.46</v>
      </c>
      <c r="D11" s="12">
        <f>D9</f>
        <v>15779.34</v>
      </c>
      <c r="E11" s="12">
        <f>E9</f>
        <v>57835.96</v>
      </c>
      <c r="F11" s="12">
        <f>F9</f>
        <v>27957.88</v>
      </c>
      <c r="G11" s="26">
        <f>G9</f>
        <v>55989.9</v>
      </c>
      <c r="H11" s="43">
        <f>$H$14*2%</f>
        <v>0</v>
      </c>
      <c r="I11" s="12">
        <f>I9</f>
        <v>188394.76</v>
      </c>
      <c r="L11" s="17"/>
    </row>
    <row r="12" spans="1:12" ht="17.25" customHeight="1" thickBot="1" x14ac:dyDescent="0.35">
      <c r="A12" s="25"/>
      <c r="B12" s="58"/>
      <c r="C12" s="27"/>
      <c r="D12" s="12">
        <f>D10</f>
        <v>6796.8600000000006</v>
      </c>
      <c r="E12" s="12">
        <f>E10</f>
        <v>5658.62</v>
      </c>
      <c r="F12" s="12">
        <f>F10</f>
        <v>29451.86</v>
      </c>
      <c r="G12" s="27"/>
      <c r="H12" s="26"/>
      <c r="I12" s="12">
        <f>I10</f>
        <v>7443.68</v>
      </c>
      <c r="L12" s="18">
        <v>92697.85</v>
      </c>
    </row>
    <row r="13" spans="1:12" ht="17.25" customHeight="1" thickBot="1" x14ac:dyDescent="0.35">
      <c r="A13" s="44" t="s">
        <v>37</v>
      </c>
      <c r="B13" s="45"/>
      <c r="C13" s="45"/>
      <c r="D13" s="45"/>
      <c r="E13" s="45"/>
      <c r="F13" s="45"/>
      <c r="G13" s="45"/>
      <c r="H13" s="45"/>
      <c r="I13" s="46"/>
      <c r="L13" s="18">
        <v>1197212.51</v>
      </c>
    </row>
    <row r="14" spans="1:12" ht="14.4" thickBot="1" x14ac:dyDescent="0.35">
      <c r="A14" s="76" t="s">
        <v>36</v>
      </c>
      <c r="B14" s="24" t="s">
        <v>35</v>
      </c>
      <c r="C14" s="34">
        <v>2128373</v>
      </c>
      <c r="D14" s="34">
        <v>788967</v>
      </c>
      <c r="E14" s="34">
        <v>2891798</v>
      </c>
      <c r="F14" s="34">
        <v>1397894</v>
      </c>
      <c r="G14" s="34">
        <v>2799495</v>
      </c>
      <c r="H14" s="34"/>
      <c r="I14" s="26">
        <v>9419738</v>
      </c>
      <c r="L14" s="18">
        <v>82647.25</v>
      </c>
    </row>
    <row r="15" spans="1:12" ht="7.2" customHeight="1" thickBot="1" x14ac:dyDescent="0.35">
      <c r="A15" s="51"/>
      <c r="B15" s="77"/>
      <c r="C15" s="79"/>
      <c r="D15" s="35"/>
      <c r="E15" s="35"/>
      <c r="F15" s="35"/>
      <c r="G15" s="34"/>
      <c r="H15" s="34"/>
      <c r="I15" s="27"/>
      <c r="L15" s="18">
        <v>242190.74</v>
      </c>
    </row>
    <row r="16" spans="1:12" x14ac:dyDescent="0.3">
      <c r="A16" s="51"/>
      <c r="B16" s="77"/>
      <c r="C16" s="79"/>
      <c r="D16" s="26">
        <v>339843</v>
      </c>
      <c r="E16" s="26">
        <v>282931</v>
      </c>
      <c r="F16" s="26">
        <v>1472593</v>
      </c>
      <c r="G16" s="34"/>
      <c r="H16" s="34"/>
      <c r="I16" s="26">
        <v>372184</v>
      </c>
    </row>
    <row r="17" spans="1:11" ht="5.25" customHeight="1" x14ac:dyDescent="0.3">
      <c r="A17" s="51"/>
      <c r="B17" s="25"/>
      <c r="C17" s="35"/>
      <c r="D17" s="35"/>
      <c r="E17" s="35"/>
      <c r="F17" s="35"/>
      <c r="G17" s="27"/>
      <c r="H17" s="27"/>
      <c r="I17" s="35"/>
    </row>
    <row r="18" spans="1:11" ht="14.4" x14ac:dyDescent="0.3">
      <c r="A18" s="24"/>
      <c r="B18" s="57" t="s">
        <v>34</v>
      </c>
      <c r="C18" s="78">
        <f t="shared" ref="C18:I18" si="0">C14</f>
        <v>2128373</v>
      </c>
      <c r="D18" s="11">
        <f t="shared" si="0"/>
        <v>788967</v>
      </c>
      <c r="E18" s="11">
        <f t="shared" si="0"/>
        <v>2891798</v>
      </c>
      <c r="F18" s="11">
        <f t="shared" si="0"/>
        <v>1397894</v>
      </c>
      <c r="G18" s="26">
        <f t="shared" si="0"/>
        <v>2799495</v>
      </c>
      <c r="H18" s="26">
        <f t="shared" si="0"/>
        <v>0</v>
      </c>
      <c r="I18" s="11">
        <f t="shared" si="0"/>
        <v>9419738</v>
      </c>
    </row>
    <row r="19" spans="1:11" ht="13.2" customHeight="1" x14ac:dyDescent="0.3">
      <c r="A19" s="25"/>
      <c r="B19" s="58"/>
      <c r="C19" s="35"/>
      <c r="D19" s="11">
        <f>D16</f>
        <v>339843</v>
      </c>
      <c r="E19" s="11">
        <f>E16</f>
        <v>282931</v>
      </c>
      <c r="F19" s="11">
        <f>F16</f>
        <v>1472593</v>
      </c>
      <c r="G19" s="27"/>
      <c r="H19" s="27"/>
      <c r="I19" s="11">
        <f>I16</f>
        <v>372184</v>
      </c>
    </row>
    <row r="20" spans="1:11" ht="3" hidden="1" customHeight="1" x14ac:dyDescent="0.3">
      <c r="A20" s="44"/>
      <c r="B20" s="45"/>
      <c r="C20" s="45"/>
      <c r="D20" s="45"/>
      <c r="E20" s="45"/>
      <c r="F20" s="45"/>
      <c r="G20" s="45"/>
      <c r="H20" s="45"/>
      <c r="I20" s="46"/>
    </row>
    <row r="21" spans="1:11" ht="19.8" hidden="1" customHeight="1" x14ac:dyDescent="0.3">
      <c r="A21" s="51"/>
      <c r="B21" s="24"/>
      <c r="C21" s="80"/>
      <c r="D21" s="10"/>
      <c r="E21" s="10"/>
      <c r="F21" s="10"/>
      <c r="G21" s="27"/>
      <c r="H21" s="27"/>
      <c r="I21" s="10"/>
    </row>
    <row r="22" spans="1:11" ht="26.4" hidden="1" customHeight="1" x14ac:dyDescent="0.3">
      <c r="A22" s="51"/>
      <c r="B22" s="25"/>
      <c r="C22" s="63"/>
      <c r="D22" s="6"/>
      <c r="E22" s="6"/>
      <c r="F22" s="6"/>
      <c r="G22" s="43"/>
      <c r="H22" s="43"/>
      <c r="I22" s="6"/>
      <c r="K22" s="9"/>
    </row>
    <row r="23" spans="1:11" ht="18" hidden="1" customHeight="1" x14ac:dyDescent="0.3">
      <c r="A23" s="24"/>
      <c r="B23" s="57"/>
      <c r="C23" s="26"/>
      <c r="D23" s="6"/>
      <c r="E23" s="6"/>
      <c r="F23" s="6"/>
      <c r="G23" s="26"/>
      <c r="H23" s="27"/>
      <c r="I23" s="6"/>
      <c r="K23" s="9"/>
    </row>
    <row r="24" spans="1:11" ht="18" hidden="1" customHeight="1" x14ac:dyDescent="0.3">
      <c r="A24" s="25"/>
      <c r="B24" s="48"/>
      <c r="C24" s="27"/>
      <c r="D24" s="6"/>
      <c r="E24" s="6"/>
      <c r="F24" s="6"/>
      <c r="G24" s="27"/>
      <c r="H24" s="43"/>
      <c r="I24" s="6"/>
      <c r="K24" s="9"/>
    </row>
    <row r="25" spans="1:11" ht="18" customHeight="1" x14ac:dyDescent="0.3">
      <c r="A25" s="44" t="s">
        <v>33</v>
      </c>
      <c r="B25" s="45"/>
      <c r="C25" s="45"/>
      <c r="D25" s="45"/>
      <c r="E25" s="45"/>
      <c r="F25" s="45"/>
      <c r="G25" s="45"/>
      <c r="H25" s="45"/>
      <c r="I25" s="46"/>
      <c r="K25" s="9"/>
    </row>
    <row r="26" spans="1:11" ht="18" customHeight="1" x14ac:dyDescent="0.3">
      <c r="A26" s="51" t="s">
        <v>3</v>
      </c>
      <c r="B26" s="24" t="s">
        <v>57</v>
      </c>
      <c r="C26" s="63">
        <f>C14*0.1</f>
        <v>212837.30000000002</v>
      </c>
      <c r="D26" s="6">
        <f>D14*0.1</f>
        <v>78896.700000000012</v>
      </c>
      <c r="E26" s="6">
        <f>E14*0.1</f>
        <v>289179.8</v>
      </c>
      <c r="F26" s="6">
        <f>F14*0.1</f>
        <v>139789.4</v>
      </c>
      <c r="G26" s="43">
        <f>G14*0.1</f>
        <v>279949.5</v>
      </c>
      <c r="H26" s="43">
        <f>$H$14*10%</f>
        <v>0</v>
      </c>
      <c r="I26" s="6">
        <f>I14*0.1</f>
        <v>941973.8</v>
      </c>
    </row>
    <row r="27" spans="1:11" ht="22.8" customHeight="1" x14ac:dyDescent="0.3">
      <c r="A27" s="51"/>
      <c r="B27" s="25"/>
      <c r="C27" s="63"/>
      <c r="D27" s="6">
        <f>D16*0.1</f>
        <v>33984.300000000003</v>
      </c>
      <c r="E27" s="6">
        <f>E16*0.1</f>
        <v>28293.100000000002</v>
      </c>
      <c r="F27" s="6">
        <f>F16*0.1</f>
        <v>147259.30000000002</v>
      </c>
      <c r="G27" s="43"/>
      <c r="H27" s="43"/>
      <c r="I27" s="6">
        <f>I16*0.1</f>
        <v>37218.400000000001</v>
      </c>
    </row>
    <row r="28" spans="1:11" ht="18.600000000000001" customHeight="1" x14ac:dyDescent="0.3">
      <c r="A28" s="24"/>
      <c r="B28" s="57" t="s">
        <v>32</v>
      </c>
      <c r="C28" s="26">
        <f>C26</f>
        <v>212837.30000000002</v>
      </c>
      <c r="D28" s="6">
        <f>D26</f>
        <v>78896.700000000012</v>
      </c>
      <c r="E28" s="6">
        <f>E26</f>
        <v>289179.8</v>
      </c>
      <c r="F28" s="6">
        <f>F26</f>
        <v>139789.4</v>
      </c>
      <c r="G28" s="26">
        <f>G26</f>
        <v>279949.5</v>
      </c>
      <c r="H28" s="43">
        <f>$H$14*10%</f>
        <v>0</v>
      </c>
      <c r="I28" s="6">
        <f>I26</f>
        <v>941973.8</v>
      </c>
    </row>
    <row r="29" spans="1:11" ht="16.8" customHeight="1" x14ac:dyDescent="0.3">
      <c r="A29" s="25"/>
      <c r="B29" s="58"/>
      <c r="C29" s="27"/>
      <c r="D29" s="6">
        <f>D27</f>
        <v>33984.300000000003</v>
      </c>
      <c r="E29" s="6">
        <f>E27</f>
        <v>28293.100000000002</v>
      </c>
      <c r="F29" s="6">
        <f>F27</f>
        <v>147259.30000000002</v>
      </c>
      <c r="G29" s="27"/>
      <c r="H29" s="43"/>
      <c r="I29" s="6">
        <f>I27</f>
        <v>37218.400000000001</v>
      </c>
    </row>
    <row r="30" spans="1:11" ht="16.8" customHeight="1" x14ac:dyDescent="0.3">
      <c r="A30" s="44" t="s">
        <v>31</v>
      </c>
      <c r="B30" s="45"/>
      <c r="C30" s="45"/>
      <c r="D30" s="45"/>
      <c r="E30" s="45"/>
      <c r="F30" s="45"/>
      <c r="G30" s="45"/>
      <c r="H30" s="45"/>
      <c r="I30" s="46"/>
    </row>
    <row r="31" spans="1:11" ht="19.8" customHeight="1" x14ac:dyDescent="0.3">
      <c r="A31" s="51" t="s">
        <v>3</v>
      </c>
      <c r="B31" s="24" t="s">
        <v>58</v>
      </c>
      <c r="C31" s="63">
        <f>C14*0.07</f>
        <v>148986.11000000002</v>
      </c>
      <c r="D31" s="6">
        <f>D14*0.07</f>
        <v>55227.69</v>
      </c>
      <c r="E31" s="6">
        <f>E14*0.07</f>
        <v>202425.86000000002</v>
      </c>
      <c r="F31" s="6">
        <f>F14*0.07</f>
        <v>97852.580000000016</v>
      </c>
      <c r="G31" s="43">
        <f>G14*0.07</f>
        <v>195964.65000000002</v>
      </c>
      <c r="H31" s="43">
        <f>7%*$H$14</f>
        <v>0</v>
      </c>
      <c r="I31" s="6">
        <f>I14*0.07</f>
        <v>659381.66</v>
      </c>
    </row>
    <row r="32" spans="1:11" ht="42" customHeight="1" x14ac:dyDescent="0.3">
      <c r="A32" s="51"/>
      <c r="B32" s="25"/>
      <c r="C32" s="63"/>
      <c r="D32" s="6">
        <f>D16*0.07</f>
        <v>23789.010000000002</v>
      </c>
      <c r="E32" s="6">
        <f>E16*0.07</f>
        <v>19805.170000000002</v>
      </c>
      <c r="F32" s="6">
        <f>F16*0.07</f>
        <v>103081.51000000001</v>
      </c>
      <c r="G32" s="43"/>
      <c r="H32" s="43"/>
      <c r="I32" s="6">
        <f>I16*0.07</f>
        <v>26052.880000000001</v>
      </c>
    </row>
    <row r="33" spans="1:13" ht="18.600000000000001" customHeight="1" x14ac:dyDescent="0.3">
      <c r="A33" s="24"/>
      <c r="B33" s="57" t="s">
        <v>30</v>
      </c>
      <c r="C33" s="26">
        <f>C31</f>
        <v>148986.11000000002</v>
      </c>
      <c r="D33" s="6">
        <f>D31</f>
        <v>55227.69</v>
      </c>
      <c r="E33" s="6">
        <f>E31</f>
        <v>202425.86000000002</v>
      </c>
      <c r="F33" s="6">
        <f>F31</f>
        <v>97852.580000000016</v>
      </c>
      <c r="G33" s="26">
        <f>G31</f>
        <v>195964.65000000002</v>
      </c>
      <c r="H33" s="43">
        <f>7%*$H$14</f>
        <v>0</v>
      </c>
      <c r="I33" s="6">
        <f>I31</f>
        <v>659381.66</v>
      </c>
    </row>
    <row r="34" spans="1:13" ht="16.2" customHeight="1" x14ac:dyDescent="0.3">
      <c r="A34" s="25"/>
      <c r="B34" s="58"/>
      <c r="C34" s="27"/>
      <c r="D34" s="6">
        <f>D32</f>
        <v>23789.010000000002</v>
      </c>
      <c r="E34" s="6">
        <f>E32</f>
        <v>19805.170000000002</v>
      </c>
      <c r="F34" s="6">
        <f>F32</f>
        <v>103081.51000000001</v>
      </c>
      <c r="G34" s="27"/>
      <c r="H34" s="43"/>
      <c r="I34" s="6">
        <f>I32</f>
        <v>26052.880000000001</v>
      </c>
    </row>
    <row r="35" spans="1:13" ht="28.8" hidden="1" customHeight="1" x14ac:dyDescent="0.3">
      <c r="A35" s="44"/>
      <c r="B35" s="45"/>
      <c r="C35" s="45"/>
      <c r="D35" s="45"/>
      <c r="E35" s="45"/>
      <c r="F35" s="45"/>
      <c r="G35" s="45"/>
      <c r="H35" s="45"/>
      <c r="I35" s="46"/>
    </row>
    <row r="36" spans="1:13" ht="18" hidden="1" customHeight="1" x14ac:dyDescent="0.3">
      <c r="A36" s="51"/>
      <c r="B36" s="24"/>
      <c r="C36" s="63"/>
      <c r="D36" s="6"/>
      <c r="E36" s="6"/>
      <c r="F36" s="6"/>
      <c r="G36" s="43"/>
      <c r="H36" s="43"/>
      <c r="I36" s="6"/>
    </row>
    <row r="37" spans="1:13" ht="21" hidden="1" customHeight="1" x14ac:dyDescent="0.3">
      <c r="A37" s="51"/>
      <c r="B37" s="25"/>
      <c r="C37" s="63"/>
      <c r="D37" s="6"/>
      <c r="E37" s="6"/>
      <c r="F37" s="6"/>
      <c r="G37" s="43"/>
      <c r="H37" s="43"/>
      <c r="I37" s="6"/>
    </row>
    <row r="38" spans="1:13" ht="18" hidden="1" customHeight="1" x14ac:dyDescent="0.3">
      <c r="A38" s="24"/>
      <c r="B38" s="57"/>
      <c r="C38" s="26"/>
      <c r="D38" s="6"/>
      <c r="E38" s="6"/>
      <c r="F38" s="6"/>
      <c r="G38" s="26"/>
      <c r="H38" s="43"/>
      <c r="I38" s="6"/>
    </row>
    <row r="39" spans="1:13" ht="18" hidden="1" customHeight="1" x14ac:dyDescent="0.3">
      <c r="A39" s="25"/>
      <c r="B39" s="58"/>
      <c r="C39" s="27"/>
      <c r="D39" s="6"/>
      <c r="E39" s="6"/>
      <c r="F39" s="6"/>
      <c r="G39" s="27"/>
      <c r="H39" s="43"/>
      <c r="I39" s="6"/>
    </row>
    <row r="40" spans="1:13" ht="18" customHeight="1" x14ac:dyDescent="0.3">
      <c r="A40" s="44" t="s">
        <v>29</v>
      </c>
      <c r="B40" s="45"/>
      <c r="C40" s="45"/>
      <c r="D40" s="45"/>
      <c r="E40" s="45"/>
      <c r="F40" s="45"/>
      <c r="G40" s="45"/>
      <c r="H40" s="45"/>
      <c r="I40" s="46"/>
    </row>
    <row r="41" spans="1:13" ht="16.5" customHeight="1" x14ac:dyDescent="0.3">
      <c r="A41" s="51" t="s">
        <v>3</v>
      </c>
      <c r="B41" s="24" t="s">
        <v>66</v>
      </c>
      <c r="C41" s="63">
        <f>C14*0.02</f>
        <v>42567.46</v>
      </c>
      <c r="D41" s="6">
        <f>D14*0.02</f>
        <v>15779.34</v>
      </c>
      <c r="E41" s="6">
        <f>E14*0.02</f>
        <v>57835.96</v>
      </c>
      <c r="F41" s="6">
        <f>F14*0.02</f>
        <v>27957.88</v>
      </c>
      <c r="G41" s="43">
        <f>G14*0.02</f>
        <v>55989.9</v>
      </c>
      <c r="H41" s="43">
        <f>H9</f>
        <v>0</v>
      </c>
      <c r="I41" s="6">
        <f>I14*0.02</f>
        <v>188394.76</v>
      </c>
      <c r="M41" s="2"/>
    </row>
    <row r="42" spans="1:13" ht="125.4" customHeight="1" x14ac:dyDescent="0.3">
      <c r="A42" s="51"/>
      <c r="B42" s="25"/>
      <c r="C42" s="63"/>
      <c r="D42" s="6">
        <f>D16*0.02</f>
        <v>6796.8600000000006</v>
      </c>
      <c r="E42" s="6">
        <f>E16*0.02</f>
        <v>5658.62</v>
      </c>
      <c r="F42" s="6">
        <f>F16*0.02</f>
        <v>29451.86</v>
      </c>
      <c r="G42" s="43"/>
      <c r="H42" s="43"/>
      <c r="I42" s="6">
        <f>I16*0.02</f>
        <v>7443.68</v>
      </c>
    </row>
    <row r="43" spans="1:13" ht="18" customHeight="1" x14ac:dyDescent="0.3">
      <c r="A43" s="24"/>
      <c r="B43" s="57" t="s">
        <v>28</v>
      </c>
      <c r="C43" s="26">
        <f>C41</f>
        <v>42567.46</v>
      </c>
      <c r="D43" s="6">
        <f>D41</f>
        <v>15779.34</v>
      </c>
      <c r="E43" s="6">
        <f>E41</f>
        <v>57835.96</v>
      </c>
      <c r="F43" s="6">
        <f>F41</f>
        <v>27957.88</v>
      </c>
      <c r="G43" s="26">
        <f>G41</f>
        <v>55989.9</v>
      </c>
      <c r="H43" s="43">
        <f>H11</f>
        <v>0</v>
      </c>
      <c r="I43" s="6">
        <f>I41</f>
        <v>188394.76</v>
      </c>
    </row>
    <row r="44" spans="1:13" ht="16.5" customHeight="1" x14ac:dyDescent="0.3">
      <c r="A44" s="25"/>
      <c r="B44" s="58"/>
      <c r="C44" s="27"/>
      <c r="D44" s="6">
        <f>D42</f>
        <v>6796.8600000000006</v>
      </c>
      <c r="E44" s="6">
        <f>E42</f>
        <v>5658.62</v>
      </c>
      <c r="F44" s="6">
        <f>F42</f>
        <v>29451.86</v>
      </c>
      <c r="G44" s="27"/>
      <c r="H44" s="43"/>
      <c r="I44" s="6">
        <f>I42</f>
        <v>7443.68</v>
      </c>
    </row>
    <row r="45" spans="1:13" x14ac:dyDescent="0.3">
      <c r="A45" s="56"/>
      <c r="B45" s="47" t="s">
        <v>27</v>
      </c>
      <c r="C45" s="50">
        <f>C11+C18+C23+C28+C33+C38+C43</f>
        <v>2575331.3299999996</v>
      </c>
      <c r="D45" s="5">
        <f>D11+D18+D23+D28+D33+D38+D43</f>
        <v>954650.07</v>
      </c>
      <c r="E45" s="5">
        <f>E11+E18+E23+E28+E33+E38+E43</f>
        <v>3499075.5799999996</v>
      </c>
      <c r="F45" s="5">
        <f>F11+F18+F23+F28+F33+F38+F43</f>
        <v>1691451.7399999998</v>
      </c>
      <c r="G45" s="50">
        <f>G11+G18+G23+G28+G33+G38+G43</f>
        <v>3387388.9499999997</v>
      </c>
      <c r="H45" s="50">
        <f>SUM(H43,H38,H33,H28,H23,H18,H11)</f>
        <v>0</v>
      </c>
      <c r="I45" s="5">
        <f>I11+I18+I23+I28+I33+I38+I43</f>
        <v>11397882.98</v>
      </c>
    </row>
    <row r="46" spans="1:13" x14ac:dyDescent="0.3">
      <c r="A46" s="56"/>
      <c r="B46" s="48"/>
      <c r="C46" s="50"/>
      <c r="D46" s="5">
        <f>D12+D19+D24+D29+D34+D39+D44</f>
        <v>411210.02999999997</v>
      </c>
      <c r="E46" s="5">
        <f>E12+E19+E24+E29+E34+E39+E44</f>
        <v>342346.50999999995</v>
      </c>
      <c r="F46" s="5">
        <f>F12+F19+F24+F29+F34+F39+F44</f>
        <v>1781837.5300000003</v>
      </c>
      <c r="G46" s="50"/>
      <c r="H46" s="50"/>
      <c r="I46" s="5">
        <f>I12+I19+I24+I29+I34+I39+I44</f>
        <v>450342.64</v>
      </c>
    </row>
    <row r="47" spans="1:13" x14ac:dyDescent="0.3">
      <c r="A47" s="44" t="s">
        <v>26</v>
      </c>
      <c r="B47" s="45"/>
      <c r="C47" s="45"/>
      <c r="D47" s="45"/>
      <c r="E47" s="45"/>
      <c r="F47" s="45"/>
      <c r="G47" s="45"/>
      <c r="H47" s="45"/>
      <c r="I47" s="46"/>
    </row>
    <row r="48" spans="1:13" ht="17.25" customHeight="1" x14ac:dyDescent="0.3">
      <c r="A48" s="24" t="s">
        <v>59</v>
      </c>
      <c r="B48" s="24" t="s">
        <v>25</v>
      </c>
      <c r="C48" s="43">
        <f>I48*0.134</f>
        <v>64831.839842879999</v>
      </c>
      <c r="D48" s="6">
        <f>I48*0.479</f>
        <v>231749.63645327996</v>
      </c>
      <c r="E48" s="6">
        <f>I48*0.144</f>
        <v>69670.03684607998</v>
      </c>
      <c r="F48" s="6" t="s">
        <v>1</v>
      </c>
      <c r="G48" s="43" t="s">
        <v>1</v>
      </c>
      <c r="H48" s="43" t="s">
        <v>1</v>
      </c>
      <c r="I48" s="6">
        <f>(C45+D46)*0.162</f>
        <v>483819.70031999995</v>
      </c>
    </row>
    <row r="49" spans="1:9" ht="15.75" customHeight="1" x14ac:dyDescent="0.3">
      <c r="A49" s="25"/>
      <c r="B49" s="25"/>
      <c r="C49" s="43"/>
      <c r="D49" s="6">
        <f>D48*0.2</f>
        <v>46349.927290655993</v>
      </c>
      <c r="E49" s="6">
        <f>E48*0.17</f>
        <v>11843.906263833598</v>
      </c>
      <c r="F49" s="6" t="s">
        <v>1</v>
      </c>
      <c r="G49" s="43"/>
      <c r="H49" s="43"/>
      <c r="I49" s="6">
        <f>I46*0.162</f>
        <v>72955.50768000001</v>
      </c>
    </row>
    <row r="50" spans="1:9" ht="15.75" customHeight="1" x14ac:dyDescent="0.3">
      <c r="A50" s="24"/>
      <c r="B50" s="24" t="s">
        <v>24</v>
      </c>
      <c r="C50" s="26" t="s">
        <v>1</v>
      </c>
      <c r="D50" s="6" t="s">
        <v>1</v>
      </c>
      <c r="E50" s="6">
        <f>0.15*E48</f>
        <v>10450.505526911997</v>
      </c>
      <c r="F50" s="6" t="s">
        <v>1</v>
      </c>
      <c r="G50" s="26" t="s">
        <v>1</v>
      </c>
      <c r="H50" s="26" t="s">
        <v>1</v>
      </c>
      <c r="I50" s="6">
        <f>E50</f>
        <v>10450.505526911997</v>
      </c>
    </row>
    <row r="51" spans="1:9" ht="15.75" customHeight="1" x14ac:dyDescent="0.3">
      <c r="A51" s="25"/>
      <c r="B51" s="25"/>
      <c r="C51" s="27"/>
      <c r="D51" s="6" t="s">
        <v>1</v>
      </c>
      <c r="E51" s="6" t="s">
        <v>1</v>
      </c>
      <c r="F51" s="6" t="s">
        <v>1</v>
      </c>
      <c r="G51" s="27"/>
      <c r="H51" s="27"/>
      <c r="I51" s="6" t="s">
        <v>1</v>
      </c>
    </row>
    <row r="52" spans="1:9" x14ac:dyDescent="0.3">
      <c r="A52" s="75"/>
      <c r="B52" s="57" t="s">
        <v>23</v>
      </c>
      <c r="C52" s="43">
        <f>C48</f>
        <v>64831.839842879999</v>
      </c>
      <c r="D52" s="6">
        <f>D48</f>
        <v>231749.63645327996</v>
      </c>
      <c r="E52" s="6">
        <f>E48+E50</f>
        <v>80120.542372991971</v>
      </c>
      <c r="F52" s="6" t="s">
        <v>1</v>
      </c>
      <c r="G52" s="43" t="s">
        <v>1</v>
      </c>
      <c r="H52" s="43" t="s">
        <v>1</v>
      </c>
      <c r="I52" s="6">
        <f>I48+I50</f>
        <v>494270.20584691194</v>
      </c>
    </row>
    <row r="53" spans="1:9" x14ac:dyDescent="0.3">
      <c r="A53" s="75"/>
      <c r="B53" s="58"/>
      <c r="C53" s="43"/>
      <c r="D53" s="6">
        <f>D49</f>
        <v>46349.927290655993</v>
      </c>
      <c r="E53" s="6">
        <f>E49</f>
        <v>11843.906263833598</v>
      </c>
      <c r="F53" s="6" t="s">
        <v>1</v>
      </c>
      <c r="G53" s="43"/>
      <c r="H53" s="43"/>
      <c r="I53" s="6">
        <f>I49</f>
        <v>72955.50768000001</v>
      </c>
    </row>
    <row r="54" spans="1:9" x14ac:dyDescent="0.3">
      <c r="A54" s="70"/>
      <c r="B54" s="47" t="s">
        <v>22</v>
      </c>
      <c r="C54" s="72">
        <f>C45+C52</f>
        <v>2640163.1698428798</v>
      </c>
      <c r="D54" s="5">
        <f>D45+D52</f>
        <v>1186399.7064532798</v>
      </c>
      <c r="E54" s="5">
        <f>E45+E52</f>
        <v>3579196.1223729914</v>
      </c>
      <c r="F54" s="5">
        <f>F45</f>
        <v>1691451.7399999998</v>
      </c>
      <c r="G54" s="72">
        <f>G45</f>
        <v>3387388.9499999997</v>
      </c>
      <c r="H54" s="72"/>
      <c r="I54" s="5">
        <f>I45+I52</f>
        <v>11892153.185846912</v>
      </c>
    </row>
    <row r="55" spans="1:9" x14ac:dyDescent="0.3">
      <c r="A55" s="71"/>
      <c r="B55" s="58"/>
      <c r="C55" s="73"/>
      <c r="D55" s="5">
        <f>D46+D53</f>
        <v>457559.95729065593</v>
      </c>
      <c r="E55" s="5">
        <f>E46+E53</f>
        <v>354190.41626383353</v>
      </c>
      <c r="F55" s="5">
        <f>F46</f>
        <v>1781837.5300000003</v>
      </c>
      <c r="G55" s="73"/>
      <c r="H55" s="73"/>
      <c r="I55" s="5">
        <f>I46+I53</f>
        <v>523298.14768000005</v>
      </c>
    </row>
    <row r="56" spans="1:9" x14ac:dyDescent="0.3">
      <c r="A56" s="44" t="s">
        <v>21</v>
      </c>
      <c r="B56" s="67"/>
      <c r="C56" s="68"/>
      <c r="D56" s="68"/>
      <c r="E56" s="68"/>
      <c r="F56" s="68"/>
      <c r="G56" s="68"/>
      <c r="H56" s="68"/>
      <c r="I56" s="69"/>
    </row>
    <row r="57" spans="1:9" ht="23.25" customHeight="1" x14ac:dyDescent="0.3">
      <c r="A57" s="43" t="s">
        <v>67</v>
      </c>
      <c r="B57" s="26" t="s">
        <v>20</v>
      </c>
      <c r="C57" s="43">
        <f>I57*0.213</f>
        <v>44911.01166340799</v>
      </c>
      <c r="D57" s="6">
        <f>I57*0.485</f>
        <v>102262.16270775997</v>
      </c>
      <c r="E57" s="6">
        <f>I57*0.302</f>
        <v>63676.645644831988</v>
      </c>
      <c r="F57" s="6" t="s">
        <v>1</v>
      </c>
      <c r="G57" s="43" t="s">
        <v>1</v>
      </c>
      <c r="H57" s="43" t="s">
        <v>1</v>
      </c>
      <c r="I57" s="6">
        <f>(C45+D46)*0.0706</f>
        <v>210849.82001599995</v>
      </c>
    </row>
    <row r="58" spans="1:9" ht="38.4" customHeight="1" x14ac:dyDescent="0.3">
      <c r="A58" s="43"/>
      <c r="B58" s="27"/>
      <c r="C58" s="43"/>
      <c r="D58" s="6">
        <f>D57*0.133</f>
        <v>13600.867640132077</v>
      </c>
      <c r="E58" s="6" t="s">
        <v>1</v>
      </c>
      <c r="F58" s="6" t="s">
        <v>1</v>
      </c>
      <c r="G58" s="43"/>
      <c r="H58" s="43"/>
      <c r="I58" s="6">
        <f>I46*0.031</f>
        <v>13960.62184</v>
      </c>
    </row>
    <row r="59" spans="1:9" ht="19.8" hidden="1" customHeight="1" x14ac:dyDescent="0.3">
      <c r="A59" s="26"/>
      <c r="B59" s="26"/>
      <c r="C59" s="26"/>
      <c r="D59" s="6"/>
      <c r="E59" s="6"/>
      <c r="F59" s="6"/>
      <c r="G59" s="26"/>
      <c r="H59" s="26"/>
      <c r="I59" s="6"/>
    </row>
    <row r="60" spans="1:9" hidden="1" x14ac:dyDescent="0.3">
      <c r="A60" s="27"/>
      <c r="B60" s="27"/>
      <c r="C60" s="27"/>
      <c r="D60" s="6"/>
      <c r="E60" s="6"/>
      <c r="F60" s="6"/>
      <c r="G60" s="27"/>
      <c r="H60" s="27"/>
      <c r="I60" s="6"/>
    </row>
    <row r="61" spans="1:9" ht="18.75" customHeight="1" x14ac:dyDescent="0.3">
      <c r="A61" s="43" t="s">
        <v>3</v>
      </c>
      <c r="B61" s="43" t="s">
        <v>60</v>
      </c>
      <c r="C61" s="43" t="s">
        <v>1</v>
      </c>
      <c r="D61" s="6" t="s">
        <v>1</v>
      </c>
      <c r="E61" s="6" t="s">
        <v>1</v>
      </c>
      <c r="F61" s="6" t="s">
        <v>1</v>
      </c>
      <c r="G61" s="43" t="s">
        <v>1</v>
      </c>
      <c r="H61" s="43">
        <f>I61</f>
        <v>1015424.0623999998</v>
      </c>
      <c r="I61" s="6">
        <f>(C45+D46+I59)*0.34</f>
        <v>1015424.0623999998</v>
      </c>
    </row>
    <row r="62" spans="1:9" x14ac:dyDescent="0.3">
      <c r="A62" s="43"/>
      <c r="B62" s="43"/>
      <c r="C62" s="43"/>
      <c r="D62" s="43" t="str">
        <f>D61</f>
        <v>-</v>
      </c>
      <c r="E62" s="43" t="s">
        <v>1</v>
      </c>
      <c r="F62" s="43" t="s">
        <v>1</v>
      </c>
      <c r="G62" s="43"/>
      <c r="H62" s="43"/>
      <c r="I62" s="43" t="s">
        <v>1</v>
      </c>
    </row>
    <row r="63" spans="1:9" ht="12.6" customHeight="1" x14ac:dyDescent="0.3">
      <c r="A63" s="43"/>
      <c r="B63" s="43"/>
      <c r="C63" s="43"/>
      <c r="D63" s="43"/>
      <c r="E63" s="43"/>
      <c r="F63" s="43"/>
      <c r="G63" s="43"/>
      <c r="H63" s="43"/>
      <c r="I63" s="43"/>
    </row>
    <row r="64" spans="1:9" ht="53.25" customHeight="1" x14ac:dyDescent="0.3">
      <c r="A64" s="43" t="s">
        <v>68</v>
      </c>
      <c r="B64" s="43" t="s">
        <v>61</v>
      </c>
      <c r="C64" s="43" t="s">
        <v>1</v>
      </c>
      <c r="D64" s="6" t="s">
        <v>1</v>
      </c>
      <c r="E64" s="6" t="s">
        <v>1</v>
      </c>
      <c r="F64" s="6" t="s">
        <v>1</v>
      </c>
      <c r="G64" s="43" t="s">
        <v>1</v>
      </c>
      <c r="H64" s="43">
        <f>I64</f>
        <v>289694.51191999996</v>
      </c>
      <c r="I64" s="6">
        <f>0.097*(C45+D46)</f>
        <v>289694.51191999996</v>
      </c>
    </row>
    <row r="65" spans="1:9" x14ac:dyDescent="0.3">
      <c r="A65" s="43"/>
      <c r="B65" s="43"/>
      <c r="C65" s="43"/>
      <c r="D65" s="43" t="str">
        <f>D64</f>
        <v>-</v>
      </c>
      <c r="E65" s="43" t="s">
        <v>1</v>
      </c>
      <c r="F65" s="43" t="s">
        <v>1</v>
      </c>
      <c r="G65" s="43"/>
      <c r="H65" s="43"/>
      <c r="I65" s="43" t="s">
        <v>1</v>
      </c>
    </row>
    <row r="66" spans="1:9" ht="116.25" customHeight="1" x14ac:dyDescent="0.3">
      <c r="A66" s="43"/>
      <c r="B66" s="43"/>
      <c r="C66" s="43"/>
      <c r="D66" s="43"/>
      <c r="E66" s="43"/>
      <c r="F66" s="43"/>
      <c r="G66" s="43"/>
      <c r="H66" s="43"/>
      <c r="I66" s="43"/>
    </row>
    <row r="67" spans="1:9" ht="21.6" hidden="1" customHeight="1" x14ac:dyDescent="0.3">
      <c r="A67" s="26" t="s">
        <v>3</v>
      </c>
      <c r="B67" s="26" t="s">
        <v>19</v>
      </c>
      <c r="C67" s="26" t="s">
        <v>1</v>
      </c>
      <c r="D67" s="6" t="s">
        <v>1</v>
      </c>
      <c r="E67" s="6" t="s">
        <v>1</v>
      </c>
      <c r="F67" s="6" t="s">
        <v>1</v>
      </c>
      <c r="G67" s="26" t="s">
        <v>1</v>
      </c>
      <c r="H67" s="26" t="s">
        <v>1</v>
      </c>
      <c r="I67" s="6" t="s">
        <v>1</v>
      </c>
    </row>
    <row r="68" spans="1:9" ht="22.2" hidden="1" customHeight="1" x14ac:dyDescent="0.3">
      <c r="A68" s="27"/>
      <c r="B68" s="27"/>
      <c r="C68" s="27"/>
      <c r="D68" s="6" t="s">
        <v>1</v>
      </c>
      <c r="E68" s="6" t="s">
        <v>1</v>
      </c>
      <c r="F68" s="6" t="s">
        <v>1</v>
      </c>
      <c r="G68" s="27"/>
      <c r="H68" s="27"/>
      <c r="I68" s="6" t="s">
        <v>1</v>
      </c>
    </row>
    <row r="69" spans="1:9" ht="21" customHeight="1" x14ac:dyDescent="0.3">
      <c r="A69" s="43" t="s">
        <v>71</v>
      </c>
      <c r="B69" s="43" t="s">
        <v>69</v>
      </c>
      <c r="C69" s="43" t="s">
        <v>1</v>
      </c>
      <c r="D69" s="6" t="s">
        <v>1</v>
      </c>
      <c r="E69" s="6" t="s">
        <v>1</v>
      </c>
      <c r="F69" s="6" t="s">
        <v>1</v>
      </c>
      <c r="G69" s="43" t="s">
        <v>1</v>
      </c>
      <c r="H69" s="43">
        <f>I69</f>
        <v>33289.887702127598</v>
      </c>
      <c r="I69" s="6">
        <f>(C54+D54+E54+F54+F55)*0.00306</f>
        <v>33289.887702127598</v>
      </c>
    </row>
    <row r="70" spans="1:9" ht="19.2" customHeight="1" x14ac:dyDescent="0.3">
      <c r="A70" s="43"/>
      <c r="B70" s="43"/>
      <c r="C70" s="43"/>
      <c r="D70" s="6" t="str">
        <f>D69</f>
        <v>-</v>
      </c>
      <c r="E70" s="6" t="s">
        <v>1</v>
      </c>
      <c r="F70" s="6" t="s">
        <v>1</v>
      </c>
      <c r="G70" s="43"/>
      <c r="H70" s="43"/>
      <c r="I70" s="6" t="s">
        <v>1</v>
      </c>
    </row>
    <row r="71" spans="1:9" ht="2.4" hidden="1" customHeight="1" x14ac:dyDescent="0.3">
      <c r="A71" s="43" t="s">
        <v>3</v>
      </c>
      <c r="B71" s="43" t="s">
        <v>18</v>
      </c>
      <c r="C71" s="43" t="s">
        <v>1</v>
      </c>
      <c r="D71" s="6" t="s">
        <v>1</v>
      </c>
      <c r="E71" s="6" t="s">
        <v>1</v>
      </c>
      <c r="F71" s="6" t="s">
        <v>1</v>
      </c>
      <c r="G71" s="43" t="s">
        <v>1</v>
      </c>
      <c r="H71" s="43" t="s">
        <v>1</v>
      </c>
      <c r="I71" s="6" t="s">
        <v>1</v>
      </c>
    </row>
    <row r="72" spans="1:9" ht="24.6" hidden="1" customHeight="1" x14ac:dyDescent="0.3">
      <c r="A72" s="43"/>
      <c r="B72" s="43"/>
      <c r="C72" s="43"/>
      <c r="D72" s="6" t="str">
        <f>D71</f>
        <v>-</v>
      </c>
      <c r="E72" s="6" t="s">
        <v>1</v>
      </c>
      <c r="F72" s="6" t="s">
        <v>1</v>
      </c>
      <c r="G72" s="43"/>
      <c r="H72" s="43"/>
      <c r="I72" s="6" t="s">
        <v>1</v>
      </c>
    </row>
    <row r="73" spans="1:9" ht="16.2" hidden="1" customHeight="1" x14ac:dyDescent="0.3">
      <c r="A73" s="43" t="s">
        <v>3</v>
      </c>
      <c r="B73" s="43" t="s">
        <v>17</v>
      </c>
      <c r="C73" s="43" t="s">
        <v>1</v>
      </c>
      <c r="D73" s="6" t="s">
        <v>1</v>
      </c>
      <c r="E73" s="6" t="s">
        <v>1</v>
      </c>
      <c r="F73" s="6" t="s">
        <v>1</v>
      </c>
      <c r="G73" s="43" t="s">
        <v>1</v>
      </c>
      <c r="H73" s="43" t="s">
        <v>1</v>
      </c>
      <c r="I73" s="6"/>
    </row>
    <row r="74" spans="1:9" ht="18" hidden="1" customHeight="1" x14ac:dyDescent="0.3">
      <c r="A74" s="43"/>
      <c r="B74" s="43"/>
      <c r="C74" s="43"/>
      <c r="D74" s="6" t="s">
        <v>1</v>
      </c>
      <c r="E74" s="6" t="s">
        <v>1</v>
      </c>
      <c r="F74" s="6" t="s">
        <v>1</v>
      </c>
      <c r="G74" s="43"/>
      <c r="H74" s="43"/>
      <c r="I74" s="6" t="s">
        <v>1</v>
      </c>
    </row>
    <row r="75" spans="1:9" x14ac:dyDescent="0.3">
      <c r="A75" s="43"/>
      <c r="B75" s="54" t="s">
        <v>16</v>
      </c>
      <c r="C75" s="43">
        <f>C57</f>
        <v>44911.01166340799</v>
      </c>
      <c r="D75" s="6">
        <f>D57</f>
        <v>102262.16270775997</v>
      </c>
      <c r="E75" s="6">
        <f>E57</f>
        <v>63676.645644831988</v>
      </c>
      <c r="F75" s="6" t="s">
        <v>1</v>
      </c>
      <c r="G75" s="43" t="s">
        <v>1</v>
      </c>
      <c r="H75" s="43">
        <f>H59+H61+H64+H69</f>
        <v>1338408.4620221274</v>
      </c>
      <c r="I75" s="6">
        <f>I57+I59+I61+I64+I69</f>
        <v>1549258.2820381273</v>
      </c>
    </row>
    <row r="76" spans="1:9" x14ac:dyDescent="0.3">
      <c r="A76" s="43"/>
      <c r="B76" s="55"/>
      <c r="C76" s="43"/>
      <c r="D76" s="6">
        <f>D58</f>
        <v>13600.867640132077</v>
      </c>
      <c r="E76" s="6" t="s">
        <v>1</v>
      </c>
      <c r="F76" s="6" t="s">
        <v>1</v>
      </c>
      <c r="G76" s="43"/>
      <c r="H76" s="43"/>
      <c r="I76" s="6">
        <f>I58</f>
        <v>13960.62184</v>
      </c>
    </row>
    <row r="77" spans="1:9" x14ac:dyDescent="0.3">
      <c r="A77" s="50"/>
      <c r="B77" s="61" t="s">
        <v>15</v>
      </c>
      <c r="C77" s="50">
        <f>C54+C75</f>
        <v>2685074.1815062878</v>
      </c>
      <c r="D77" s="5">
        <f>D54+D75</f>
        <v>1288661.8691610398</v>
      </c>
      <c r="E77" s="5">
        <f>E54+E75</f>
        <v>3642872.7680178233</v>
      </c>
      <c r="F77" s="5">
        <f>F54</f>
        <v>1691451.7399999998</v>
      </c>
      <c r="G77" s="50">
        <f>G54</f>
        <v>3387388.9499999997</v>
      </c>
      <c r="H77" s="50">
        <f>H75+H54</f>
        <v>1338408.4620221274</v>
      </c>
      <c r="I77" s="5">
        <f>I54+I75</f>
        <v>13441411.46788504</v>
      </c>
    </row>
    <row r="78" spans="1:9" x14ac:dyDescent="0.3">
      <c r="A78" s="50"/>
      <c r="B78" s="62"/>
      <c r="C78" s="50"/>
      <c r="D78" s="5">
        <f>D55+D76</f>
        <v>471160.82493078802</v>
      </c>
      <c r="E78" s="5">
        <f>E55</f>
        <v>354190.41626383353</v>
      </c>
      <c r="F78" s="5">
        <f>F55</f>
        <v>1781837.5300000003</v>
      </c>
      <c r="G78" s="50"/>
      <c r="H78" s="50"/>
      <c r="I78" s="5">
        <f>I55+I76</f>
        <v>537258.76952000009</v>
      </c>
    </row>
    <row r="79" spans="1:9" x14ac:dyDescent="0.3">
      <c r="A79" s="64" t="s">
        <v>14</v>
      </c>
      <c r="B79" s="65"/>
      <c r="C79" s="65"/>
      <c r="D79" s="65"/>
      <c r="E79" s="65"/>
      <c r="F79" s="65"/>
      <c r="G79" s="65"/>
      <c r="H79" s="65"/>
      <c r="I79" s="66"/>
    </row>
    <row r="80" spans="1:9" ht="57.6" customHeight="1" x14ac:dyDescent="0.3">
      <c r="A80" s="43" t="s">
        <v>70</v>
      </c>
      <c r="B80" s="43" t="s">
        <v>72</v>
      </c>
      <c r="C80" s="43" t="s">
        <v>1</v>
      </c>
      <c r="D80" s="6" t="s">
        <v>1</v>
      </c>
      <c r="E80" s="6" t="s">
        <v>1</v>
      </c>
      <c r="F80" s="6" t="s">
        <v>1</v>
      </c>
      <c r="G80" s="43" t="s">
        <v>1</v>
      </c>
      <c r="H80" s="43">
        <f>I80</f>
        <v>185491.47825681354</v>
      </c>
      <c r="I80" s="6">
        <f>I77*0.0138</f>
        <v>185491.47825681354</v>
      </c>
    </row>
    <row r="81" spans="1:10" ht="70.8" customHeight="1" x14ac:dyDescent="0.3">
      <c r="A81" s="43"/>
      <c r="B81" s="43"/>
      <c r="C81" s="43"/>
      <c r="D81" s="6" t="s">
        <v>1</v>
      </c>
      <c r="E81" s="6" t="s">
        <v>1</v>
      </c>
      <c r="F81" s="6" t="s">
        <v>1</v>
      </c>
      <c r="G81" s="43"/>
      <c r="H81" s="43"/>
      <c r="I81" s="6" t="s">
        <v>1</v>
      </c>
    </row>
    <row r="82" spans="1:10" ht="21" customHeight="1" x14ac:dyDescent="0.3">
      <c r="A82" s="43" t="s">
        <v>73</v>
      </c>
      <c r="B82" s="43" t="s">
        <v>13</v>
      </c>
      <c r="C82" s="43" t="s">
        <v>1</v>
      </c>
      <c r="D82" s="6" t="s">
        <v>1</v>
      </c>
      <c r="E82" s="6" t="s">
        <v>1</v>
      </c>
      <c r="F82" s="6" t="s">
        <v>1</v>
      </c>
      <c r="G82" s="43" t="s">
        <v>1</v>
      </c>
      <c r="H82" s="43">
        <f>I82</f>
        <v>11029.242645636548</v>
      </c>
      <c r="I82" s="6">
        <f>(C77+D77+E77+F77+F78+H77-C11-D11-E11-F11-F12)*0.0009</f>
        <v>11029.242645636548</v>
      </c>
    </row>
    <row r="83" spans="1:10" ht="24" customHeight="1" x14ac:dyDescent="0.3">
      <c r="A83" s="43"/>
      <c r="B83" s="43"/>
      <c r="C83" s="43"/>
      <c r="D83" s="6" t="s">
        <v>1</v>
      </c>
      <c r="E83" s="6" t="s">
        <v>1</v>
      </c>
      <c r="F83" s="6" t="s">
        <v>1</v>
      </c>
      <c r="G83" s="43"/>
      <c r="H83" s="43"/>
      <c r="I83" s="6" t="s">
        <v>1</v>
      </c>
    </row>
    <row r="84" spans="1:10" x14ac:dyDescent="0.3">
      <c r="A84" s="43" t="s">
        <v>74</v>
      </c>
      <c r="B84" s="43" t="s">
        <v>77</v>
      </c>
      <c r="C84" s="43" t="s">
        <v>1</v>
      </c>
      <c r="D84" s="6" t="s">
        <v>1</v>
      </c>
      <c r="E84" s="6" t="s">
        <v>1</v>
      </c>
      <c r="F84" s="6" t="s">
        <v>1</v>
      </c>
      <c r="G84" s="43" t="s">
        <v>1</v>
      </c>
      <c r="H84" s="43">
        <f>I84</f>
        <v>24509.428101414553</v>
      </c>
      <c r="I84" s="6">
        <f>(C77+D77+E77+F77+F78+H77-C11-D11-E11-F11-F12)*0.002</f>
        <v>24509.428101414553</v>
      </c>
    </row>
    <row r="85" spans="1:10" ht="29.4" customHeight="1" x14ac:dyDescent="0.3">
      <c r="A85" s="43"/>
      <c r="B85" s="43"/>
      <c r="C85" s="43"/>
      <c r="D85" s="6" t="s">
        <v>1</v>
      </c>
      <c r="E85" s="6" t="s">
        <v>1</v>
      </c>
      <c r="F85" s="6" t="s">
        <v>1</v>
      </c>
      <c r="G85" s="43"/>
      <c r="H85" s="43"/>
      <c r="I85" s="6" t="s">
        <v>1</v>
      </c>
    </row>
    <row r="86" spans="1:10" x14ac:dyDescent="0.3">
      <c r="A86" s="43" t="s">
        <v>75</v>
      </c>
      <c r="B86" s="43" t="s">
        <v>12</v>
      </c>
      <c r="C86" s="43" t="s">
        <v>1</v>
      </c>
      <c r="D86" s="6" t="s">
        <v>1</v>
      </c>
      <c r="E86" s="6" t="s">
        <v>1</v>
      </c>
      <c r="F86" s="6" t="s">
        <v>1</v>
      </c>
      <c r="G86" s="43" t="s">
        <v>1</v>
      </c>
      <c r="H86" s="43">
        <f>I86</f>
        <v>490188.56202829111</v>
      </c>
      <c r="I86" s="6">
        <f>(C77+D77+E77+F77+F78+H77-C11-D11-E11-F11-F12)*0.04</f>
        <v>490188.56202829111</v>
      </c>
    </row>
    <row r="87" spans="1:10" ht="30.6" customHeight="1" x14ac:dyDescent="0.3">
      <c r="A87" s="43"/>
      <c r="B87" s="26"/>
      <c r="C87" s="43"/>
      <c r="D87" s="6" t="s">
        <v>1</v>
      </c>
      <c r="E87" s="6" t="s">
        <v>1</v>
      </c>
      <c r="F87" s="6" t="s">
        <v>1</v>
      </c>
      <c r="G87" s="43"/>
      <c r="H87" s="43"/>
      <c r="I87" s="6" t="s">
        <v>1</v>
      </c>
    </row>
    <row r="88" spans="1:10" ht="15.75" customHeight="1" x14ac:dyDescent="0.3">
      <c r="A88" s="49" t="s">
        <v>76</v>
      </c>
      <c r="B88" s="26" t="s">
        <v>11</v>
      </c>
      <c r="C88" s="63" t="s">
        <v>1</v>
      </c>
      <c r="D88" s="6" t="s">
        <v>1</v>
      </c>
      <c r="E88" s="6" t="s">
        <v>1</v>
      </c>
      <c r="F88" s="6" t="s">
        <v>1</v>
      </c>
      <c r="G88" s="43" t="s">
        <v>1</v>
      </c>
      <c r="H88" s="43">
        <f>I88</f>
        <v>122547.14050707278</v>
      </c>
      <c r="I88" s="6">
        <f>(C77+D77+E77+F77+F78+H77-C11-D11-E11-F11-F12)*0.01</f>
        <v>122547.14050707278</v>
      </c>
    </row>
    <row r="89" spans="1:10" ht="28.8" customHeight="1" x14ac:dyDescent="0.3">
      <c r="A89" s="49"/>
      <c r="B89" s="27"/>
      <c r="C89" s="63"/>
      <c r="D89" s="6" t="s">
        <v>1</v>
      </c>
      <c r="E89" s="6" t="s">
        <v>1</v>
      </c>
      <c r="F89" s="6" t="s">
        <v>1</v>
      </c>
      <c r="G89" s="43"/>
      <c r="H89" s="43"/>
      <c r="I89" s="6" t="s">
        <v>1</v>
      </c>
    </row>
    <row r="90" spans="1:10" ht="21" hidden="1" customHeight="1" x14ac:dyDescent="0.3">
      <c r="A90" s="43" t="s">
        <v>3</v>
      </c>
      <c r="B90" s="27" t="s">
        <v>10</v>
      </c>
      <c r="C90" s="43" t="s">
        <v>1</v>
      </c>
      <c r="D90" s="6" t="s">
        <v>1</v>
      </c>
      <c r="E90" s="6" t="s">
        <v>1</v>
      </c>
      <c r="F90" s="6" t="s">
        <v>1</v>
      </c>
      <c r="G90" s="43" t="s">
        <v>1</v>
      </c>
      <c r="H90" s="43" t="s">
        <v>1</v>
      </c>
      <c r="I90" s="6" t="s">
        <v>1</v>
      </c>
    </row>
    <row r="91" spans="1:10" ht="1.8" hidden="1" customHeight="1" x14ac:dyDescent="0.3">
      <c r="A91" s="43"/>
      <c r="B91" s="43"/>
      <c r="C91" s="43"/>
      <c r="D91" s="6" t="s">
        <v>1</v>
      </c>
      <c r="E91" s="6" t="s">
        <v>1</v>
      </c>
      <c r="F91" s="6" t="s">
        <v>1</v>
      </c>
      <c r="G91" s="43"/>
      <c r="H91" s="43"/>
      <c r="I91" s="6" t="s">
        <v>1</v>
      </c>
      <c r="J91" s="2"/>
    </row>
    <row r="92" spans="1:10" x14ac:dyDescent="0.3">
      <c r="A92" s="50"/>
      <c r="B92" s="54" t="s">
        <v>9</v>
      </c>
      <c r="C92" s="50" t="s">
        <v>1</v>
      </c>
      <c r="D92" s="5" t="s">
        <v>1</v>
      </c>
      <c r="E92" s="5" t="s">
        <v>1</v>
      </c>
      <c r="F92" s="5" t="s">
        <v>1</v>
      </c>
      <c r="G92" s="50" t="s">
        <v>1</v>
      </c>
      <c r="H92" s="50">
        <f>H80+H82+H84+ H86+H88</f>
        <v>833765.85153922858</v>
      </c>
      <c r="I92" s="5">
        <f>I80+I82+I84+I86+I88</f>
        <v>833765.85153922858</v>
      </c>
      <c r="J92" s="2"/>
    </row>
    <row r="93" spans="1:10" ht="11.4" customHeight="1" x14ac:dyDescent="0.3">
      <c r="A93" s="50"/>
      <c r="B93" s="55"/>
      <c r="C93" s="50"/>
      <c r="D93" s="5" t="s">
        <v>1</v>
      </c>
      <c r="E93" s="5" t="s">
        <v>1</v>
      </c>
      <c r="F93" s="5" t="s">
        <v>1</v>
      </c>
      <c r="G93" s="50"/>
      <c r="H93" s="50"/>
      <c r="I93" s="5" t="s">
        <v>1</v>
      </c>
    </row>
    <row r="94" spans="1:10" ht="8.4" hidden="1" customHeight="1" x14ac:dyDescent="0.3">
      <c r="A94" s="44" t="s">
        <v>8</v>
      </c>
      <c r="B94" s="45"/>
      <c r="C94" s="45"/>
      <c r="D94" s="45"/>
      <c r="E94" s="45"/>
      <c r="F94" s="45"/>
      <c r="G94" s="45"/>
      <c r="H94" s="45"/>
      <c r="I94" s="46"/>
    </row>
    <row r="95" spans="1:10" ht="12" hidden="1" customHeight="1" x14ac:dyDescent="0.3">
      <c r="A95" s="51" t="s">
        <v>3</v>
      </c>
      <c r="B95" s="52" t="s">
        <v>7</v>
      </c>
      <c r="C95" s="53" t="s">
        <v>1</v>
      </c>
      <c r="D95" s="8" t="s">
        <v>1</v>
      </c>
      <c r="E95" s="8" t="s">
        <v>1</v>
      </c>
      <c r="F95" s="8" t="s">
        <v>1</v>
      </c>
      <c r="G95" s="53" t="s">
        <v>1</v>
      </c>
      <c r="H95" s="53" t="s">
        <v>1</v>
      </c>
      <c r="I95" s="8" t="s">
        <v>1</v>
      </c>
    </row>
    <row r="96" spans="1:10" ht="16.8" hidden="1" customHeight="1" x14ac:dyDescent="0.3">
      <c r="A96" s="51"/>
      <c r="B96" s="52"/>
      <c r="C96" s="53"/>
      <c r="D96" s="8" t="s">
        <v>1</v>
      </c>
      <c r="E96" s="8" t="s">
        <v>1</v>
      </c>
      <c r="F96" s="8" t="s">
        <v>1</v>
      </c>
      <c r="G96" s="53"/>
      <c r="H96" s="53"/>
      <c r="I96" s="8" t="s">
        <v>1</v>
      </c>
    </row>
    <row r="97" spans="1:9" ht="16.8" hidden="1" customHeight="1" x14ac:dyDescent="0.3">
      <c r="A97" s="7"/>
      <c r="B97" s="57" t="s">
        <v>6</v>
      </c>
      <c r="C97" s="59" t="s">
        <v>1</v>
      </c>
      <c r="D97" s="8" t="s">
        <v>1</v>
      </c>
      <c r="E97" s="8" t="s">
        <v>1</v>
      </c>
      <c r="F97" s="8" t="s">
        <v>1</v>
      </c>
      <c r="G97" s="59" t="s">
        <v>1</v>
      </c>
      <c r="H97" s="59" t="str">
        <f>H95</f>
        <v>-</v>
      </c>
      <c r="I97" s="8" t="str">
        <f>I95</f>
        <v>-</v>
      </c>
    </row>
    <row r="98" spans="1:9" ht="16.8" hidden="1" customHeight="1" x14ac:dyDescent="0.3">
      <c r="A98" s="7"/>
      <c r="B98" s="58"/>
      <c r="C98" s="60"/>
      <c r="D98" s="8" t="s">
        <v>1</v>
      </c>
      <c r="E98" s="8" t="s">
        <v>1</v>
      </c>
      <c r="F98" s="8" t="s">
        <v>1</v>
      </c>
      <c r="G98" s="60"/>
      <c r="H98" s="60"/>
      <c r="I98" s="8" t="s">
        <v>1</v>
      </c>
    </row>
    <row r="99" spans="1:9" ht="17.25" customHeight="1" x14ac:dyDescent="0.3">
      <c r="A99" s="7"/>
      <c r="B99" s="47" t="s">
        <v>64</v>
      </c>
      <c r="C99" s="26">
        <f>C77</f>
        <v>2685074.1815062878</v>
      </c>
      <c r="D99" s="6">
        <f>D77</f>
        <v>1288661.8691610398</v>
      </c>
      <c r="E99" s="6">
        <f>E77</f>
        <v>3642872.7680178233</v>
      </c>
      <c r="F99" s="6">
        <f>F77</f>
        <v>1691451.7399999998</v>
      </c>
      <c r="G99" s="26">
        <f>G77</f>
        <v>3387388.9499999997</v>
      </c>
      <c r="H99" s="26">
        <f>H92+H77</f>
        <v>2172174.3135613557</v>
      </c>
      <c r="I99" s="6">
        <f>I92+I77</f>
        <v>14275177.319424268</v>
      </c>
    </row>
    <row r="100" spans="1:9" ht="17.25" customHeight="1" x14ac:dyDescent="0.3">
      <c r="A100" s="7"/>
      <c r="B100" s="48"/>
      <c r="C100" s="27"/>
      <c r="D100" s="6">
        <f>D78</f>
        <v>471160.82493078802</v>
      </c>
      <c r="E100" s="6">
        <f>E78</f>
        <v>354190.41626383353</v>
      </c>
      <c r="F100" s="6">
        <f>F78</f>
        <v>1781837.5300000003</v>
      </c>
      <c r="G100" s="27"/>
      <c r="H100" s="27"/>
      <c r="I100" s="6">
        <f>I78</f>
        <v>537258.76952000009</v>
      </c>
    </row>
    <row r="101" spans="1:9" x14ac:dyDescent="0.3">
      <c r="A101" s="51" t="s">
        <v>78</v>
      </c>
      <c r="B101" s="52" t="s">
        <v>62</v>
      </c>
      <c r="C101" s="43">
        <f>0.02*C99</f>
        <v>53701.48363012576</v>
      </c>
      <c r="D101" s="6">
        <f t="shared" ref="D101:I101" si="1">0.04*D99</f>
        <v>51546.474766441592</v>
      </c>
      <c r="E101" s="6">
        <f t="shared" si="1"/>
        <v>145714.91072071294</v>
      </c>
      <c r="F101" s="6">
        <f t="shared" si="1"/>
        <v>67658.069599999988</v>
      </c>
      <c r="G101" s="43">
        <f t="shared" si="1"/>
        <v>135495.55799999999</v>
      </c>
      <c r="H101" s="43">
        <f t="shared" si="1"/>
        <v>86886.972542454227</v>
      </c>
      <c r="I101" s="6">
        <f t="shared" si="1"/>
        <v>571007.09277697071</v>
      </c>
    </row>
    <row r="102" spans="1:9" ht="31.2" customHeight="1" x14ac:dyDescent="0.3">
      <c r="A102" s="51"/>
      <c r="B102" s="52"/>
      <c r="C102" s="43"/>
      <c r="D102" s="6">
        <f>0.04*D100</f>
        <v>18846.432997231521</v>
      </c>
      <c r="E102" s="6">
        <f>E100*0.04</f>
        <v>14167.616650553342</v>
      </c>
      <c r="F102" s="6">
        <f>0.04*F100</f>
        <v>71273.501200000013</v>
      </c>
      <c r="G102" s="43"/>
      <c r="H102" s="43"/>
      <c r="I102" s="6">
        <f>I100*0.04</f>
        <v>21490.350780800003</v>
      </c>
    </row>
    <row r="103" spans="1:9" x14ac:dyDescent="0.3">
      <c r="A103" s="24"/>
      <c r="B103" s="47" t="s">
        <v>5</v>
      </c>
      <c r="C103" s="26">
        <f t="shared" ref="C103:H103" si="2">C99+C101</f>
        <v>2738775.6651364136</v>
      </c>
      <c r="D103" s="6">
        <f t="shared" si="2"/>
        <v>1340208.3439274814</v>
      </c>
      <c r="E103" s="6">
        <f t="shared" si="2"/>
        <v>3788587.6787385363</v>
      </c>
      <c r="F103" s="6">
        <f t="shared" si="2"/>
        <v>1759109.8095999998</v>
      </c>
      <c r="G103" s="26">
        <f t="shared" si="2"/>
        <v>3522884.5079999999</v>
      </c>
      <c r="H103" s="26">
        <f t="shared" si="2"/>
        <v>2259061.2861038097</v>
      </c>
      <c r="I103" s="6">
        <f xml:space="preserve"> I99+I101</f>
        <v>14846184.412201239</v>
      </c>
    </row>
    <row r="104" spans="1:9" ht="11.4" customHeight="1" x14ac:dyDescent="0.3">
      <c r="A104" s="25"/>
      <c r="B104" s="48"/>
      <c r="C104" s="27"/>
      <c r="D104" s="6">
        <f>D100+D102</f>
        <v>490007.25792801956</v>
      </c>
      <c r="E104" s="6">
        <f>E100+E102</f>
        <v>368358.03291438689</v>
      </c>
      <c r="F104" s="6">
        <f>F100+F102</f>
        <v>1853111.0312000003</v>
      </c>
      <c r="G104" s="27"/>
      <c r="H104" s="27"/>
      <c r="I104" s="6">
        <f>I100+ I102</f>
        <v>558749.12030080007</v>
      </c>
    </row>
    <row r="105" spans="1:9" ht="1.8" hidden="1" customHeight="1" x14ac:dyDescent="0.3">
      <c r="A105" s="51"/>
      <c r="B105" s="52"/>
      <c r="C105" s="43"/>
      <c r="D105" s="6"/>
      <c r="E105" s="6"/>
      <c r="F105" s="6"/>
      <c r="G105" s="43"/>
      <c r="H105" s="43"/>
      <c r="I105" s="6"/>
    </row>
    <row r="106" spans="1:9" ht="25.2" hidden="1" customHeight="1" x14ac:dyDescent="0.3">
      <c r="A106" s="51"/>
      <c r="B106" s="52"/>
      <c r="C106" s="43"/>
      <c r="D106" s="6"/>
      <c r="E106" s="6"/>
      <c r="F106" s="6"/>
      <c r="G106" s="43"/>
      <c r="H106" s="43"/>
      <c r="I106" s="6"/>
    </row>
    <row r="107" spans="1:9" ht="20.25" customHeight="1" x14ac:dyDescent="0.3">
      <c r="A107" s="24"/>
      <c r="B107" s="47" t="s">
        <v>4</v>
      </c>
      <c r="C107" s="26">
        <f>C105+C103</f>
        <v>2738775.6651364136</v>
      </c>
      <c r="D107" s="6">
        <f>D105+D103</f>
        <v>1340208.3439274814</v>
      </c>
      <c r="E107" s="6">
        <f>E103+E105</f>
        <v>3788587.6787385363</v>
      </c>
      <c r="F107" s="6">
        <f>F103+F105</f>
        <v>1759109.8095999998</v>
      </c>
      <c r="G107" s="26">
        <f xml:space="preserve"> G103+G105</f>
        <v>3522884.5079999999</v>
      </c>
      <c r="H107" s="26">
        <f>H103+H105</f>
        <v>2259061.2861038097</v>
      </c>
      <c r="I107" s="6">
        <f>I103+I105</f>
        <v>14846184.412201239</v>
      </c>
    </row>
    <row r="108" spans="1:9" ht="19.5" customHeight="1" x14ac:dyDescent="0.3">
      <c r="A108" s="25"/>
      <c r="B108" s="48"/>
      <c r="C108" s="27"/>
      <c r="D108" s="6">
        <f>D104+D106</f>
        <v>490007.25792801956</v>
      </c>
      <c r="E108" s="6">
        <f>E104+E106</f>
        <v>368358.03291438689</v>
      </c>
      <c r="F108" s="6">
        <f>F104+F106</f>
        <v>1853111.0312000003</v>
      </c>
      <c r="G108" s="27"/>
      <c r="H108" s="27"/>
      <c r="I108" s="6">
        <f>I104+I106</f>
        <v>558749.12030080007</v>
      </c>
    </row>
    <row r="109" spans="1:9" ht="40.799999999999997" customHeight="1" x14ac:dyDescent="0.3">
      <c r="A109" s="24" t="s">
        <v>79</v>
      </c>
      <c r="B109" s="24" t="s">
        <v>80</v>
      </c>
      <c r="C109" s="26"/>
      <c r="D109" s="6"/>
      <c r="E109" s="6"/>
      <c r="F109" s="6"/>
      <c r="G109" s="26"/>
      <c r="H109" s="26">
        <f>0.2*H99</f>
        <v>434434.86271227116</v>
      </c>
      <c r="I109" s="6">
        <f>0.2*I99</f>
        <v>2855035.4638848538</v>
      </c>
    </row>
    <row r="110" spans="1:9" ht="41.4" customHeight="1" x14ac:dyDescent="0.3">
      <c r="A110" s="25"/>
      <c r="B110" s="25"/>
      <c r="C110" s="27"/>
      <c r="D110" s="6"/>
      <c r="E110" s="6"/>
      <c r="F110" s="6"/>
      <c r="G110" s="27"/>
      <c r="H110" s="27"/>
      <c r="I110" s="6">
        <f>0.2*I100</f>
        <v>107451.75390400003</v>
      </c>
    </row>
    <row r="111" spans="1:9" x14ac:dyDescent="0.3">
      <c r="A111" s="52"/>
      <c r="B111" s="56" t="s">
        <v>2</v>
      </c>
      <c r="C111" s="50">
        <f t="shared" ref="C111:I111" si="3">C107+C109</f>
        <v>2738775.6651364136</v>
      </c>
      <c r="D111" s="5">
        <f t="shared" si="3"/>
        <v>1340208.3439274814</v>
      </c>
      <c r="E111" s="5">
        <f t="shared" si="3"/>
        <v>3788587.6787385363</v>
      </c>
      <c r="F111" s="5">
        <f t="shared" si="3"/>
        <v>1759109.8095999998</v>
      </c>
      <c r="G111" s="50">
        <f t="shared" si="3"/>
        <v>3522884.5079999999</v>
      </c>
      <c r="H111" s="50">
        <f>H107+H109</f>
        <v>2693496.1488160808</v>
      </c>
      <c r="I111" s="5">
        <f t="shared" si="3"/>
        <v>17701219.876086093</v>
      </c>
    </row>
    <row r="112" spans="1:9" x14ac:dyDescent="0.3">
      <c r="A112" s="52"/>
      <c r="B112" s="56"/>
      <c r="C112" s="50"/>
      <c r="D112" s="5">
        <f>D108+D110</f>
        <v>490007.25792801956</v>
      </c>
      <c r="E112" s="5">
        <f>E108+E110</f>
        <v>368358.03291438689</v>
      </c>
      <c r="F112" s="5">
        <f>F108+F110</f>
        <v>1853111.0312000003</v>
      </c>
      <c r="G112" s="50"/>
      <c r="H112" s="50"/>
      <c r="I112" s="5">
        <f>I108+I110</f>
        <v>666200.87420480011</v>
      </c>
    </row>
    <row r="113" spans="1:9" ht="49.2" customHeight="1" x14ac:dyDescent="0.3">
      <c r="A113" s="52" t="s">
        <v>82</v>
      </c>
      <c r="B113" s="52" t="s">
        <v>81</v>
      </c>
      <c r="C113" s="50" t="s">
        <v>1</v>
      </c>
      <c r="D113" s="5" t="s">
        <v>1</v>
      </c>
      <c r="E113" s="6">
        <f>0.15*E48</f>
        <v>10450.505526911997</v>
      </c>
      <c r="F113" s="5" t="s">
        <v>1</v>
      </c>
      <c r="G113" s="50" t="s">
        <v>1</v>
      </c>
      <c r="H113" s="50" t="s">
        <v>1</v>
      </c>
      <c r="I113" s="6">
        <f>E113</f>
        <v>10450.505526911997</v>
      </c>
    </row>
    <row r="114" spans="1:9" ht="49.2" customHeight="1" x14ac:dyDescent="0.3">
      <c r="A114" s="52"/>
      <c r="B114" s="52"/>
      <c r="C114" s="50"/>
      <c r="D114" s="5" t="s">
        <v>1</v>
      </c>
      <c r="E114" s="5" t="s">
        <v>1</v>
      </c>
      <c r="F114" s="5" t="s">
        <v>1</v>
      </c>
      <c r="G114" s="50"/>
      <c r="H114" s="50"/>
      <c r="I114" s="5" t="s">
        <v>1</v>
      </c>
    </row>
    <row r="115" spans="1:9" hidden="1" x14ac:dyDescent="0.3">
      <c r="A115" s="81"/>
      <c r="B115" s="36"/>
      <c r="C115" s="83"/>
      <c r="D115" s="4"/>
      <c r="E115" s="4"/>
      <c r="F115" s="4"/>
      <c r="G115" s="83"/>
      <c r="H115" s="83"/>
      <c r="I115" s="4"/>
    </row>
    <row r="116" spans="1:9" ht="15.6" hidden="1" x14ac:dyDescent="0.3">
      <c r="A116" s="82"/>
      <c r="B116" s="37"/>
      <c r="C116" s="84"/>
      <c r="D116" s="4"/>
      <c r="E116" s="4"/>
      <c r="F116" s="4"/>
      <c r="G116" s="84"/>
      <c r="H116" s="84"/>
      <c r="I116" s="4"/>
    </row>
    <row r="117" spans="1:9" x14ac:dyDescent="0.3">
      <c r="A117" s="81"/>
      <c r="B117" s="85" t="s">
        <v>0</v>
      </c>
      <c r="C117" s="87">
        <f t="shared" ref="C117:I117" si="4">C111</f>
        <v>2738775.6651364136</v>
      </c>
      <c r="D117" s="3">
        <f t="shared" si="4"/>
        <v>1340208.3439274814</v>
      </c>
      <c r="E117" s="3">
        <f t="shared" si="4"/>
        <v>3788587.6787385363</v>
      </c>
      <c r="F117" s="3">
        <f t="shared" si="4"/>
        <v>1759109.8095999998</v>
      </c>
      <c r="G117" s="87">
        <f t="shared" si="4"/>
        <v>3522884.5079999999</v>
      </c>
      <c r="H117" s="87">
        <f t="shared" si="4"/>
        <v>2693496.1488160808</v>
      </c>
      <c r="I117" s="3">
        <f t="shared" si="4"/>
        <v>17701219.876086093</v>
      </c>
    </row>
    <row r="118" spans="1:9" x14ac:dyDescent="0.3">
      <c r="A118" s="82"/>
      <c r="B118" s="86"/>
      <c r="C118" s="88"/>
      <c r="D118" s="3">
        <f>D112</f>
        <v>490007.25792801956</v>
      </c>
      <c r="E118" s="3">
        <f>E112</f>
        <v>368358.03291438689</v>
      </c>
      <c r="F118" s="3">
        <f>F112</f>
        <v>1853111.0312000003</v>
      </c>
      <c r="G118" s="88"/>
      <c r="H118" s="88"/>
      <c r="I118" s="3">
        <f>I112</f>
        <v>666200.87420480011</v>
      </c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7" spans="1:9" ht="14.4" thickBot="1" x14ac:dyDescent="0.35"/>
    <row r="128" spans="1:9" ht="14.4" thickBot="1" x14ac:dyDescent="0.35">
      <c r="A128" s="20">
        <v>551628.09</v>
      </c>
    </row>
    <row r="129" spans="1:2" ht="14.4" thickBot="1" x14ac:dyDescent="0.35">
      <c r="A129" s="21">
        <v>172442.81</v>
      </c>
    </row>
    <row r="130" spans="1:2" ht="14.4" thickBot="1" x14ac:dyDescent="0.35">
      <c r="A130" s="21">
        <v>1618411.75</v>
      </c>
    </row>
    <row r="131" spans="1:2" ht="14.4" thickBot="1" x14ac:dyDescent="0.35">
      <c r="A131" s="21">
        <v>111723.92</v>
      </c>
    </row>
    <row r="132" spans="1:2" ht="14.4" thickBot="1" x14ac:dyDescent="0.35">
      <c r="A132" s="21">
        <v>342035.75</v>
      </c>
    </row>
    <row r="133" spans="1:2" x14ac:dyDescent="0.3">
      <c r="A133" s="19">
        <f>SUM(A128:A132)</f>
        <v>2796242.32</v>
      </c>
    </row>
    <row r="134" spans="1:2" x14ac:dyDescent="0.25">
      <c r="A134" s="22">
        <v>361137.81</v>
      </c>
    </row>
    <row r="135" spans="1:2" x14ac:dyDescent="0.3">
      <c r="A135" s="19">
        <f>SUM(A133:A134)</f>
        <v>3157380.13</v>
      </c>
      <c r="B135" s="1" t="b">
        <f>A135=100%</f>
        <v>0</v>
      </c>
    </row>
    <row r="136" spans="1:2" x14ac:dyDescent="0.25">
      <c r="A136" s="23" t="s">
        <v>63</v>
      </c>
    </row>
  </sheetData>
  <mergeCells count="275">
    <mergeCell ref="G109:G110"/>
    <mergeCell ref="H109:H110"/>
    <mergeCell ref="A115:A116"/>
    <mergeCell ref="B115:B116"/>
    <mergeCell ref="C115:C116"/>
    <mergeCell ref="G115:G116"/>
    <mergeCell ref="H115:H116"/>
    <mergeCell ref="A117:A118"/>
    <mergeCell ref="B117:B118"/>
    <mergeCell ref="C117:C118"/>
    <mergeCell ref="G117:G118"/>
    <mergeCell ref="H117:H118"/>
    <mergeCell ref="A40:I40"/>
    <mergeCell ref="B41:B42"/>
    <mergeCell ref="A43:A44"/>
    <mergeCell ref="B43:B44"/>
    <mergeCell ref="C43:C44"/>
    <mergeCell ref="G43:G44"/>
    <mergeCell ref="H43:H44"/>
    <mergeCell ref="G41:G42"/>
    <mergeCell ref="H41:H42"/>
    <mergeCell ref="C41:C42"/>
    <mergeCell ref="A23:A24"/>
    <mergeCell ref="B23:B24"/>
    <mergeCell ref="C23:C24"/>
    <mergeCell ref="G23:G24"/>
    <mergeCell ref="H23:H24"/>
    <mergeCell ref="H21:H22"/>
    <mergeCell ref="C21:C22"/>
    <mergeCell ref="A21:A22"/>
    <mergeCell ref="H28:H29"/>
    <mergeCell ref="A25:I25"/>
    <mergeCell ref="B26:B27"/>
    <mergeCell ref="G26:G27"/>
    <mergeCell ref="A26:A27"/>
    <mergeCell ref="C26:C27"/>
    <mergeCell ref="C18:C19"/>
    <mergeCell ref="G18:G19"/>
    <mergeCell ref="H18:H19"/>
    <mergeCell ref="A18:A19"/>
    <mergeCell ref="I16:I17"/>
    <mergeCell ref="C14:C17"/>
    <mergeCell ref="H14:H17"/>
    <mergeCell ref="A20:I20"/>
    <mergeCell ref="B21:B22"/>
    <mergeCell ref="G9:G10"/>
    <mergeCell ref="H9:H10"/>
    <mergeCell ref="C9:C10"/>
    <mergeCell ref="C31:C32"/>
    <mergeCell ref="G21:G22"/>
    <mergeCell ref="I14:I15"/>
    <mergeCell ref="H26:H27"/>
    <mergeCell ref="A57:A58"/>
    <mergeCell ref="H48:H49"/>
    <mergeCell ref="A48:A49"/>
    <mergeCell ref="A52:A53"/>
    <mergeCell ref="B45:B46"/>
    <mergeCell ref="A36:A37"/>
    <mergeCell ref="A41:A42"/>
    <mergeCell ref="A45:A46"/>
    <mergeCell ref="A9:A10"/>
    <mergeCell ref="A14:A17"/>
    <mergeCell ref="B14:B17"/>
    <mergeCell ref="B9:B10"/>
    <mergeCell ref="B11:B12"/>
    <mergeCell ref="A11:A12"/>
    <mergeCell ref="C11:C12"/>
    <mergeCell ref="G11:G12"/>
    <mergeCell ref="B18:B19"/>
    <mergeCell ref="A56:I56"/>
    <mergeCell ref="H50:H51"/>
    <mergeCell ref="I62:I63"/>
    <mergeCell ref="C45:C46"/>
    <mergeCell ref="C48:C49"/>
    <mergeCell ref="C52:C53"/>
    <mergeCell ref="A47:I47"/>
    <mergeCell ref="B48:B49"/>
    <mergeCell ref="A54:A55"/>
    <mergeCell ref="B54:B55"/>
    <mergeCell ref="C54:C55"/>
    <mergeCell ref="G54:G55"/>
    <mergeCell ref="H54:H55"/>
    <mergeCell ref="B50:B51"/>
    <mergeCell ref="A50:A51"/>
    <mergeCell ref="C50:C51"/>
    <mergeCell ref="G50:G51"/>
    <mergeCell ref="B52:B53"/>
    <mergeCell ref="G52:G53"/>
    <mergeCell ref="G36:G37"/>
    <mergeCell ref="A28:A29"/>
    <mergeCell ref="B28:B29"/>
    <mergeCell ref="C28:C29"/>
    <mergeCell ref="G28:G29"/>
    <mergeCell ref="A35:I35"/>
    <mergeCell ref="B36:B37"/>
    <mergeCell ref="A38:A39"/>
    <mergeCell ref="B38:B39"/>
    <mergeCell ref="C38:C39"/>
    <mergeCell ref="G38:G39"/>
    <mergeCell ref="H38:H39"/>
    <mergeCell ref="C36:C37"/>
    <mergeCell ref="H36:H37"/>
    <mergeCell ref="A30:I30"/>
    <mergeCell ref="B31:B32"/>
    <mergeCell ref="A33:A34"/>
    <mergeCell ref="B33:B34"/>
    <mergeCell ref="C33:C34"/>
    <mergeCell ref="G33:G34"/>
    <mergeCell ref="H33:H34"/>
    <mergeCell ref="H31:H32"/>
    <mergeCell ref="A31:A32"/>
    <mergeCell ref="G31:G32"/>
    <mergeCell ref="A84:A85"/>
    <mergeCell ref="C84:C85"/>
    <mergeCell ref="B57:B58"/>
    <mergeCell ref="B59:B60"/>
    <mergeCell ref="B61:B63"/>
    <mergeCell ref="A86:A87"/>
    <mergeCell ref="A82:A83"/>
    <mergeCell ref="C82:C83"/>
    <mergeCell ref="B82:B83"/>
    <mergeCell ref="C57:C58"/>
    <mergeCell ref="B80:B81"/>
    <mergeCell ref="A75:A76"/>
    <mergeCell ref="C75:C76"/>
    <mergeCell ref="A77:A78"/>
    <mergeCell ref="C77:C78"/>
    <mergeCell ref="A80:A81"/>
    <mergeCell ref="C80:C81"/>
    <mergeCell ref="A67:A68"/>
    <mergeCell ref="B67:B68"/>
    <mergeCell ref="C67:C68"/>
    <mergeCell ref="A73:A74"/>
    <mergeCell ref="C73:C74"/>
    <mergeCell ref="A79:I79"/>
    <mergeCell ref="G73:G74"/>
    <mergeCell ref="H75:H76"/>
    <mergeCell ref="B75:B76"/>
    <mergeCell ref="H64:H66"/>
    <mergeCell ref="H69:H70"/>
    <mergeCell ref="H71:H72"/>
    <mergeCell ref="H73:H74"/>
    <mergeCell ref="G45:G46"/>
    <mergeCell ref="B69:B70"/>
    <mergeCell ref="B71:B72"/>
    <mergeCell ref="F65:F66"/>
    <mergeCell ref="D65:D66"/>
    <mergeCell ref="H59:H60"/>
    <mergeCell ref="H61:H63"/>
    <mergeCell ref="H57:H58"/>
    <mergeCell ref="H45:H46"/>
    <mergeCell ref="H52:H53"/>
    <mergeCell ref="B64:B66"/>
    <mergeCell ref="C64:C66"/>
    <mergeCell ref="B73:B74"/>
    <mergeCell ref="G75:G76"/>
    <mergeCell ref="D62:D63"/>
    <mergeCell ref="C71:C72"/>
    <mergeCell ref="E65:E66"/>
    <mergeCell ref="G48:G49"/>
    <mergeCell ref="A69:A70"/>
    <mergeCell ref="I65:I66"/>
    <mergeCell ref="C69:C70"/>
    <mergeCell ref="G71:G72"/>
    <mergeCell ref="G57:G58"/>
    <mergeCell ref="G67:G68"/>
    <mergeCell ref="H67:H68"/>
    <mergeCell ref="G64:G66"/>
    <mergeCell ref="G69:G70"/>
    <mergeCell ref="C59:C60"/>
    <mergeCell ref="C61:C63"/>
    <mergeCell ref="A59:A60"/>
    <mergeCell ref="A64:A66"/>
    <mergeCell ref="A71:A72"/>
    <mergeCell ref="G59:G60"/>
    <mergeCell ref="G61:G63"/>
    <mergeCell ref="E62:E63"/>
    <mergeCell ref="F62:F63"/>
    <mergeCell ref="A61:A63"/>
    <mergeCell ref="H77:H78"/>
    <mergeCell ref="G77:G78"/>
    <mergeCell ref="B97:B98"/>
    <mergeCell ref="C97:C98"/>
    <mergeCell ref="G97:G98"/>
    <mergeCell ref="H97:H98"/>
    <mergeCell ref="G80:G81"/>
    <mergeCell ref="H80:H81"/>
    <mergeCell ref="H82:H83"/>
    <mergeCell ref="H84:H85"/>
    <mergeCell ref="A94:I94"/>
    <mergeCell ref="H88:H89"/>
    <mergeCell ref="C92:C93"/>
    <mergeCell ref="A92:A93"/>
    <mergeCell ref="B88:B89"/>
    <mergeCell ref="B77:B78"/>
    <mergeCell ref="H86:H87"/>
    <mergeCell ref="B86:B87"/>
    <mergeCell ref="G82:G83"/>
    <mergeCell ref="G84:G85"/>
    <mergeCell ref="G86:G87"/>
    <mergeCell ref="C86:C87"/>
    <mergeCell ref="B90:B91"/>
    <mergeCell ref="C88:C89"/>
    <mergeCell ref="G88:G89"/>
    <mergeCell ref="G90:G91"/>
    <mergeCell ref="B84:B85"/>
    <mergeCell ref="C90:C91"/>
    <mergeCell ref="H113:H114"/>
    <mergeCell ref="A95:A96"/>
    <mergeCell ref="B95:B96"/>
    <mergeCell ref="C95:C96"/>
    <mergeCell ref="A111:A112"/>
    <mergeCell ref="C111:C112"/>
    <mergeCell ref="A113:A114"/>
    <mergeCell ref="A101:A102"/>
    <mergeCell ref="B101:B102"/>
    <mergeCell ref="B113:B114"/>
    <mergeCell ref="G113:G114"/>
    <mergeCell ref="C113:C114"/>
    <mergeCell ref="G101:G102"/>
    <mergeCell ref="G111:G112"/>
    <mergeCell ref="C101:C102"/>
    <mergeCell ref="B111:B112"/>
    <mergeCell ref="G105:G106"/>
    <mergeCell ref="G95:G96"/>
    <mergeCell ref="H99:H100"/>
    <mergeCell ref="A103:A104"/>
    <mergeCell ref="B103:B104"/>
    <mergeCell ref="C103:C104"/>
    <mergeCell ref="G103:G104"/>
    <mergeCell ref="H103:H104"/>
    <mergeCell ref="A88:A89"/>
    <mergeCell ref="H111:H112"/>
    <mergeCell ref="A105:A106"/>
    <mergeCell ref="B105:B106"/>
    <mergeCell ref="C105:C106"/>
    <mergeCell ref="H105:H106"/>
    <mergeCell ref="H95:H96"/>
    <mergeCell ref="H90:H91"/>
    <mergeCell ref="H92:H93"/>
    <mergeCell ref="A90:A91"/>
    <mergeCell ref="G92:G93"/>
    <mergeCell ref="B92:B93"/>
    <mergeCell ref="B99:B100"/>
    <mergeCell ref="C99:C100"/>
    <mergeCell ref="G99:G100"/>
    <mergeCell ref="H101:H102"/>
    <mergeCell ref="B107:B108"/>
    <mergeCell ref="C107:C108"/>
    <mergeCell ref="G107:G108"/>
    <mergeCell ref="H107:H108"/>
    <mergeCell ref="A107:A108"/>
    <mergeCell ref="A109:A110"/>
    <mergeCell ref="B109:B110"/>
    <mergeCell ref="C109:C110"/>
    <mergeCell ref="A1:I1"/>
    <mergeCell ref="A2:I2"/>
    <mergeCell ref="A3:I3"/>
    <mergeCell ref="D14:D15"/>
    <mergeCell ref="D16:D17"/>
    <mergeCell ref="E14:E15"/>
    <mergeCell ref="E16:E17"/>
    <mergeCell ref="F14:F15"/>
    <mergeCell ref="F16:F17"/>
    <mergeCell ref="I4:I5"/>
    <mergeCell ref="C5:C6"/>
    <mergeCell ref="G5:G6"/>
    <mergeCell ref="H5:H6"/>
    <mergeCell ref="A4:A6"/>
    <mergeCell ref="B4:B6"/>
    <mergeCell ref="C4:H4"/>
    <mergeCell ref="A8:I8"/>
    <mergeCell ref="H11:H12"/>
    <mergeCell ref="A13:I13"/>
    <mergeCell ref="G14:G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Сводный сметный расчет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Домашний</dc:creator>
  <cp:lastModifiedBy>Антон Ковалев</cp:lastModifiedBy>
  <dcterms:created xsi:type="dcterms:W3CDTF">2018-10-08T13:26:12Z</dcterms:created>
  <dcterms:modified xsi:type="dcterms:W3CDTF">2019-06-13T15:35:52Z</dcterms:modified>
</cp:coreProperties>
</file>