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e2e1d099796e8b1/Academics/2023 ETH/Projects/PhD thesis/COPB GC starch/"/>
    </mc:Choice>
  </mc:AlternateContent>
  <xr:revisionPtr revIDLastSave="2403" documentId="13_ncr:1_{B2486EB3-5103-4273-9CCE-5E78948F9DE9}" xr6:coauthVersionLast="47" xr6:coauthVersionMax="47" xr10:uidLastSave="{2CB59219-943C-41F4-8BC9-4F9352B3027F}"/>
  <bookViews>
    <workbookView xWindow="-120" yWindow="-120" windowWidth="38640" windowHeight="21840" xr2:uid="{00000000-000D-0000-FFFF-FFFF00000000}"/>
  </bookViews>
  <sheets>
    <sheet name="All Species" sheetId="5" r:id="rId1"/>
  </sheets>
  <externalReferences>
    <externalReference r:id="rId2"/>
  </externalReferences>
  <definedNames>
    <definedName name="_xlnm._FilterDatabase" localSheetId="0" hidden="1">'All Species'!$A$2:$AF$271</definedName>
    <definedName name="OLE_LINK1" localSheetId="0">'All Species'!#REF!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5" l="1"/>
  <c r="K6" i="5" s="1"/>
  <c r="J7" i="5"/>
  <c r="K7" i="5" s="1"/>
  <c r="J8" i="5"/>
  <c r="K8" i="5" s="1"/>
  <c r="J9" i="5"/>
  <c r="J10" i="5"/>
  <c r="J11" i="5"/>
  <c r="J12" i="5"/>
  <c r="J13" i="5"/>
  <c r="J14" i="5"/>
  <c r="J15" i="5"/>
  <c r="J16" i="5"/>
  <c r="K16" i="5" s="1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K30" i="5" s="1"/>
  <c r="J31" i="5"/>
  <c r="J32" i="5"/>
  <c r="J37" i="5"/>
  <c r="J38" i="5"/>
  <c r="J39" i="5"/>
  <c r="J40" i="5"/>
  <c r="J41" i="5"/>
  <c r="J42" i="5"/>
  <c r="J43" i="5"/>
  <c r="J44" i="5"/>
  <c r="J45" i="5"/>
  <c r="J46" i="5"/>
  <c r="J47" i="5"/>
  <c r="J48" i="5"/>
  <c r="K48" i="5" s="1"/>
  <c r="J49" i="5"/>
  <c r="K49" i="5" s="1"/>
  <c r="J50" i="5"/>
  <c r="J51" i="5"/>
  <c r="K51" i="5" s="1"/>
  <c r="J52" i="5"/>
  <c r="K52" i="5" s="1"/>
  <c r="J53" i="5"/>
  <c r="K53" i="5" s="1"/>
  <c r="J54" i="5"/>
  <c r="K54" i="5" s="1"/>
  <c r="J55" i="5"/>
  <c r="K55" i="5" s="1"/>
  <c r="J56" i="5"/>
  <c r="J57" i="5"/>
  <c r="J59" i="5"/>
  <c r="J60" i="5"/>
  <c r="J61" i="5"/>
  <c r="J62" i="5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J75" i="5"/>
  <c r="J76" i="5"/>
  <c r="K76" i="5" s="1"/>
  <c r="J77" i="5"/>
  <c r="K77" i="5" s="1"/>
  <c r="J78" i="5"/>
  <c r="J79" i="5"/>
  <c r="K79" i="5" s="1"/>
  <c r="J80" i="5"/>
  <c r="K80" i="5" s="1"/>
  <c r="J81" i="5"/>
  <c r="J82" i="5"/>
  <c r="J83" i="5"/>
  <c r="J84" i="5"/>
  <c r="J85" i="5"/>
  <c r="J86" i="5"/>
  <c r="J87" i="5"/>
  <c r="J88" i="5"/>
  <c r="J89" i="5"/>
  <c r="J90" i="5"/>
  <c r="J91" i="5"/>
  <c r="J93" i="5"/>
  <c r="J99" i="5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26" i="5"/>
  <c r="J127" i="5"/>
  <c r="J128" i="5"/>
  <c r="J130" i="5"/>
  <c r="J131" i="5"/>
  <c r="J132" i="5"/>
  <c r="J133" i="5"/>
  <c r="J136" i="5"/>
  <c r="J137" i="5"/>
  <c r="J138" i="5"/>
  <c r="K138" i="5" s="1"/>
  <c r="J139" i="5"/>
  <c r="K139" i="5" s="1"/>
  <c r="J140" i="5"/>
  <c r="K140" i="5" s="1"/>
  <c r="J141" i="5"/>
  <c r="K141" i="5" s="1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J171" i="5"/>
  <c r="K171" i="5" s="1"/>
  <c r="J172" i="5"/>
  <c r="K172" i="5" s="1"/>
  <c r="J177" i="5"/>
  <c r="J178" i="5"/>
  <c r="K178" i="5" s="1"/>
  <c r="J179" i="5"/>
  <c r="J180" i="5"/>
  <c r="K180" i="5" s="1"/>
  <c r="J181" i="5"/>
  <c r="J182" i="5"/>
  <c r="K182" i="5" s="1"/>
  <c r="J183" i="5"/>
  <c r="J184" i="5"/>
  <c r="K184" i="5" s="1"/>
  <c r="J185" i="5"/>
  <c r="K185" i="5" s="1"/>
  <c r="J186" i="5"/>
  <c r="K186" i="5" s="1"/>
  <c r="J187" i="5"/>
  <c r="K187" i="5" s="1"/>
  <c r="J188" i="5"/>
  <c r="J189" i="5"/>
  <c r="J190" i="5"/>
  <c r="J191" i="5"/>
  <c r="J192" i="5"/>
  <c r="J193" i="5"/>
  <c r="J194" i="5"/>
  <c r="K194" i="5" s="1"/>
  <c r="J195" i="5"/>
  <c r="J196" i="5"/>
  <c r="J197" i="5"/>
  <c r="J198" i="5"/>
  <c r="J199" i="5"/>
  <c r="K199" i="5" s="1"/>
  <c r="J200" i="5"/>
  <c r="J201" i="5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J232" i="5"/>
  <c r="K232" i="5" s="1"/>
  <c r="J233" i="5"/>
  <c r="K233" i="5" s="1"/>
  <c r="J234" i="5"/>
  <c r="J235" i="5"/>
  <c r="K235" i="5" s="1"/>
  <c r="J236" i="5"/>
  <c r="K236" i="5" s="1"/>
  <c r="J237" i="5"/>
  <c r="K237" i="5" s="1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J264" i="5"/>
  <c r="J265" i="5"/>
  <c r="J266" i="5"/>
  <c r="J267" i="5"/>
  <c r="K267" i="5" s="1"/>
  <c r="J268" i="5"/>
  <c r="K268" i="5" s="1"/>
  <c r="J269" i="5"/>
  <c r="J270" i="5"/>
  <c r="K270" i="5" s="1"/>
  <c r="J271" i="5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J297" i="5"/>
  <c r="K297" i="5" s="1"/>
  <c r="J298" i="5"/>
  <c r="K298" i="5" s="1"/>
  <c r="J299" i="5"/>
  <c r="K299" i="5" s="1"/>
  <c r="J300" i="5"/>
  <c r="K300" i="5" s="1"/>
  <c r="J301" i="5"/>
  <c r="K301" i="5" s="1"/>
  <c r="Q322" i="5"/>
  <c r="T320" i="5"/>
  <c r="Q320" i="5"/>
  <c r="P320" i="5"/>
  <c r="M320" i="5"/>
  <c r="J320" i="5"/>
  <c r="K320" i="5" s="1"/>
  <c r="T319" i="5"/>
  <c r="Q319" i="5"/>
  <c r="P319" i="5"/>
  <c r="M319" i="5"/>
  <c r="J319" i="5"/>
  <c r="K319" i="5" s="1"/>
  <c r="T322" i="5"/>
  <c r="P322" i="5"/>
  <c r="M322" i="5"/>
  <c r="J322" i="5"/>
  <c r="K322" i="5" s="1"/>
  <c r="T321" i="5"/>
  <c r="Q321" i="5"/>
  <c r="P321" i="5"/>
  <c r="M321" i="5"/>
  <c r="J321" i="5"/>
  <c r="K321" i="5" s="1"/>
  <c r="Q146" i="5"/>
  <c r="Q147" i="5"/>
  <c r="Q148" i="5"/>
  <c r="Q149" i="5"/>
  <c r="Q150" i="5"/>
  <c r="Q151" i="5"/>
  <c r="Q152" i="5"/>
  <c r="Q153" i="5"/>
  <c r="Q154" i="5"/>
  <c r="Q155" i="5"/>
  <c r="Q156" i="5"/>
  <c r="Q157" i="5"/>
  <c r="J304" i="5"/>
  <c r="K304" i="5" s="1"/>
  <c r="J305" i="5"/>
  <c r="K305" i="5" s="1"/>
  <c r="J306" i="5"/>
  <c r="K306" i="5" s="1"/>
  <c r="J307" i="5"/>
  <c r="K307" i="5"/>
  <c r="J308" i="5"/>
  <c r="K308" i="5" s="1"/>
  <c r="J309" i="5"/>
  <c r="K309" i="5"/>
  <c r="J310" i="5"/>
  <c r="K310" i="5" s="1"/>
  <c r="J311" i="5"/>
  <c r="K311" i="5" s="1"/>
  <c r="J312" i="5"/>
  <c r="K312" i="5" s="1"/>
  <c r="J313" i="5"/>
  <c r="K313" i="5"/>
  <c r="J314" i="5"/>
  <c r="K314" i="5"/>
  <c r="J315" i="5"/>
  <c r="K315" i="5"/>
  <c r="J316" i="5"/>
  <c r="K316" i="5"/>
  <c r="J317" i="5"/>
  <c r="K317" i="5"/>
  <c r="J318" i="5"/>
  <c r="K318" i="5" s="1"/>
  <c r="P314" i="5"/>
  <c r="Q314" i="5"/>
  <c r="P315" i="5"/>
  <c r="Q315" i="5"/>
  <c r="P316" i="5"/>
  <c r="Q316" i="5"/>
  <c r="P317" i="5"/>
  <c r="Q317" i="5"/>
  <c r="P318" i="5"/>
  <c r="Q318" i="5"/>
  <c r="T318" i="5"/>
  <c r="M318" i="5"/>
  <c r="T317" i="5"/>
  <c r="M317" i="5"/>
  <c r="T316" i="5"/>
  <c r="M316" i="5"/>
  <c r="T315" i="5"/>
  <c r="M315" i="5"/>
  <c r="T314" i="5"/>
  <c r="M314" i="5"/>
  <c r="T313" i="5"/>
  <c r="Q313" i="5"/>
  <c r="P313" i="5"/>
  <c r="M313" i="5"/>
  <c r="T312" i="5"/>
  <c r="Q312" i="5"/>
  <c r="P312" i="5"/>
  <c r="M312" i="5"/>
  <c r="T311" i="5"/>
  <c r="Q311" i="5"/>
  <c r="P311" i="5"/>
  <c r="M311" i="5"/>
  <c r="T310" i="5"/>
  <c r="Q310" i="5"/>
  <c r="P310" i="5"/>
  <c r="M310" i="5"/>
  <c r="T309" i="5"/>
  <c r="Q309" i="5"/>
  <c r="P309" i="5"/>
  <c r="M309" i="5"/>
  <c r="T308" i="5"/>
  <c r="Q308" i="5"/>
  <c r="P308" i="5"/>
  <c r="M308" i="5"/>
  <c r="T307" i="5"/>
  <c r="Q307" i="5"/>
  <c r="P307" i="5"/>
  <c r="M307" i="5"/>
  <c r="T306" i="5"/>
  <c r="Q306" i="5"/>
  <c r="P306" i="5"/>
  <c r="M306" i="5"/>
  <c r="T305" i="5"/>
  <c r="Q305" i="5"/>
  <c r="P305" i="5"/>
  <c r="M305" i="5"/>
  <c r="T304" i="5"/>
  <c r="Q304" i="5"/>
  <c r="P304" i="5"/>
  <c r="M304" i="5"/>
  <c r="T303" i="5"/>
  <c r="Q303" i="5"/>
  <c r="P303" i="5"/>
  <c r="M303" i="5"/>
  <c r="J303" i="5"/>
  <c r="K303" i="5" s="1"/>
  <c r="T301" i="5"/>
  <c r="Q301" i="5"/>
  <c r="P301" i="5"/>
  <c r="M301" i="5"/>
  <c r="T302" i="5"/>
  <c r="Q302" i="5"/>
  <c r="P302" i="5"/>
  <c r="M302" i="5"/>
  <c r="J302" i="5"/>
  <c r="K302" i="5" s="1"/>
  <c r="S300" i="5"/>
  <c r="T300" i="5" s="1"/>
  <c r="R300" i="5"/>
  <c r="S299" i="5"/>
  <c r="T299" i="5" s="1"/>
  <c r="R299" i="5"/>
  <c r="S298" i="5"/>
  <c r="T298" i="5" s="1"/>
  <c r="R298" i="5"/>
  <c r="S297" i="5"/>
  <c r="T297" i="5" s="1"/>
  <c r="R297" i="5"/>
  <c r="S296" i="5"/>
  <c r="T296" i="5" s="1"/>
  <c r="R296" i="5"/>
  <c r="S295" i="5"/>
  <c r="T295" i="5" s="1"/>
  <c r="R295" i="5"/>
  <c r="Q300" i="5"/>
  <c r="P300" i="5"/>
  <c r="M300" i="5"/>
  <c r="Q299" i="5"/>
  <c r="P299" i="5"/>
  <c r="M299" i="5"/>
  <c r="Q298" i="5"/>
  <c r="P298" i="5"/>
  <c r="M298" i="5"/>
  <c r="Q297" i="5"/>
  <c r="P297" i="5"/>
  <c r="M297" i="5"/>
  <c r="Q296" i="5"/>
  <c r="P296" i="5"/>
  <c r="M296" i="5"/>
  <c r="K296" i="5"/>
  <c r="Q295" i="5"/>
  <c r="P295" i="5"/>
  <c r="M295" i="5"/>
  <c r="S294" i="5"/>
  <c r="T294" i="5" s="1"/>
  <c r="S293" i="5"/>
  <c r="T293" i="5" s="1"/>
  <c r="S292" i="5"/>
  <c r="T292" i="5" s="1"/>
  <c r="S291" i="5"/>
  <c r="T291" i="5" s="1"/>
  <c r="R294" i="5"/>
  <c r="R293" i="5"/>
  <c r="R292" i="5"/>
  <c r="R291" i="5"/>
  <c r="Q294" i="5"/>
  <c r="P294" i="5"/>
  <c r="M294" i="5"/>
  <c r="Q293" i="5"/>
  <c r="P293" i="5"/>
  <c r="M293" i="5"/>
  <c r="Q292" i="5"/>
  <c r="P292" i="5"/>
  <c r="M292" i="5"/>
  <c r="Q291" i="5"/>
  <c r="P291" i="5"/>
  <c r="M291" i="5"/>
  <c r="T290" i="5"/>
  <c r="Q290" i="5"/>
  <c r="P290" i="5"/>
  <c r="M290" i="5"/>
  <c r="T289" i="5"/>
  <c r="Q289" i="5"/>
  <c r="P289" i="5"/>
  <c r="M289" i="5"/>
  <c r="T288" i="5"/>
  <c r="Q288" i="5"/>
  <c r="P288" i="5"/>
  <c r="M288" i="5"/>
  <c r="T287" i="5"/>
  <c r="Q287" i="5"/>
  <c r="P287" i="5"/>
  <c r="M287" i="5"/>
  <c r="T282" i="5"/>
  <c r="Q282" i="5"/>
  <c r="P282" i="5"/>
  <c r="M282" i="5"/>
  <c r="T281" i="5"/>
  <c r="Q281" i="5"/>
  <c r="P281" i="5"/>
  <c r="M281" i="5"/>
  <c r="T284" i="5"/>
  <c r="Q284" i="5"/>
  <c r="P284" i="5"/>
  <c r="M284" i="5"/>
  <c r="T283" i="5"/>
  <c r="Q283" i="5"/>
  <c r="P283" i="5"/>
  <c r="M283" i="5"/>
  <c r="T280" i="5"/>
  <c r="Q280" i="5"/>
  <c r="P280" i="5"/>
  <c r="M280" i="5"/>
  <c r="T279" i="5"/>
  <c r="Q279" i="5"/>
  <c r="P279" i="5"/>
  <c r="M279" i="5"/>
  <c r="T278" i="5"/>
  <c r="Q278" i="5"/>
  <c r="P278" i="5"/>
  <c r="M278" i="5"/>
  <c r="T285" i="5"/>
  <c r="Q285" i="5"/>
  <c r="P285" i="5"/>
  <c r="M285" i="5"/>
  <c r="T286" i="5"/>
  <c r="Q286" i="5"/>
  <c r="P286" i="5"/>
  <c r="M286" i="5"/>
  <c r="T277" i="5"/>
  <c r="Q277" i="5"/>
  <c r="P277" i="5"/>
  <c r="M277" i="5"/>
  <c r="T275" i="5"/>
  <c r="Q275" i="5"/>
  <c r="P275" i="5"/>
  <c r="M275" i="5"/>
  <c r="T273" i="5"/>
  <c r="Q273" i="5"/>
  <c r="P273" i="5"/>
  <c r="M273" i="5"/>
  <c r="T272" i="5"/>
  <c r="Q272" i="5"/>
  <c r="P272" i="5"/>
  <c r="M272" i="5"/>
  <c r="T276" i="5"/>
  <c r="Q276" i="5"/>
  <c r="P276" i="5"/>
  <c r="M276" i="5"/>
  <c r="M274" i="5"/>
  <c r="T274" i="5"/>
  <c r="Q274" i="5"/>
  <c r="P274" i="5"/>
  <c r="S153" i="5"/>
  <c r="S154" i="5"/>
  <c r="S152" i="5"/>
  <c r="R153" i="5"/>
  <c r="R154" i="5"/>
  <c r="R152" i="5"/>
  <c r="Q6" i="5"/>
  <c r="Q5" i="5"/>
  <c r="Q4" i="5"/>
  <c r="Q3" i="5"/>
  <c r="Q8" i="5"/>
  <c r="Q7" i="5"/>
  <c r="J5" i="5"/>
  <c r="K5" i="5" s="1"/>
  <c r="J4" i="5"/>
  <c r="K4" i="5" s="1"/>
  <c r="J3" i="5"/>
  <c r="K3" i="5" s="1"/>
  <c r="T6" i="5"/>
  <c r="P6" i="5"/>
  <c r="M6" i="5"/>
  <c r="T5" i="5"/>
  <c r="P5" i="5"/>
  <c r="M5" i="5"/>
  <c r="T4" i="5"/>
  <c r="P4" i="5"/>
  <c r="M4" i="5"/>
  <c r="T3" i="5"/>
  <c r="P3" i="5"/>
  <c r="M3" i="5"/>
  <c r="S199" i="5"/>
  <c r="T199" i="5" s="1"/>
  <c r="S200" i="5"/>
  <c r="S198" i="5"/>
  <c r="R199" i="5"/>
  <c r="R200" i="5"/>
  <c r="R198" i="5"/>
  <c r="Q199" i="5"/>
  <c r="P199" i="5"/>
  <c r="M199" i="5"/>
  <c r="Q200" i="5"/>
  <c r="Q198" i="5"/>
  <c r="R201" i="5"/>
  <c r="S201" i="5"/>
  <c r="Q201" i="5"/>
  <c r="Q185" i="5"/>
  <c r="Q186" i="5"/>
  <c r="Q187" i="5"/>
  <c r="T187" i="5"/>
  <c r="T186" i="5"/>
  <c r="T185" i="5"/>
  <c r="P187" i="5"/>
  <c r="M187" i="5"/>
  <c r="P186" i="5"/>
  <c r="M186" i="5"/>
  <c r="P185" i="5"/>
  <c r="M185" i="5"/>
  <c r="Q133" i="5"/>
  <c r="Q132" i="5"/>
  <c r="T76" i="5"/>
  <c r="Q76" i="5"/>
  <c r="P76" i="5"/>
  <c r="M76" i="5"/>
  <c r="T77" i="5"/>
  <c r="Q77" i="5"/>
  <c r="P77" i="5"/>
  <c r="M77" i="5"/>
  <c r="Q75" i="5"/>
  <c r="Q235" i="5"/>
  <c r="Q234" i="5"/>
  <c r="T235" i="5"/>
  <c r="P235" i="5"/>
  <c r="M235" i="5"/>
  <c r="Q238" i="5"/>
  <c r="Q237" i="5"/>
  <c r="Q236" i="5"/>
  <c r="Q239" i="5"/>
  <c r="T238" i="5"/>
  <c r="P238" i="5"/>
  <c r="M238" i="5"/>
  <c r="K238" i="5"/>
  <c r="T237" i="5"/>
  <c r="P237" i="5"/>
  <c r="M237" i="5"/>
  <c r="T236" i="5"/>
  <c r="P236" i="5"/>
  <c r="M236" i="5"/>
  <c r="T161" i="5"/>
  <c r="T162" i="5"/>
  <c r="T163" i="5"/>
  <c r="T164" i="5"/>
  <c r="T165" i="5"/>
  <c r="T166" i="5"/>
  <c r="T167" i="5"/>
  <c r="T168" i="5"/>
  <c r="T169" i="5"/>
  <c r="T170" i="5"/>
  <c r="S32" i="5"/>
  <c r="T30" i="5"/>
  <c r="Q30" i="5"/>
  <c r="P30" i="5"/>
  <c r="M30" i="5"/>
  <c r="Q32" i="5"/>
  <c r="Q31" i="5"/>
  <c r="M232" i="5"/>
  <c r="T232" i="5"/>
  <c r="Q232" i="5"/>
  <c r="P232" i="5"/>
  <c r="T230" i="5"/>
  <c r="Q230" i="5"/>
  <c r="P230" i="5"/>
  <c r="M230" i="5"/>
  <c r="T233" i="5"/>
  <c r="Q233" i="5"/>
  <c r="P233" i="5"/>
  <c r="M233" i="5"/>
  <c r="T231" i="5"/>
  <c r="Q231" i="5"/>
  <c r="P231" i="5"/>
  <c r="M231" i="5"/>
  <c r="K231" i="5"/>
  <c r="Q46" i="5"/>
  <c r="Q45" i="5"/>
  <c r="Q44" i="5"/>
  <c r="Q43" i="5"/>
  <c r="Q42" i="5"/>
  <c r="Q266" i="5"/>
  <c r="Q263" i="5"/>
  <c r="Q264" i="5"/>
  <c r="Q261" i="5"/>
  <c r="Q262" i="5"/>
  <c r="Q259" i="5"/>
  <c r="Q260" i="5"/>
  <c r="Q265" i="5"/>
  <c r="T260" i="5"/>
  <c r="P260" i="5"/>
  <c r="M260" i="5"/>
  <c r="T259" i="5"/>
  <c r="P259" i="5"/>
  <c r="M259" i="5"/>
  <c r="T262" i="5"/>
  <c r="P262" i="5"/>
  <c r="M262" i="5"/>
  <c r="T261" i="5"/>
  <c r="P261" i="5"/>
  <c r="M261" i="5"/>
  <c r="Q136" i="5"/>
  <c r="Q137" i="5"/>
  <c r="T137" i="5"/>
  <c r="P137" i="5"/>
  <c r="M137" i="5"/>
  <c r="K137" i="5"/>
  <c r="T258" i="5"/>
  <c r="Q258" i="5"/>
  <c r="P258" i="5"/>
  <c r="M258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40" i="5"/>
  <c r="T141" i="5"/>
  <c r="Q141" i="5"/>
  <c r="P141" i="5"/>
  <c r="M141" i="5"/>
  <c r="T140" i="5"/>
  <c r="Q140" i="5"/>
  <c r="P140" i="5"/>
  <c r="M140" i="5"/>
  <c r="T139" i="5"/>
  <c r="Q139" i="5"/>
  <c r="P139" i="5"/>
  <c r="M139" i="5"/>
  <c r="T138" i="5"/>
  <c r="Q138" i="5"/>
  <c r="P138" i="5"/>
  <c r="M138" i="5"/>
  <c r="Q143" i="5"/>
  <c r="Q144" i="5"/>
  <c r="Q145" i="5"/>
  <c r="Q142" i="5"/>
  <c r="S10" i="5"/>
  <c r="T10" i="5" s="1"/>
  <c r="R10" i="5"/>
  <c r="S9" i="5"/>
  <c r="R9" i="5"/>
  <c r="Q10" i="5"/>
  <c r="P10" i="5"/>
  <c r="M10" i="5"/>
  <c r="K10" i="5"/>
  <c r="Q9" i="5"/>
  <c r="Q158" i="5"/>
  <c r="Q131" i="5"/>
  <c r="Q130" i="5"/>
  <c r="Q82" i="5"/>
  <c r="Q83" i="5"/>
  <c r="Q84" i="5"/>
  <c r="Q85" i="5"/>
  <c r="Q86" i="5"/>
  <c r="Q87" i="5"/>
  <c r="Q88" i="5"/>
  <c r="Q81" i="5"/>
  <c r="M85" i="5"/>
  <c r="Q89" i="5"/>
  <c r="Q90" i="5"/>
  <c r="R12" i="5"/>
  <c r="R11" i="5"/>
  <c r="S12" i="5"/>
  <c r="T12" i="5" s="1"/>
  <c r="Q12" i="5"/>
  <c r="Q11" i="5"/>
  <c r="S11" i="5"/>
  <c r="T11" i="5" s="1"/>
  <c r="T269" i="5"/>
  <c r="Q269" i="5"/>
  <c r="P269" i="5"/>
  <c r="M269" i="5"/>
  <c r="K269" i="5"/>
  <c r="T271" i="5"/>
  <c r="Q271" i="5"/>
  <c r="P271" i="5"/>
  <c r="M271" i="5"/>
  <c r="K271" i="5"/>
  <c r="T270" i="5"/>
  <c r="Q270" i="5"/>
  <c r="P270" i="5"/>
  <c r="M270" i="5"/>
  <c r="T267" i="5"/>
  <c r="Q267" i="5"/>
  <c r="P267" i="5"/>
  <c r="M267" i="5"/>
  <c r="T268" i="5"/>
  <c r="Q268" i="5"/>
  <c r="P268" i="5"/>
  <c r="M268" i="5"/>
  <c r="S219" i="5"/>
  <c r="T219" i="5" s="1"/>
  <c r="S221" i="5"/>
  <c r="T221" i="5" s="1"/>
  <c r="S220" i="5"/>
  <c r="T220" i="5" s="1"/>
  <c r="S214" i="5"/>
  <c r="T214" i="5" s="1"/>
  <c r="S217" i="5"/>
  <c r="T217" i="5" s="1"/>
  <c r="S216" i="5"/>
  <c r="T216" i="5" s="1"/>
  <c r="S218" i="5"/>
  <c r="T218" i="5" s="1"/>
  <c r="S215" i="5"/>
  <c r="T215" i="5" s="1"/>
  <c r="S223" i="5"/>
  <c r="T223" i="5" s="1"/>
  <c r="S227" i="5"/>
  <c r="T227" i="5" s="1"/>
  <c r="S226" i="5"/>
  <c r="T226" i="5" s="1"/>
  <c r="S224" i="5"/>
  <c r="T224" i="5" s="1"/>
  <c r="S222" i="5"/>
  <c r="T222" i="5" s="1"/>
  <c r="S229" i="5"/>
  <c r="T229" i="5" s="1"/>
  <c r="S225" i="5"/>
  <c r="T225" i="5" s="1"/>
  <c r="S228" i="5"/>
  <c r="T228" i="5" s="1"/>
  <c r="R219" i="5"/>
  <c r="R221" i="5"/>
  <c r="R220" i="5"/>
  <c r="R214" i="5"/>
  <c r="R217" i="5"/>
  <c r="R216" i="5"/>
  <c r="R218" i="5"/>
  <c r="R215" i="5"/>
  <c r="R223" i="5"/>
  <c r="R227" i="5"/>
  <c r="R226" i="5"/>
  <c r="R224" i="5"/>
  <c r="R222" i="5"/>
  <c r="R229" i="5"/>
  <c r="R225" i="5"/>
  <c r="R228" i="5"/>
  <c r="M225" i="5"/>
  <c r="M229" i="5"/>
  <c r="M222" i="5"/>
  <c r="M224" i="5"/>
  <c r="M226" i="5"/>
  <c r="M227" i="5"/>
  <c r="M223" i="5"/>
  <c r="M215" i="5"/>
  <c r="M218" i="5"/>
  <c r="M216" i="5"/>
  <c r="M217" i="5"/>
  <c r="M214" i="5"/>
  <c r="M220" i="5"/>
  <c r="M221" i="5"/>
  <c r="M219" i="5"/>
  <c r="M228" i="5"/>
  <c r="Q219" i="5"/>
  <c r="P219" i="5"/>
  <c r="Q221" i="5"/>
  <c r="P221" i="5"/>
  <c r="Q220" i="5"/>
  <c r="P220" i="5"/>
  <c r="Q214" i="5"/>
  <c r="P214" i="5"/>
  <c r="Q217" i="5"/>
  <c r="P217" i="5"/>
  <c r="Q216" i="5"/>
  <c r="P216" i="5"/>
  <c r="Q218" i="5"/>
  <c r="P218" i="5"/>
  <c r="Q215" i="5"/>
  <c r="P215" i="5"/>
  <c r="Q223" i="5"/>
  <c r="P223" i="5"/>
  <c r="Q227" i="5"/>
  <c r="P227" i="5"/>
  <c r="Q226" i="5"/>
  <c r="P226" i="5"/>
  <c r="Q224" i="5"/>
  <c r="P224" i="5"/>
  <c r="Q222" i="5"/>
  <c r="P222" i="5"/>
  <c r="Q229" i="5"/>
  <c r="P229" i="5"/>
  <c r="Q225" i="5"/>
  <c r="P225" i="5"/>
  <c r="Q228" i="5"/>
  <c r="P228" i="5"/>
  <c r="S55" i="5"/>
  <c r="T55" i="5" s="1"/>
  <c r="R55" i="5"/>
  <c r="Q55" i="5"/>
  <c r="P55" i="5"/>
  <c r="M55" i="5"/>
  <c r="P168" i="5"/>
  <c r="P170" i="5"/>
  <c r="Q167" i="5"/>
  <c r="P167" i="5"/>
  <c r="M167" i="5"/>
  <c r="Q161" i="5"/>
  <c r="P161" i="5"/>
  <c r="M161" i="5"/>
  <c r="Q169" i="5"/>
  <c r="P169" i="5"/>
  <c r="M169" i="5"/>
  <c r="Q163" i="5"/>
  <c r="P163" i="5"/>
  <c r="M163" i="5"/>
  <c r="Q165" i="5"/>
  <c r="P165" i="5"/>
  <c r="M165" i="5"/>
  <c r="Q168" i="5"/>
  <c r="M168" i="5"/>
  <c r="Q162" i="5"/>
  <c r="P162" i="5"/>
  <c r="M162" i="5"/>
  <c r="Q170" i="5"/>
  <c r="M170" i="5"/>
  <c r="K170" i="5"/>
  <c r="Q164" i="5"/>
  <c r="P164" i="5"/>
  <c r="M164" i="5"/>
  <c r="Q166" i="5"/>
  <c r="P166" i="5"/>
  <c r="M166" i="5"/>
  <c r="Q117" i="5"/>
  <c r="Q120" i="5"/>
  <c r="Q121" i="5"/>
  <c r="Q118" i="5"/>
  <c r="S80" i="5"/>
  <c r="T80" i="5" s="1"/>
  <c r="R80" i="5"/>
  <c r="S79" i="5"/>
  <c r="T79" i="5" s="1"/>
  <c r="R79" i="5"/>
  <c r="Q80" i="5"/>
  <c r="P80" i="5"/>
  <c r="M80" i="5"/>
  <c r="Q79" i="5"/>
  <c r="P79" i="5"/>
  <c r="M79" i="5"/>
  <c r="R54" i="5"/>
  <c r="R53" i="5"/>
  <c r="R52" i="5"/>
  <c r="R51" i="5"/>
  <c r="R50" i="5"/>
  <c r="R49" i="5"/>
  <c r="R48" i="5"/>
  <c r="R47" i="5"/>
  <c r="P54" i="5"/>
  <c r="M54" i="5"/>
  <c r="P53" i="5"/>
  <c r="M53" i="5"/>
  <c r="P52" i="5"/>
  <c r="M52" i="5"/>
  <c r="P51" i="5"/>
  <c r="M51" i="5"/>
  <c r="P49" i="5"/>
  <c r="M49" i="5"/>
  <c r="P48" i="5"/>
  <c r="M48" i="5"/>
  <c r="M15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M25" i="5"/>
  <c r="T16" i="5"/>
  <c r="P16" i="5"/>
  <c r="M16" i="5"/>
  <c r="S193" i="5"/>
  <c r="R193" i="5"/>
  <c r="S188" i="5"/>
  <c r="R188" i="5"/>
  <c r="R191" i="5"/>
  <c r="S191" i="5"/>
  <c r="S190" i="5"/>
  <c r="R190" i="5"/>
  <c r="S194" i="5"/>
  <c r="R194" i="5"/>
  <c r="Q188" i="5"/>
  <c r="Q189" i="5"/>
  <c r="Q190" i="5"/>
  <c r="Q191" i="5"/>
  <c r="Q192" i="5"/>
  <c r="Q193" i="5"/>
  <c r="Q194" i="5"/>
  <c r="M194" i="5"/>
  <c r="S189" i="5"/>
  <c r="S195" i="5"/>
  <c r="S196" i="5"/>
  <c r="S197" i="5"/>
  <c r="S192" i="5"/>
  <c r="R192" i="5"/>
  <c r="M189" i="5"/>
  <c r="R189" i="5"/>
  <c r="R195" i="5"/>
  <c r="R196" i="5"/>
  <c r="Q195" i="5"/>
  <c r="Q196" i="5"/>
  <c r="Q197" i="5"/>
  <c r="R197" i="5"/>
  <c r="S70" i="5"/>
  <c r="Q70" i="5"/>
  <c r="R70" i="5"/>
  <c r="Q206" i="5"/>
  <c r="P206" i="5"/>
  <c r="M206" i="5"/>
  <c r="T207" i="5"/>
  <c r="Q207" i="5"/>
  <c r="P207" i="5"/>
  <c r="M207" i="5"/>
  <c r="Q203" i="5"/>
  <c r="P203" i="5"/>
  <c r="M203" i="5"/>
  <c r="T202" i="5"/>
  <c r="Q202" i="5"/>
  <c r="P202" i="5"/>
  <c r="M202" i="5"/>
  <c r="Q205" i="5"/>
  <c r="P205" i="5"/>
  <c r="M205" i="5"/>
  <c r="Q204" i="5"/>
  <c r="P204" i="5"/>
  <c r="M204" i="5"/>
  <c r="Q213" i="5"/>
  <c r="P213" i="5"/>
  <c r="M213" i="5"/>
  <c r="Q211" i="5"/>
  <c r="P211" i="5"/>
  <c r="M211" i="5"/>
  <c r="T208" i="5"/>
  <c r="Q208" i="5"/>
  <c r="P208" i="5"/>
  <c r="M208" i="5"/>
  <c r="Q212" i="5"/>
  <c r="P212" i="5"/>
  <c r="M212" i="5"/>
  <c r="Q210" i="5"/>
  <c r="P210" i="5"/>
  <c r="M210" i="5"/>
  <c r="M209" i="5"/>
  <c r="P209" i="5"/>
  <c r="Q209" i="5"/>
  <c r="T209" i="5"/>
  <c r="R126" i="5"/>
  <c r="S126" i="5"/>
  <c r="Q14" i="5"/>
  <c r="Q37" i="5"/>
  <c r="Q38" i="5"/>
  <c r="Q39" i="5"/>
  <c r="Q40" i="5"/>
  <c r="Q41" i="5"/>
  <c r="Q56" i="5"/>
  <c r="Q57" i="5"/>
  <c r="Q58" i="5"/>
  <c r="Q62" i="5"/>
  <c r="Q63" i="5"/>
  <c r="Q64" i="5"/>
  <c r="Q65" i="5"/>
  <c r="Q66" i="5"/>
  <c r="Q67" i="5"/>
  <c r="Q68" i="5"/>
  <c r="Q69" i="5"/>
  <c r="Q59" i="5"/>
  <c r="Q60" i="5"/>
  <c r="Q61" i="5"/>
  <c r="Q78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22" i="5"/>
  <c r="Q123" i="5"/>
  <c r="Q124" i="5"/>
  <c r="Q125" i="5"/>
  <c r="Q126" i="5"/>
  <c r="Q127" i="5"/>
  <c r="Q128" i="5"/>
  <c r="Q129" i="5"/>
  <c r="Q159" i="5"/>
  <c r="Q160" i="5"/>
  <c r="Q171" i="5"/>
  <c r="Q172" i="5"/>
  <c r="Q177" i="5"/>
  <c r="Q178" i="5"/>
  <c r="Q179" i="5"/>
  <c r="Q180" i="5"/>
  <c r="Q181" i="5"/>
  <c r="Q182" i="5"/>
  <c r="Q183" i="5"/>
  <c r="Q184" i="5"/>
  <c r="Q13" i="5"/>
  <c r="P177" i="5"/>
  <c r="T182" i="5"/>
  <c r="P182" i="5"/>
  <c r="M182" i="5"/>
  <c r="T178" i="5"/>
  <c r="P178" i="5"/>
  <c r="M178" i="5"/>
  <c r="T180" i="5"/>
  <c r="P180" i="5"/>
  <c r="M180" i="5"/>
  <c r="T184" i="5"/>
  <c r="M183" i="5"/>
  <c r="P184" i="5"/>
  <c r="M184" i="5"/>
  <c r="M177" i="5"/>
  <c r="S129" i="5"/>
  <c r="T129" i="5" s="1"/>
  <c r="P129" i="5"/>
  <c r="S125" i="5"/>
  <c r="T125" i="5" s="1"/>
  <c r="S124" i="5"/>
  <c r="T124" i="5" s="1"/>
  <c r="S123" i="5"/>
  <c r="T123" i="5" s="1"/>
  <c r="S122" i="5"/>
  <c r="T122" i="5" s="1"/>
  <c r="P125" i="5"/>
  <c r="P123" i="5"/>
  <c r="P124" i="5"/>
  <c r="P122" i="5"/>
  <c r="S109" i="5"/>
  <c r="T109" i="5" s="1"/>
  <c r="R109" i="5"/>
  <c r="S112" i="5"/>
  <c r="T112" i="5" s="1"/>
  <c r="R112" i="5"/>
  <c r="S113" i="5"/>
  <c r="T113" i="5" s="1"/>
  <c r="R113" i="5"/>
  <c r="P112" i="5"/>
  <c r="M112" i="5"/>
  <c r="S114" i="5"/>
  <c r="T114" i="5" s="1"/>
  <c r="R114" i="5"/>
  <c r="S110" i="5"/>
  <c r="T110" i="5" s="1"/>
  <c r="R110" i="5"/>
  <c r="S111" i="5"/>
  <c r="T111" i="5" s="1"/>
  <c r="R111" i="5"/>
  <c r="S116" i="5"/>
  <c r="T116" i="5" s="1"/>
  <c r="R116" i="5"/>
  <c r="S115" i="5"/>
  <c r="T115" i="5" s="1"/>
  <c r="R115" i="5"/>
  <c r="S108" i="5"/>
  <c r="T108" i="5" s="1"/>
  <c r="R108" i="5"/>
  <c r="S107" i="5"/>
  <c r="T107" i="5" s="1"/>
  <c r="R107" i="5"/>
  <c r="P109" i="5"/>
  <c r="M109" i="5"/>
  <c r="P113" i="5"/>
  <c r="M113" i="5"/>
  <c r="P114" i="5"/>
  <c r="M114" i="5"/>
  <c r="P110" i="5"/>
  <c r="M110" i="5"/>
  <c r="P111" i="5"/>
  <c r="M111" i="5"/>
  <c r="P116" i="5"/>
  <c r="M116" i="5"/>
  <c r="P108" i="5"/>
  <c r="M108" i="5"/>
  <c r="P115" i="5"/>
  <c r="M115" i="5"/>
  <c r="M107" i="5"/>
  <c r="P107" i="5"/>
  <c r="T69" i="5"/>
  <c r="P69" i="5"/>
  <c r="M69" i="5"/>
  <c r="T68" i="5"/>
  <c r="P68" i="5"/>
  <c r="M68" i="5"/>
  <c r="T67" i="5"/>
  <c r="P67" i="5"/>
  <c r="M67" i="5"/>
  <c r="T66" i="5"/>
  <c r="P66" i="5"/>
  <c r="M66" i="5"/>
  <c r="T65" i="5"/>
  <c r="P65" i="5"/>
  <c r="M65" i="5"/>
  <c r="T64" i="5"/>
  <c r="P64" i="5"/>
  <c r="M64" i="5"/>
  <c r="T63" i="5"/>
  <c r="P63" i="5"/>
  <c r="M63" i="5"/>
  <c r="T58" i="5"/>
  <c r="P58" i="5"/>
  <c r="S127" i="5"/>
  <c r="S128" i="5"/>
  <c r="R127" i="5"/>
  <c r="R128" i="5"/>
  <c r="L94" i="5"/>
  <c r="J94" i="5" s="1"/>
  <c r="L105" i="5"/>
  <c r="J105" i="5" s="1"/>
  <c r="L95" i="5"/>
  <c r="J95" i="5" s="1"/>
  <c r="L96" i="5"/>
  <c r="J96" i="5" s="1"/>
  <c r="L97" i="5"/>
  <c r="J97" i="5" s="1"/>
  <c r="L103" i="5"/>
  <c r="J103" i="5" s="1"/>
  <c r="L92" i="5"/>
  <c r="J92" i="5" s="1"/>
  <c r="L98" i="5"/>
  <c r="J98" i="5" s="1"/>
  <c r="L104" i="5"/>
  <c r="J104" i="5" s="1"/>
  <c r="L102" i="5"/>
  <c r="J102" i="5" s="1"/>
  <c r="L100" i="5"/>
  <c r="J100" i="5" s="1"/>
  <c r="L101" i="5"/>
  <c r="J101" i="5" s="1"/>
  <c r="L106" i="5"/>
  <c r="J106" i="5" s="1"/>
  <c r="L93" i="5"/>
  <c r="L99" i="5"/>
  <c r="R94" i="5"/>
  <c r="R105" i="5"/>
  <c r="R95" i="5"/>
  <c r="R96" i="5"/>
  <c r="R97" i="5"/>
  <c r="R103" i="5"/>
  <c r="R92" i="5"/>
  <c r="R98" i="5"/>
  <c r="T98" i="5"/>
  <c r="R104" i="5"/>
  <c r="R102" i="5"/>
  <c r="R100" i="5"/>
  <c r="R101" i="5"/>
  <c r="R106" i="5"/>
  <c r="R93" i="5"/>
  <c r="R99" i="5"/>
  <c r="T176" i="5"/>
  <c r="T175" i="5"/>
  <c r="T173" i="5"/>
  <c r="T174" i="5"/>
  <c r="P176" i="5"/>
  <c r="P175" i="5"/>
  <c r="P173" i="5"/>
  <c r="P174" i="5"/>
  <c r="S172" i="5"/>
  <c r="T172" i="5" s="1"/>
  <c r="R172" i="5"/>
  <c r="S171" i="5"/>
  <c r="T171" i="5" s="1"/>
  <c r="R171" i="5"/>
  <c r="P172" i="5"/>
  <c r="M172" i="5"/>
  <c r="P171" i="5"/>
  <c r="M171" i="5"/>
  <c r="S91" i="5"/>
  <c r="R91" i="5"/>
  <c r="S40" i="5"/>
  <c r="R40" i="5"/>
  <c r="R38" i="5"/>
  <c r="S38" i="5"/>
  <c r="K103" i="5" l="1"/>
  <c r="M96" i="5"/>
  <c r="S37" i="5"/>
  <c r="T37" i="5" s="1"/>
  <c r="R37" i="5"/>
  <c r="T40" i="5"/>
  <c r="T38" i="5"/>
  <c r="P40" i="5"/>
  <c r="M40" i="5"/>
  <c r="P38" i="5"/>
  <c r="M38" i="5"/>
  <c r="P37" i="5"/>
  <c r="M37" i="5"/>
  <c r="K40" i="5"/>
  <c r="K38" i="5"/>
  <c r="K37" i="5"/>
  <c r="T91" i="5"/>
  <c r="P91" i="5"/>
  <c r="M91" i="5"/>
  <c r="K91" i="5"/>
  <c r="K39" i="5"/>
  <c r="S41" i="5"/>
  <c r="T41" i="5" s="1"/>
  <c r="R39" i="5"/>
  <c r="R41" i="5"/>
  <c r="S39" i="5"/>
  <c r="T39" i="5" s="1"/>
  <c r="O36" i="5"/>
  <c r="Q36" i="5" s="1"/>
  <c r="O35" i="5"/>
  <c r="O34" i="5"/>
  <c r="O33" i="5"/>
  <c r="J33" i="5" s="1"/>
  <c r="K41" i="5"/>
  <c r="S14" i="5"/>
  <c r="T14" i="5" s="1"/>
  <c r="R14" i="5"/>
  <c r="S13" i="5"/>
  <c r="T13" i="5" s="1"/>
  <c r="R13" i="5"/>
  <c r="T56" i="5"/>
  <c r="K14" i="5"/>
  <c r="K13" i="5"/>
  <c r="S35" i="5"/>
  <c r="T35" i="5" s="1"/>
  <c r="S34" i="5"/>
  <c r="T34" i="5" s="1"/>
  <c r="S36" i="5"/>
  <c r="T36" i="5" s="1"/>
  <c r="R33" i="5"/>
  <c r="S33" i="5"/>
  <c r="T33" i="5" s="1"/>
  <c r="K160" i="5"/>
  <c r="K159" i="5"/>
  <c r="K57" i="5"/>
  <c r="K56" i="5"/>
  <c r="K78" i="5"/>
  <c r="P56" i="5"/>
  <c r="P57" i="5"/>
  <c r="M56" i="5"/>
  <c r="M57" i="5"/>
  <c r="T57" i="5"/>
  <c r="P41" i="5"/>
  <c r="M41" i="5"/>
  <c r="T197" i="5"/>
  <c r="P197" i="5"/>
  <c r="M197" i="5"/>
  <c r="K197" i="5"/>
  <c r="T196" i="5"/>
  <c r="P196" i="5"/>
  <c r="M196" i="5"/>
  <c r="K196" i="5"/>
  <c r="T29" i="5"/>
  <c r="P29" i="5"/>
  <c r="M29" i="5"/>
  <c r="K29" i="5"/>
  <c r="P39" i="5"/>
  <c r="M39" i="5"/>
  <c r="T28" i="5"/>
  <c r="P28" i="5"/>
  <c r="M28" i="5"/>
  <c r="K28" i="5"/>
  <c r="T27" i="5"/>
  <c r="P27" i="5"/>
  <c r="M27" i="5"/>
  <c r="K27" i="5"/>
  <c r="T26" i="5"/>
  <c r="P26" i="5"/>
  <c r="M26" i="5"/>
  <c r="K26" i="5"/>
  <c r="M33" i="5"/>
  <c r="T25" i="5"/>
  <c r="P25" i="5"/>
  <c r="K25" i="5"/>
  <c r="T195" i="5"/>
  <c r="P195" i="5"/>
  <c r="M195" i="5"/>
  <c r="K195" i="5"/>
  <c r="T21" i="5"/>
  <c r="P21" i="5"/>
  <c r="M21" i="5"/>
  <c r="K21" i="5"/>
  <c r="T120" i="5"/>
  <c r="T20" i="5"/>
  <c r="P20" i="5"/>
  <c r="M20" i="5"/>
  <c r="K20" i="5"/>
  <c r="T94" i="5"/>
  <c r="P94" i="5"/>
  <c r="M94" i="5"/>
  <c r="K94" i="5"/>
  <c r="T189" i="5"/>
  <c r="P189" i="5"/>
  <c r="K189" i="5"/>
  <c r="T15" i="5"/>
  <c r="P15" i="5"/>
  <c r="K15" i="5"/>
  <c r="T106" i="5"/>
  <c r="P106" i="5"/>
  <c r="M106" i="5"/>
  <c r="K106" i="5"/>
  <c r="P14" i="5"/>
  <c r="M14" i="5"/>
  <c r="P13" i="5"/>
  <c r="M13" i="5"/>
  <c r="T24" i="5"/>
  <c r="P24" i="5"/>
  <c r="M24" i="5"/>
  <c r="K24" i="5"/>
  <c r="T105" i="5"/>
  <c r="P105" i="5"/>
  <c r="M105" i="5"/>
  <c r="K105" i="5"/>
  <c r="T23" i="5"/>
  <c r="P23" i="5"/>
  <c r="M23" i="5"/>
  <c r="K23" i="5"/>
  <c r="P50" i="5"/>
  <c r="M50" i="5"/>
  <c r="K50" i="5"/>
  <c r="P47" i="5"/>
  <c r="M47" i="5"/>
  <c r="K47" i="5"/>
  <c r="T104" i="5"/>
  <c r="P104" i="5"/>
  <c r="M104" i="5"/>
  <c r="K104" i="5"/>
  <c r="T155" i="5"/>
  <c r="P155" i="5"/>
  <c r="M155" i="5"/>
  <c r="K155" i="5"/>
  <c r="P12" i="5"/>
  <c r="M12" i="5"/>
  <c r="K12" i="5"/>
  <c r="T22" i="5"/>
  <c r="P22" i="5"/>
  <c r="M22" i="5"/>
  <c r="K22" i="5"/>
  <c r="T103" i="5"/>
  <c r="P103" i="5"/>
  <c r="M103" i="5"/>
  <c r="T257" i="5"/>
  <c r="P257" i="5"/>
  <c r="M257" i="5"/>
  <c r="K257" i="5"/>
  <c r="T256" i="5"/>
  <c r="P256" i="5"/>
  <c r="M256" i="5"/>
  <c r="K256" i="5"/>
  <c r="T149" i="5"/>
  <c r="P149" i="5"/>
  <c r="M149" i="5"/>
  <c r="K149" i="5"/>
  <c r="T150" i="5"/>
  <c r="P150" i="5"/>
  <c r="M150" i="5"/>
  <c r="K150" i="5"/>
  <c r="T148" i="5"/>
  <c r="P148" i="5"/>
  <c r="M148" i="5"/>
  <c r="K148" i="5"/>
  <c r="T151" i="5"/>
  <c r="P151" i="5"/>
  <c r="M151" i="5"/>
  <c r="K151" i="5"/>
  <c r="T234" i="5"/>
  <c r="P234" i="5"/>
  <c r="M234" i="5"/>
  <c r="K234" i="5"/>
  <c r="T239" i="5"/>
  <c r="P239" i="5"/>
  <c r="M239" i="5"/>
  <c r="K239" i="5"/>
  <c r="T75" i="5"/>
  <c r="P75" i="5"/>
  <c r="M75" i="5"/>
  <c r="K75" i="5"/>
  <c r="T102" i="5"/>
  <c r="P102" i="5"/>
  <c r="M102" i="5"/>
  <c r="K102" i="5"/>
  <c r="T74" i="5"/>
  <c r="T73" i="5"/>
  <c r="T72" i="5"/>
  <c r="T71" i="5"/>
  <c r="T61" i="5"/>
  <c r="P61" i="5"/>
  <c r="M61" i="5"/>
  <c r="K61" i="5"/>
  <c r="T60" i="5"/>
  <c r="P60" i="5"/>
  <c r="M60" i="5"/>
  <c r="K60" i="5"/>
  <c r="T59" i="5"/>
  <c r="P59" i="5"/>
  <c r="M59" i="5"/>
  <c r="K59" i="5"/>
  <c r="T62" i="5"/>
  <c r="P62" i="5"/>
  <c r="M62" i="5"/>
  <c r="K62" i="5"/>
  <c r="T121" i="5"/>
  <c r="T255" i="5"/>
  <c r="P255" i="5"/>
  <c r="M255" i="5"/>
  <c r="K255" i="5"/>
  <c r="T254" i="5"/>
  <c r="P254" i="5"/>
  <c r="M254" i="5"/>
  <c r="K254" i="5"/>
  <c r="T253" i="5"/>
  <c r="P253" i="5"/>
  <c r="M253" i="5"/>
  <c r="K253" i="5"/>
  <c r="T194" i="5"/>
  <c r="P194" i="5"/>
  <c r="T101" i="5"/>
  <c r="P101" i="5"/>
  <c r="M101" i="5"/>
  <c r="K101" i="5"/>
  <c r="T160" i="5"/>
  <c r="P160" i="5"/>
  <c r="M160" i="5"/>
  <c r="T159" i="5"/>
  <c r="P159" i="5"/>
  <c r="M159" i="5"/>
  <c r="T9" i="5"/>
  <c r="P9" i="5"/>
  <c r="M9" i="5"/>
  <c r="K9" i="5"/>
  <c r="T100" i="5"/>
  <c r="P100" i="5"/>
  <c r="M100" i="5"/>
  <c r="K100" i="5"/>
  <c r="T119" i="5"/>
  <c r="T153" i="5"/>
  <c r="P153" i="5"/>
  <c r="M153" i="5"/>
  <c r="K153" i="5"/>
  <c r="T154" i="5"/>
  <c r="P154" i="5"/>
  <c r="M154" i="5"/>
  <c r="K154" i="5"/>
  <c r="T152" i="5"/>
  <c r="P152" i="5"/>
  <c r="M152" i="5"/>
  <c r="K152" i="5"/>
  <c r="T133" i="5"/>
  <c r="P133" i="5"/>
  <c r="M133" i="5"/>
  <c r="K133" i="5"/>
  <c r="T201" i="5"/>
  <c r="P201" i="5"/>
  <c r="M201" i="5"/>
  <c r="K201" i="5"/>
  <c r="T99" i="5"/>
  <c r="P99" i="5"/>
  <c r="M99" i="5"/>
  <c r="K99" i="5"/>
  <c r="T7" i="5"/>
  <c r="P7" i="5"/>
  <c r="M7" i="5"/>
  <c r="T8" i="5"/>
  <c r="P8" i="5"/>
  <c r="M8" i="5"/>
  <c r="T127" i="5"/>
  <c r="P127" i="5"/>
  <c r="M127" i="5"/>
  <c r="K127" i="5"/>
  <c r="T128" i="5"/>
  <c r="P128" i="5"/>
  <c r="M128" i="5"/>
  <c r="K128" i="5"/>
  <c r="T147" i="5"/>
  <c r="P147" i="5"/>
  <c r="M147" i="5"/>
  <c r="K147" i="5"/>
  <c r="T146" i="5"/>
  <c r="P146" i="5"/>
  <c r="M146" i="5"/>
  <c r="K146" i="5"/>
  <c r="T200" i="5"/>
  <c r="P200" i="5"/>
  <c r="M200" i="5"/>
  <c r="K200" i="5"/>
  <c r="T198" i="5"/>
  <c r="P198" i="5"/>
  <c r="M198" i="5"/>
  <c r="K198" i="5"/>
  <c r="T193" i="5"/>
  <c r="P193" i="5"/>
  <c r="M193" i="5"/>
  <c r="K193" i="5"/>
  <c r="T252" i="5"/>
  <c r="P252" i="5"/>
  <c r="M252" i="5"/>
  <c r="K252" i="5"/>
  <c r="T251" i="5"/>
  <c r="P251" i="5"/>
  <c r="M251" i="5"/>
  <c r="K251" i="5"/>
  <c r="T250" i="5"/>
  <c r="P250" i="5"/>
  <c r="M250" i="5"/>
  <c r="K250" i="5"/>
  <c r="T19" i="5"/>
  <c r="P19" i="5"/>
  <c r="M19" i="5"/>
  <c r="K19" i="5"/>
  <c r="T131" i="5"/>
  <c r="P131" i="5"/>
  <c r="M131" i="5"/>
  <c r="K131" i="5"/>
  <c r="P98" i="5"/>
  <c r="M98" i="5"/>
  <c r="T192" i="5"/>
  <c r="P192" i="5"/>
  <c r="M192" i="5"/>
  <c r="T46" i="5"/>
  <c r="P46" i="5"/>
  <c r="M46" i="5"/>
  <c r="K46" i="5"/>
  <c r="T45" i="5"/>
  <c r="P45" i="5"/>
  <c r="M45" i="5"/>
  <c r="K45" i="5"/>
  <c r="T44" i="5"/>
  <c r="P44" i="5"/>
  <c r="M44" i="5"/>
  <c r="K44" i="5"/>
  <c r="T43" i="5"/>
  <c r="P43" i="5"/>
  <c r="M43" i="5"/>
  <c r="K43" i="5"/>
  <c r="T42" i="5"/>
  <c r="P42" i="5"/>
  <c r="M42" i="5"/>
  <c r="K42" i="5"/>
  <c r="T97" i="5"/>
  <c r="P97" i="5"/>
  <c r="M97" i="5"/>
  <c r="K97" i="5"/>
  <c r="T31" i="5"/>
  <c r="P31" i="5"/>
  <c r="M31" i="5"/>
  <c r="K31" i="5"/>
  <c r="T32" i="5"/>
  <c r="P32" i="5"/>
  <c r="M32" i="5"/>
  <c r="K32" i="5"/>
  <c r="T249" i="5"/>
  <c r="P249" i="5"/>
  <c r="M249" i="5"/>
  <c r="K249" i="5"/>
  <c r="T248" i="5"/>
  <c r="P248" i="5"/>
  <c r="M248" i="5"/>
  <c r="K248" i="5"/>
  <c r="T247" i="5"/>
  <c r="P247" i="5"/>
  <c r="M247" i="5"/>
  <c r="K247" i="5"/>
  <c r="T118" i="5"/>
  <c r="T96" i="5"/>
  <c r="P96" i="5"/>
  <c r="K96" i="5"/>
  <c r="T183" i="5"/>
  <c r="P183" i="5"/>
  <c r="K183" i="5"/>
  <c r="T95" i="5"/>
  <c r="P95" i="5"/>
  <c r="M95" i="5"/>
  <c r="K95" i="5"/>
  <c r="T191" i="5"/>
  <c r="P191" i="5"/>
  <c r="M191" i="5"/>
  <c r="T190" i="5"/>
  <c r="P190" i="5"/>
  <c r="M190" i="5"/>
  <c r="K190" i="5"/>
  <c r="T18" i="5"/>
  <c r="P18" i="5"/>
  <c r="M18" i="5"/>
  <c r="K18" i="5"/>
  <c r="T266" i="5"/>
  <c r="P266" i="5"/>
  <c r="M266" i="5"/>
  <c r="K266" i="5"/>
  <c r="T265" i="5"/>
  <c r="P265" i="5"/>
  <c r="M265" i="5"/>
  <c r="K265" i="5"/>
  <c r="T264" i="5"/>
  <c r="P264" i="5"/>
  <c r="M264" i="5"/>
  <c r="K264" i="5"/>
  <c r="T263" i="5"/>
  <c r="P263" i="5"/>
  <c r="M263" i="5"/>
  <c r="K263" i="5"/>
  <c r="T132" i="5"/>
  <c r="P132" i="5"/>
  <c r="M132" i="5"/>
  <c r="K132" i="5"/>
  <c r="T126" i="5"/>
  <c r="P126" i="5"/>
  <c r="M126" i="5"/>
  <c r="K126" i="5"/>
  <c r="T117" i="5"/>
  <c r="T181" i="5"/>
  <c r="P181" i="5"/>
  <c r="M181" i="5"/>
  <c r="K181" i="5"/>
  <c r="T17" i="5"/>
  <c r="P17" i="5"/>
  <c r="M17" i="5"/>
  <c r="K17" i="5"/>
  <c r="T145" i="5"/>
  <c r="P145" i="5"/>
  <c r="M145" i="5"/>
  <c r="K145" i="5"/>
  <c r="T144" i="5"/>
  <c r="P144" i="5"/>
  <c r="M144" i="5"/>
  <c r="K144" i="5"/>
  <c r="T143" i="5"/>
  <c r="P143" i="5"/>
  <c r="M143" i="5"/>
  <c r="K143" i="5"/>
  <c r="T142" i="5"/>
  <c r="P142" i="5"/>
  <c r="M142" i="5"/>
  <c r="K142" i="5"/>
  <c r="T246" i="5"/>
  <c r="P246" i="5"/>
  <c r="M246" i="5"/>
  <c r="K246" i="5"/>
  <c r="T245" i="5"/>
  <c r="P245" i="5"/>
  <c r="M245" i="5"/>
  <c r="K245" i="5"/>
  <c r="T244" i="5"/>
  <c r="P244" i="5"/>
  <c r="M244" i="5"/>
  <c r="K244" i="5"/>
  <c r="T90" i="5"/>
  <c r="P90" i="5"/>
  <c r="M90" i="5"/>
  <c r="K90" i="5"/>
  <c r="T89" i="5"/>
  <c r="P89" i="5"/>
  <c r="M89" i="5"/>
  <c r="K89" i="5"/>
  <c r="T136" i="5"/>
  <c r="P136" i="5"/>
  <c r="M136" i="5"/>
  <c r="K136" i="5"/>
  <c r="T243" i="5"/>
  <c r="P243" i="5"/>
  <c r="M243" i="5"/>
  <c r="K243" i="5"/>
  <c r="T242" i="5"/>
  <c r="P242" i="5"/>
  <c r="M242" i="5"/>
  <c r="K242" i="5"/>
  <c r="T241" i="5"/>
  <c r="P241" i="5"/>
  <c r="M241" i="5"/>
  <c r="K241" i="5"/>
  <c r="T240" i="5"/>
  <c r="P240" i="5"/>
  <c r="M240" i="5"/>
  <c r="K240" i="5"/>
  <c r="T188" i="5"/>
  <c r="P188" i="5"/>
  <c r="M188" i="5"/>
  <c r="K188" i="5"/>
  <c r="T158" i="5"/>
  <c r="P158" i="5"/>
  <c r="M158" i="5"/>
  <c r="K158" i="5"/>
  <c r="T157" i="5"/>
  <c r="P157" i="5"/>
  <c r="M157" i="5"/>
  <c r="K157" i="5"/>
  <c r="T156" i="5"/>
  <c r="P156" i="5"/>
  <c r="M156" i="5"/>
  <c r="K156" i="5"/>
  <c r="T86" i="5"/>
  <c r="P86" i="5"/>
  <c r="M86" i="5"/>
  <c r="K86" i="5"/>
  <c r="T82" i="5"/>
  <c r="P82" i="5"/>
  <c r="M82" i="5"/>
  <c r="K82" i="5"/>
  <c r="T88" i="5"/>
  <c r="P88" i="5"/>
  <c r="M88" i="5"/>
  <c r="K88" i="5"/>
  <c r="T87" i="5"/>
  <c r="P87" i="5"/>
  <c r="M87" i="5"/>
  <c r="K87" i="5"/>
  <c r="T84" i="5"/>
  <c r="P84" i="5"/>
  <c r="M84" i="5"/>
  <c r="K84" i="5"/>
  <c r="T83" i="5"/>
  <c r="P83" i="5"/>
  <c r="M83" i="5"/>
  <c r="K83" i="5"/>
  <c r="T81" i="5"/>
  <c r="P81" i="5"/>
  <c r="M81" i="5"/>
  <c r="K81" i="5"/>
  <c r="T85" i="5"/>
  <c r="P85" i="5"/>
  <c r="K85" i="5"/>
  <c r="T179" i="5"/>
  <c r="P179" i="5"/>
  <c r="M179" i="5"/>
  <c r="K179" i="5"/>
  <c r="P11" i="5"/>
  <c r="M11" i="5"/>
  <c r="K11" i="5"/>
  <c r="T93" i="5"/>
  <c r="P93" i="5"/>
  <c r="M93" i="5"/>
  <c r="K93" i="5"/>
  <c r="T130" i="5"/>
  <c r="P130" i="5"/>
  <c r="M130" i="5"/>
  <c r="K130" i="5"/>
  <c r="T92" i="5"/>
  <c r="P92" i="5"/>
  <c r="M92" i="5"/>
  <c r="K92" i="5"/>
  <c r="T70" i="5"/>
  <c r="P70" i="5"/>
  <c r="M70" i="5"/>
  <c r="K70" i="5"/>
  <c r="T78" i="5"/>
  <c r="P78" i="5"/>
  <c r="M78" i="5"/>
  <c r="T177" i="5"/>
  <c r="K177" i="5"/>
  <c r="P34" i="5" l="1"/>
  <c r="Q34" i="5"/>
  <c r="P35" i="5"/>
  <c r="Q35" i="5"/>
  <c r="P33" i="5"/>
  <c r="Q33" i="5"/>
  <c r="K192" i="5"/>
  <c r="K33" i="5"/>
  <c r="P36" i="5"/>
  <c r="K98" i="5"/>
  <c r="K191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Hongyuan Zhang</author>
  </authors>
  <commentList>
    <comment ref="J2" authorId="0" shapeId="0" xr:uid="{761178C7-C845-4EA4-AF12-6146A04D9C96}">
      <text>
        <r>
          <rPr>
            <b/>
            <sz val="9"/>
            <color indexed="81"/>
            <rFont val="Tahoma"/>
            <family val="2"/>
          </rPr>
          <t>Hongyuan Zhang:</t>
        </r>
        <r>
          <rPr>
            <sz val="9"/>
            <color indexed="81"/>
            <rFont val="Tahoma"/>
            <family val="2"/>
          </rPr>
          <t xml:space="preserve">
A/gs, when gs decreases, A/gs increases, so that water conserved
Angiopserms (A/gs&lt;70): Less Conserved
Ferns (70&lt;=A/gs &lt;80): Conserved
Gymnosperm (A/gs&gt;=80): More Conserved
Deans, R. M., et al. (2019). "Plant water‐use strategy mediates stomatal effects on the light induction of photosynthesis." New Phytologist 222(1): 382-395.</t>
        </r>
      </text>
    </comment>
    <comment ref="S2" authorId="0" shapeId="0" xr:uid="{ADD8B655-A721-40CE-87DC-CA040227103F}">
      <text>
        <r>
          <rPr>
            <b/>
            <sz val="9"/>
            <color indexed="81"/>
            <rFont val="Tahoma"/>
            <family val="2"/>
          </rPr>
          <t>Hongyuan Zhang:</t>
        </r>
        <r>
          <rPr>
            <sz val="9"/>
            <color indexed="81"/>
            <rFont val="Tahoma"/>
            <family val="2"/>
          </rPr>
          <t xml:space="preserve">
Tgs90: the time to reach 90% steady-state gs
Angiopserms (Tgs90&gt;45): Slow
Gymnosperm (20&lt;=Tgs90&lt;45): Intermediate
Ferns (Tgs90&lt;20): Fast
Deans, R. M., et al. (2019). "Plant water‐use strategy mediates stomatal effects on the light induction of photosynthesis." New Phytologist 222(1): 382-395.</t>
        </r>
      </text>
    </comment>
  </commentList>
</comments>
</file>

<file path=xl/sharedStrings.xml><?xml version="1.0" encoding="utf-8"?>
<sst xmlns="http://schemas.openxmlformats.org/spreadsheetml/2006/main" count="4899" uniqueCount="763">
  <si>
    <t>Stomatal response</t>
  </si>
  <si>
    <t>Lineages</t>
  </si>
  <si>
    <t>Habitat</t>
  </si>
  <si>
    <t>Comment</t>
  </si>
  <si>
    <t>Species</t>
  </si>
  <si>
    <t>Outgroup: lacks stomatal responses to BL</t>
  </si>
  <si>
    <t>Adiantum capillus-veneris</t>
  </si>
  <si>
    <t>Number</t>
  </si>
  <si>
    <t>basal vascular</t>
  </si>
  <si>
    <t>higher vascular</t>
  </si>
  <si>
    <t>C3</t>
  </si>
  <si>
    <t>Scientific name</t>
  </si>
  <si>
    <t>Common name</t>
  </si>
  <si>
    <t>Rice</t>
  </si>
  <si>
    <t>Oryza sativa</t>
  </si>
  <si>
    <t>Vasculature</t>
  </si>
  <si>
    <t>Photosynthetic pathway</t>
  </si>
  <si>
    <t xml:space="preserve">Light </t>
  </si>
  <si>
    <t>Temperature</t>
  </si>
  <si>
    <t>RH</t>
  </si>
  <si>
    <t>Category</t>
  </si>
  <si>
    <t>Growth condition</t>
  </si>
  <si>
    <t>Alocasia macrorrhiza</t>
  </si>
  <si>
    <t>Giant Taro</t>
  </si>
  <si>
    <t>Tropical shade</t>
  </si>
  <si>
    <t>23-26/15-20</t>
  </si>
  <si>
    <t>NA</t>
  </si>
  <si>
    <t>30-50</t>
  </si>
  <si>
    <t>Water use</t>
  </si>
  <si>
    <t>Japanese Stiltgrass</t>
  </si>
  <si>
    <t>C4</t>
  </si>
  <si>
    <t>60%-70%</t>
  </si>
  <si>
    <t>Tropical sun</t>
  </si>
  <si>
    <t>61%-75%</t>
  </si>
  <si>
    <t>Accession T4177 has the fastest stomatal closure during sun-shade transition</t>
  </si>
  <si>
    <t>Maize</t>
  </si>
  <si>
    <t>Zea mays</t>
  </si>
  <si>
    <t>ambient</t>
  </si>
  <si>
    <t>25/18</t>
  </si>
  <si>
    <t>Solanum lycopersicum</t>
  </si>
  <si>
    <t>Tomato</t>
  </si>
  <si>
    <t>Temperate sun</t>
  </si>
  <si>
    <t>22/20</t>
  </si>
  <si>
    <t>Wheat</t>
  </si>
  <si>
    <t>Triticum aestivum</t>
  </si>
  <si>
    <t>Calculated from supporting data (csv)</t>
  </si>
  <si>
    <t>24/19</t>
  </si>
  <si>
    <t>Piper auritum</t>
  </si>
  <si>
    <t>Hoja Santa</t>
  </si>
  <si>
    <t>Piper aequale</t>
  </si>
  <si>
    <t>Arabidopsis thaliana</t>
  </si>
  <si>
    <t>Temperate shade</t>
  </si>
  <si>
    <t>Arabidopsis</t>
  </si>
  <si>
    <t>Southern Maidenhair Fern</t>
  </si>
  <si>
    <t>25/15</t>
  </si>
  <si>
    <t>Dicksonia antarctica</t>
  </si>
  <si>
    <t>Soft Tree Fern</t>
  </si>
  <si>
    <t>Histiopteris incisa</t>
  </si>
  <si>
    <t>Bat's Wing Fern</t>
  </si>
  <si>
    <t>Hypolepis rugosula</t>
  </si>
  <si>
    <t>Ruddy Ground-Fern</t>
  </si>
  <si>
    <t>Marsilea drummondii</t>
  </si>
  <si>
    <t>Nardoo</t>
  </si>
  <si>
    <t>Austrocedrus chilensis</t>
  </si>
  <si>
    <t>Chilean Cedar</t>
  </si>
  <si>
    <t>Gymnosperm</t>
  </si>
  <si>
    <t>Pinus radiata</t>
  </si>
  <si>
    <t>Monterey Pine</t>
  </si>
  <si>
    <t>Prumnopitys ladei</t>
  </si>
  <si>
    <t>Mount Spurgeon Black Pine</t>
  </si>
  <si>
    <t>Could be 25 m tall! Austrilian National University</t>
  </si>
  <si>
    <t>Could be 15-30 m tall! University of Tasmania</t>
  </si>
  <si>
    <t>Could be 24 m tall! University of Tasmania</t>
  </si>
  <si>
    <t>Eucalyptus pauciflora</t>
  </si>
  <si>
    <t>Snow Gum</t>
  </si>
  <si>
    <t>Could be 4-8 m tall! Austrilian National University</t>
  </si>
  <si>
    <t>Gossypium hirsutum</t>
  </si>
  <si>
    <t>Upland Cotton</t>
  </si>
  <si>
    <t>3 m. Austrilian National University</t>
  </si>
  <si>
    <t>Nothofagus cunninghamii</t>
  </si>
  <si>
    <t>Myrtle Beech</t>
  </si>
  <si>
    <t>Could be 50 m tall! Austrilian National University</t>
  </si>
  <si>
    <t>Spinacia oleracea</t>
  </si>
  <si>
    <t>Spinach</t>
  </si>
  <si>
    <t>Vicia faba</t>
  </si>
  <si>
    <t>Faba Bean</t>
  </si>
  <si>
    <t>Vitis vinifera</t>
  </si>
  <si>
    <t>Phlebodium aureum</t>
  </si>
  <si>
    <t>Golden Serpent Fern</t>
  </si>
  <si>
    <t>Nephrolepis cordifolia</t>
  </si>
  <si>
    <t>Fishbone Fern</t>
  </si>
  <si>
    <t>Taxus baccata</t>
  </si>
  <si>
    <t>English yew</t>
  </si>
  <si>
    <t>Ginkgo</t>
  </si>
  <si>
    <t>Nerium oleander</t>
  </si>
  <si>
    <t>Oleander</t>
  </si>
  <si>
    <t>Ginkgo biloba</t>
  </si>
  <si>
    <t>Could be 10-15 m tall! Illes Balears University</t>
  </si>
  <si>
    <t>Could be 20-50 m tall! Illes Balears University</t>
  </si>
  <si>
    <t>Populus nigra</t>
  </si>
  <si>
    <t>Black Poplar</t>
  </si>
  <si>
    <t>Helianthus annuus</t>
  </si>
  <si>
    <t>Centella asiatica</t>
  </si>
  <si>
    <t>25/20</t>
  </si>
  <si>
    <t>25/ambient</t>
  </si>
  <si>
    <t>Sorghum bicolor</t>
  </si>
  <si>
    <t>Sorghum</t>
  </si>
  <si>
    <t>Miscanthus nepalensis</t>
  </si>
  <si>
    <t>Himalayan Fairy Grass</t>
  </si>
  <si>
    <t>Hordeum vulgare</t>
  </si>
  <si>
    <t>Barley</t>
  </si>
  <si>
    <t>Avena sativa</t>
  </si>
  <si>
    <t>Oat</t>
  </si>
  <si>
    <t>Nicotiana tabacum</t>
  </si>
  <si>
    <t>Tobacco</t>
  </si>
  <si>
    <t>23/23</t>
  </si>
  <si>
    <t>VPD 1.1 kPa</t>
  </si>
  <si>
    <t>Phaseolus vulgaris</t>
  </si>
  <si>
    <t>French Bean</t>
  </si>
  <si>
    <t>Pisum sativum</t>
  </si>
  <si>
    <t>Pea</t>
  </si>
  <si>
    <t>Sunflower</t>
  </si>
  <si>
    <t>Grape Vine</t>
  </si>
  <si>
    <t>Brassica oleracea</t>
  </si>
  <si>
    <t>Brassica napus</t>
  </si>
  <si>
    <t>Brassica rapa</t>
  </si>
  <si>
    <t>Oil Seed Rape</t>
  </si>
  <si>
    <t>European list of invasive alien species, gs response faster than A</t>
  </si>
  <si>
    <t>Slow stomatal closure. leptosporangiate fern</t>
  </si>
  <si>
    <t>Manihot esculenta</t>
  </si>
  <si>
    <t>Cassava</t>
  </si>
  <si>
    <t>28/ambient</t>
  </si>
  <si>
    <t>VPD 1.5 kPa</t>
  </si>
  <si>
    <t>TMS98/0505</t>
  </si>
  <si>
    <t>TME693</t>
  </si>
  <si>
    <t>TME693 showed the slowest induction</t>
  </si>
  <si>
    <t>Glycine max</t>
  </si>
  <si>
    <t>Soybean</t>
  </si>
  <si>
    <t>LD02-4485 (NAM12)</t>
  </si>
  <si>
    <t>U03-100612 (NAM23)</t>
  </si>
  <si>
    <t>20/10</t>
  </si>
  <si>
    <t>Paris quadrifolia</t>
  </si>
  <si>
    <t>Herb Paris</t>
  </si>
  <si>
    <t>Fast induction shade plant</t>
  </si>
  <si>
    <t>Willow</t>
  </si>
  <si>
    <t>Salix sp.</t>
  </si>
  <si>
    <t>Fast-growing sun plant</t>
  </si>
  <si>
    <t>Festuca ovina</t>
  </si>
  <si>
    <t>Slow-growing sun plant</t>
  </si>
  <si>
    <t>Sheep Fescue</t>
  </si>
  <si>
    <t>Pinus sylvestris</t>
  </si>
  <si>
    <t>Coffea arabica</t>
  </si>
  <si>
    <t>Arabic Coffee</t>
  </si>
  <si>
    <t>100% ambient</t>
  </si>
  <si>
    <t>10% ambient</t>
  </si>
  <si>
    <t>21/ambient</t>
  </si>
  <si>
    <t>Betula pubescens</t>
  </si>
  <si>
    <t>Alnus glutinosa</t>
  </si>
  <si>
    <t>Fagus sylvatica</t>
  </si>
  <si>
    <t>Downy Birch</t>
  </si>
  <si>
    <t xml:space="preserve"> Black Alder</t>
  </si>
  <si>
    <t>European Beech</t>
  </si>
  <si>
    <t>Evolved in wet habitat behaves similar to ferns. Illes Balears University</t>
  </si>
  <si>
    <t>Col-0 (CS60000)</t>
  </si>
  <si>
    <t>22/22</t>
  </si>
  <si>
    <t>Scots Pine</t>
  </si>
  <si>
    <t>24/24</t>
  </si>
  <si>
    <t>Pteris cretica</t>
  </si>
  <si>
    <t>Cretan Brake Fern</t>
  </si>
  <si>
    <t>Asplenium scolopendrium</t>
  </si>
  <si>
    <t>Hart's-Tongue Fern</t>
  </si>
  <si>
    <t>Nephrolepis auriculata</t>
  </si>
  <si>
    <t>Tuberous Sword Fern</t>
  </si>
  <si>
    <t>Osmunda japonica</t>
  </si>
  <si>
    <t>Asian Royal Fern</t>
  </si>
  <si>
    <t>Alsophila mertensiana</t>
  </si>
  <si>
    <t>Thelypteris acuminata</t>
  </si>
  <si>
    <t>Lepisorus thunbergianus</t>
  </si>
  <si>
    <t>Weeping Fern</t>
  </si>
  <si>
    <t>20/15</t>
  </si>
  <si>
    <t>Lactuca sativa</t>
  </si>
  <si>
    <t>Lettuce</t>
  </si>
  <si>
    <t>Yes</t>
  </si>
  <si>
    <t>No</t>
  </si>
  <si>
    <t>PhyYesozome</t>
  </si>
  <si>
    <t>Fast stomatal closure, high photosynthesis, clustered as sun-adapted species</t>
  </si>
  <si>
    <t>Accession T4174 has the slowest stomatal closure during sun-shade transition</t>
  </si>
  <si>
    <t>23/31</t>
  </si>
  <si>
    <t>&gt;70%</t>
  </si>
  <si>
    <t xml:space="preserve">IR64 (IRGC #117268), upper canopy </t>
  </si>
  <si>
    <t xml:space="preserve">IR64 (IRGC #117268), lower canopy </t>
  </si>
  <si>
    <t>28/23</t>
  </si>
  <si>
    <t>stepwise increase of irridiance</t>
  </si>
  <si>
    <t>also with ABA deficient flacca mutant</t>
  </si>
  <si>
    <t>20/18</t>
  </si>
  <si>
    <t>30/20</t>
  </si>
  <si>
    <t>sing step increase of irridiance</t>
  </si>
  <si>
    <t>28/22</t>
  </si>
  <si>
    <t>C2</t>
  </si>
  <si>
    <t>Musa spp.</t>
  </si>
  <si>
    <t>Banana</t>
  </si>
  <si>
    <t>26/ambient</t>
  </si>
  <si>
    <t>Banksii</t>
  </si>
  <si>
    <t>Cachaco</t>
  </si>
  <si>
    <t>Kluai Tiparot</t>
  </si>
  <si>
    <t>Leite</t>
  </si>
  <si>
    <t>Mbwazirume</t>
  </si>
  <si>
    <t>Ocimum basilicum</t>
  </si>
  <si>
    <t>Basil</t>
  </si>
  <si>
    <t>Chrysanthemum morifolium</t>
  </si>
  <si>
    <t>Chrysanthemum</t>
  </si>
  <si>
    <t>Cucumis sativus</t>
  </si>
  <si>
    <t>Cucumber</t>
  </si>
  <si>
    <t>Rosa hybrida</t>
  </si>
  <si>
    <t>Rose</t>
  </si>
  <si>
    <t>20/19</t>
  </si>
  <si>
    <t>BTx623</t>
  </si>
  <si>
    <t>one of (IAC 165, IR64 (PSBRc82), Kaybonnet, Shan-Huang Zhan-2)</t>
  </si>
  <si>
    <t>32/20</t>
  </si>
  <si>
    <t>Rosa chinensis</t>
  </si>
  <si>
    <t>Beta vulgaris</t>
  </si>
  <si>
    <t>Sugar beet</t>
  </si>
  <si>
    <t>Reference</t>
  </si>
  <si>
    <t>Experimental conditions</t>
  </si>
  <si>
    <t>Daily PFD 0.4</t>
  </si>
  <si>
    <t>Daily PFD 18-25</t>
  </si>
  <si>
    <t>VPD or humidity</t>
  </si>
  <si>
    <t>0.6 kPa</t>
  </si>
  <si>
    <t>Microstegium Vimineum</t>
  </si>
  <si>
    <t>50% ambient</t>
  </si>
  <si>
    <t>Cultivar</t>
  </si>
  <si>
    <t>Fern (Leptosporangiopsida)</t>
  </si>
  <si>
    <t>Angiosperm (Eudicot)</t>
  </si>
  <si>
    <t>Angiosperm (Monocot)</t>
  </si>
  <si>
    <t>1.2 kPa</t>
  </si>
  <si>
    <t>A90  (µmol m-2 s-1)</t>
  </si>
  <si>
    <t>Col-0</t>
  </si>
  <si>
    <t>14 mmol H2O mol 1 air</t>
  </si>
  <si>
    <t xml:space="preserve"> Quanzi</t>
  </si>
  <si>
    <t xml:space="preserve"> 64peng-10</t>
  </si>
  <si>
    <t xml:space="preserve"> Huayouza No.9 (华油杂9号)</t>
  </si>
  <si>
    <t xml:space="preserve"> No.28887</t>
  </si>
  <si>
    <t xml:space="preserve"> Xiangyou No.15 (湘油15号)</t>
  </si>
  <si>
    <t xml:space="preserve"> Zheyou No.21</t>
  </si>
  <si>
    <t xml:space="preserve"> Chuanyou No.20</t>
  </si>
  <si>
    <t xml:space="preserve"> Shengguang No.127</t>
  </si>
  <si>
    <t xml:space="preserve"> Elgar</t>
  </si>
  <si>
    <t xml:space="preserve"> Anastasia (CHA)</t>
  </si>
  <si>
    <t xml:space="preserve"> Baltica (CHB)</t>
  </si>
  <si>
    <t xml:space="preserve"> Radost (CHR)</t>
  </si>
  <si>
    <t xml:space="preserve"> Yellow Zembla (CHY)</t>
  </si>
  <si>
    <t xml:space="preserve"> Catuaí Vermelho IAC 44 (sun)</t>
  </si>
  <si>
    <t xml:space="preserve"> Catuaí Vermelho IAC 44 (shade)</t>
  </si>
  <si>
    <t xml:space="preserve"> Hipower (CUH)</t>
  </si>
  <si>
    <t xml:space="preserve"> Mewa (CUM)</t>
  </si>
  <si>
    <t xml:space="preserve"> Proloog (CUP)</t>
  </si>
  <si>
    <t xml:space="preserve"> Deltastar (CT, sun)</t>
  </si>
  <si>
    <t xml:space="preserve"> Deltastar (LL, shade)</t>
  </si>
  <si>
    <t xml:space="preserve"> Jinyan No.2 (CT, sun)</t>
  </si>
  <si>
    <t xml:space="preserve"> Jinyan No.2 (LL, shade)</t>
  </si>
  <si>
    <t xml:space="preserve"> Williams</t>
  </si>
  <si>
    <t xml:space="preserve"> Cecilia (LC)</t>
  </si>
  <si>
    <t xml:space="preserve"> Gardia (LGA)</t>
  </si>
  <si>
    <t xml:space="preserve"> Gilmore (LGI)</t>
  </si>
  <si>
    <t xml:space="preserve"> Petit Havana (N, N)</t>
  </si>
  <si>
    <t xml:space="preserve"> Eleonora (BEL)</t>
  </si>
  <si>
    <t xml:space="preserve"> Emily (BEM)</t>
  </si>
  <si>
    <t xml:space="preserve"> Rosie (BR)</t>
  </si>
  <si>
    <t xml:space="preserve"> Shanyou 63 (汕优63)</t>
  </si>
  <si>
    <t xml:space="preserve"> Shanyou 63 (High Nitrogen)</t>
  </si>
  <si>
    <t xml:space="preserve"> Shanyou 63 (Middle Nitrogen)</t>
  </si>
  <si>
    <t xml:space="preserve"> Groffy</t>
  </si>
  <si>
    <t xml:space="preserve"> Slater’s crimson China</t>
  </si>
  <si>
    <t xml:space="preserve"> Apple Park (RAP)</t>
  </si>
  <si>
    <t xml:space="preserve"> Avalanche (RAV)</t>
  </si>
  <si>
    <t xml:space="preserve"> Red Naomi (RRN)</t>
  </si>
  <si>
    <t xml:space="preserve"> Orange Reeva</t>
  </si>
  <si>
    <t xml:space="preserve"> Gelato</t>
  </si>
  <si>
    <t xml:space="preserve"> Brioso (TB)</t>
  </si>
  <si>
    <t xml:space="preserve"> Merlice (TM)</t>
  </si>
  <si>
    <t xml:space="preserve"> Mikado</t>
  </si>
  <si>
    <t xml:space="preserve"> High-bury</t>
  </si>
  <si>
    <t>Yunrui 8 (High Nitrogen)</t>
  </si>
  <si>
    <t>Yunrui 8 (Low Nitrogen)</t>
  </si>
  <si>
    <t>Dicranopteris linearis</t>
  </si>
  <si>
    <t>Old World Forked Fern</t>
  </si>
  <si>
    <t>Isertia haenkeana</t>
  </si>
  <si>
    <t>PFD 12.08</t>
  </si>
  <si>
    <t>Psychotria micrantha</t>
  </si>
  <si>
    <t>PFD 0.33</t>
  </si>
  <si>
    <t>Quercus robur</t>
  </si>
  <si>
    <t>Quercus. afares</t>
  </si>
  <si>
    <t>Quercus suber</t>
  </si>
  <si>
    <t>Quercus petraea</t>
  </si>
  <si>
    <t>English oak</t>
  </si>
  <si>
    <t>African oak</t>
  </si>
  <si>
    <t>Cork oak</t>
  </si>
  <si>
    <t>Sessile oak</t>
  </si>
  <si>
    <t>1-year-old seedlings in greenhouse</t>
  </si>
  <si>
    <t>0.97 kPa</t>
  </si>
  <si>
    <t>Canyon</t>
  </si>
  <si>
    <t>Full Sun F1</t>
  </si>
  <si>
    <t>Tendergreen</t>
  </si>
  <si>
    <t>Meteor</t>
  </si>
  <si>
    <t>Winter solstice</t>
  </si>
  <si>
    <t>Aquadulce Claudia</t>
  </si>
  <si>
    <t>Incredible F1</t>
  </si>
  <si>
    <t>Amax/gswmax (µmol mol-1)</t>
  </si>
  <si>
    <t>gsw90  (mmol m-2 s-1)</t>
  </si>
  <si>
    <t>1 kPa</t>
  </si>
  <si>
    <t>Alisa Craig</t>
  </si>
  <si>
    <t>Samsun</t>
  </si>
  <si>
    <t>68%-87%</t>
  </si>
  <si>
    <t>T4174 GSOR:311667 (slow closure group)</t>
  </si>
  <si>
    <t>T4177 GSOR:311677 (fast closure group)</t>
  </si>
  <si>
    <t>100 - 150</t>
  </si>
  <si>
    <t>23 / 18</t>
  </si>
  <si>
    <t>Low light intensity</t>
  </si>
  <si>
    <t>Capprica</t>
  </si>
  <si>
    <t>0.85 kPa</t>
  </si>
  <si>
    <t>0.5 kPa</t>
  </si>
  <si>
    <t>1.6 kPa</t>
  </si>
  <si>
    <t>2.3 kPa</t>
  </si>
  <si>
    <t>stepwise increase of irridiance (without flash)</t>
  </si>
  <si>
    <t>1.07 - 1.56 kPa</t>
  </si>
  <si>
    <t>Ceanothus cuneatus</t>
  </si>
  <si>
    <t>Buckbrush</t>
  </si>
  <si>
    <t>Salix scouleriana</t>
  </si>
  <si>
    <t>Scouler's willow</t>
  </si>
  <si>
    <t>Crop</t>
  </si>
  <si>
    <t>Family</t>
  </si>
  <si>
    <t>Poaceae</t>
  </si>
  <si>
    <t>Pteridaceae</t>
  </si>
  <si>
    <t>Aspleniaceae</t>
  </si>
  <si>
    <t>Nephrolepidaceae</t>
  </si>
  <si>
    <t>Cyatheaceae</t>
  </si>
  <si>
    <t>Gleicheniaceae</t>
  </si>
  <si>
    <t>Polypodiaceae</t>
  </si>
  <si>
    <t>Osmundaceae</t>
  </si>
  <si>
    <t xml:space="preserve">	Poaceae</t>
  </si>
  <si>
    <t>Brassicaceae</t>
  </si>
  <si>
    <t>Solanaceae</t>
  </si>
  <si>
    <t>Araceae</t>
  </si>
  <si>
    <t>Ginkgoaceae</t>
  </si>
  <si>
    <t>Asteraceae</t>
  </si>
  <si>
    <t>Fabaceae</t>
  </si>
  <si>
    <t>Piperaceae</t>
  </si>
  <si>
    <t>Rubiaceae</t>
  </si>
  <si>
    <t>Fagaceae</t>
  </si>
  <si>
    <t>Rhamnaceae</t>
  </si>
  <si>
    <t>Salicaceae</t>
  </si>
  <si>
    <t>Alnus incana</t>
  </si>
  <si>
    <t>Grey alder</t>
  </si>
  <si>
    <t>Betulaceae</t>
  </si>
  <si>
    <t>Betula occidentalis</t>
  </si>
  <si>
    <t>Water birch</t>
  </si>
  <si>
    <t>Sambucus racemosa</t>
  </si>
  <si>
    <t xml:space="preserve"> Red elderberry</t>
  </si>
  <si>
    <t>Adoxaceae</t>
  </si>
  <si>
    <t>Heteromeles arbutifolia</t>
  </si>
  <si>
    <t>Christmas berry</t>
  </si>
  <si>
    <t>Rosaceae</t>
  </si>
  <si>
    <t>Cercocarpus ledifolius</t>
  </si>
  <si>
    <t>Curl-leaf mountain mahogany</t>
  </si>
  <si>
    <t>Rhamnus ilicifolia</t>
  </si>
  <si>
    <t>Hollyleaf redberry</t>
  </si>
  <si>
    <t>Quercus garryana</t>
  </si>
  <si>
    <t>Garry oak</t>
  </si>
  <si>
    <t>Quercus douglasii</t>
  </si>
  <si>
    <t>Blue oak</t>
  </si>
  <si>
    <t>Begonia coccinea</t>
  </si>
  <si>
    <t>Scarlet begonia</t>
  </si>
  <si>
    <t>Begoniaceae</t>
  </si>
  <si>
    <t>Begonia plebeja</t>
  </si>
  <si>
    <t>22/18</t>
  </si>
  <si>
    <t>60%/70%</t>
  </si>
  <si>
    <t>Bd21-3</t>
  </si>
  <si>
    <t>Brachypodium distachyon</t>
  </si>
  <si>
    <t>Purple false brome</t>
  </si>
  <si>
    <t>250-300</t>
  </si>
  <si>
    <t>28/18</t>
  </si>
  <si>
    <t>54% - 58%</t>
  </si>
  <si>
    <t>1.0 kPa</t>
  </si>
  <si>
    <t>Exp_CO2 (ppm)</t>
  </si>
  <si>
    <t>Exp_Temperature</t>
  </si>
  <si>
    <t>0.9 - 1.6 kPa</t>
  </si>
  <si>
    <t>gsw_max  (mmol m-2 s-1)</t>
  </si>
  <si>
    <t>A_max (µmol m-2 s-1)</t>
  </si>
  <si>
    <t>gsw_ini / gsw_max</t>
  </si>
  <si>
    <t>A and gs Values</t>
  </si>
  <si>
    <t>Bird-nest Fern</t>
  </si>
  <si>
    <t>Asplenium nidus</t>
  </si>
  <si>
    <t>Microsorum punctatum</t>
  </si>
  <si>
    <t>Fish-tail fern</t>
  </si>
  <si>
    <t>Pseudodrynaria coronans</t>
  </si>
  <si>
    <t>Asplenium finlaysonianum</t>
  </si>
  <si>
    <t>Paraleptochilus decurrens</t>
  </si>
  <si>
    <t>Tectaria fauriei</t>
  </si>
  <si>
    <t>Aspidiaceae</t>
  </si>
  <si>
    <t>Ficus curtipes</t>
  </si>
  <si>
    <t>Ficus gibbosa</t>
  </si>
  <si>
    <t>Ficus altissima</t>
  </si>
  <si>
    <t>Dye fig</t>
  </si>
  <si>
    <t>Lofty fig</t>
  </si>
  <si>
    <t>Moraceae</t>
  </si>
  <si>
    <t>Ficus auriculata</t>
  </si>
  <si>
    <t>Roxburgh fig</t>
  </si>
  <si>
    <t>Ficus oligodon</t>
  </si>
  <si>
    <t>Ficus hookeriana</t>
  </si>
  <si>
    <t>Capprica (lightfleck acclimation, leaf 4, shade)</t>
  </si>
  <si>
    <t>Capprica (lightfleck acclimation, leaf 2, upper canopy)</t>
  </si>
  <si>
    <t>Capprica (constant light acclimation, leaf 4,  shade)</t>
  </si>
  <si>
    <t>Capprica (constant light acclimation, leaf 2, upper canopy)</t>
  </si>
  <si>
    <t>Apiaceae</t>
  </si>
  <si>
    <t>Indian pennywort</t>
  </si>
  <si>
    <t>Malvaceae</t>
  </si>
  <si>
    <t>Apocynaceae</t>
  </si>
  <si>
    <t>Taxaceae</t>
  </si>
  <si>
    <t>1.5 -2.0 kPa</t>
  </si>
  <si>
    <t>Dicksoniaceae</t>
  </si>
  <si>
    <t>Dennstaedtiaceae</t>
  </si>
  <si>
    <t>Marsileaceae</t>
  </si>
  <si>
    <t>Cupressaceae</t>
  </si>
  <si>
    <t>Callitris preissii</t>
  </si>
  <si>
    <t>Rottnest Island pine</t>
  </si>
  <si>
    <t>Pinaceae</t>
  </si>
  <si>
    <t>Podocarpaceae</t>
  </si>
  <si>
    <t>Myrtaceae</t>
  </si>
  <si>
    <t>Nothofagaceae</t>
  </si>
  <si>
    <t>Viking</t>
  </si>
  <si>
    <t>Amaranthaceae</t>
  </si>
  <si>
    <t>Chardonnay</t>
  </si>
  <si>
    <t>Vitaceae</t>
  </si>
  <si>
    <t>Brompton</t>
  </si>
  <si>
    <t>Claire</t>
  </si>
  <si>
    <t>Rialto</t>
  </si>
  <si>
    <t>Robigus</t>
  </si>
  <si>
    <t>Soissons</t>
  </si>
  <si>
    <t>Xi19</t>
  </si>
  <si>
    <t>Hereward</t>
  </si>
  <si>
    <t>Alchemy</t>
  </si>
  <si>
    <t>Andropogon gerardii</t>
  </si>
  <si>
    <t>Big bluestem</t>
  </si>
  <si>
    <t>Ambient CO2 chamber</t>
  </si>
  <si>
    <t>Elevared CO2 chamber</t>
  </si>
  <si>
    <t>Chen2013Biomass</t>
  </si>
  <si>
    <t>Deans2019Plant</t>
  </si>
  <si>
    <t>Doi2006Fern</t>
  </si>
  <si>
    <t>Faralli2019Genotypic</t>
  </si>
  <si>
    <t>Horton1998Photosynthetic</t>
  </si>
  <si>
    <t>Jalakas2017role</t>
  </si>
  <si>
    <t>Kaiser2017Photosynthetic</t>
  </si>
  <si>
    <t>Kaiser2017Elevated</t>
  </si>
  <si>
    <t>Kaiser2018Acclimation</t>
  </si>
  <si>
    <t>Kirschbaum1988Gas</t>
  </si>
  <si>
    <t>Matrosova2015HT1</t>
  </si>
  <si>
    <t>McAusland2016Effects</t>
  </si>
  <si>
    <t>Meinzer2017Stomatal</t>
  </si>
  <si>
    <t>Papanatsiou2017Stomatal</t>
  </si>
  <si>
    <t>Pearcy1990Photosynthetic</t>
  </si>
  <si>
    <t>Qu2016Rapid</t>
  </si>
  <si>
    <t>Raissig2017Mobile</t>
  </si>
  <si>
    <t>Soleh2017Identification</t>
  </si>
  <si>
    <t>Taylor2017Slow</t>
  </si>
  <si>
    <t>Tinoco-Ojanguren1993Stomatal</t>
  </si>
  <si>
    <t>Valladares1997Photosynthetic</t>
  </si>
  <si>
    <t>Vialet-Chabrand2013Performance</t>
  </si>
  <si>
    <t>Wachendorf2017effect</t>
  </si>
  <si>
    <t>Xiong2018Differential</t>
  </si>
  <si>
    <t>Zhang2009Epiphytes</t>
  </si>
  <si>
    <t>Knapp1994Elevated</t>
  </si>
  <si>
    <t>Ogren1996Photosynthetic</t>
  </si>
  <si>
    <t>Melanthiaceae</t>
  </si>
  <si>
    <t>&lt;= 0.6 kPa</t>
  </si>
  <si>
    <t>Slow-growing sun plant (Exposed to the induction irradiance (800 gmol m-2s-a) for I0 h on the preceding day)</t>
  </si>
  <si>
    <t>NA (high light pre-treated)</t>
  </si>
  <si>
    <t>Urban2007Induction</t>
  </si>
  <si>
    <t>Acer pseudoplatanus</t>
  </si>
  <si>
    <t>Sycamore maple</t>
  </si>
  <si>
    <t>Sapindaceae</t>
  </si>
  <si>
    <t>Tilia cordata</t>
  </si>
  <si>
    <t>Small-leaved linden</t>
  </si>
  <si>
    <t>Abies alba</t>
  </si>
  <si>
    <t>Silver fir</t>
  </si>
  <si>
    <t>Picea abies</t>
  </si>
  <si>
    <t>Norway spruce</t>
  </si>
  <si>
    <t>NA (Sun foliage)</t>
  </si>
  <si>
    <t>NA (Shade foliage)</t>
  </si>
  <si>
    <t>gsw_ini (mmol m-2 s-1)</t>
  </si>
  <si>
    <t>Angiosperm (Magnoliids)</t>
  </si>
  <si>
    <t>Greenway1997boreal</t>
  </si>
  <si>
    <t>Calamagrostis canadensis</t>
  </si>
  <si>
    <t>Bluejoint reedgrass</t>
  </si>
  <si>
    <t>50 - 300</t>
  </si>
  <si>
    <t>25/22</t>
  </si>
  <si>
    <t>Adapted to more or less continuous light conditions</t>
  </si>
  <si>
    <t>Doi2015Stomatal</t>
  </si>
  <si>
    <t>Zhang2019Increase</t>
  </si>
  <si>
    <t>Yangliangyou 6</t>
  </si>
  <si>
    <t>Liangyoupei 9</t>
  </si>
  <si>
    <t>Yongyou 12</t>
  </si>
  <si>
    <t>Ase bolong ka</t>
  </si>
  <si>
    <t>Huanghuazhan</t>
  </si>
  <si>
    <t>Trembese</t>
  </si>
  <si>
    <t>Yangdao 6</t>
  </si>
  <si>
    <t>Buluh bawu</t>
  </si>
  <si>
    <t>Oryza  rufipogon</t>
  </si>
  <si>
    <t>Brownbeard rice</t>
  </si>
  <si>
    <t>S7705</t>
  </si>
  <si>
    <t>Oryza latifolia</t>
  </si>
  <si>
    <t>Broadleaf rice</t>
  </si>
  <si>
    <t>E9-23</t>
  </si>
  <si>
    <t>E1-6</t>
  </si>
  <si>
    <t>Oryza alta</t>
  </si>
  <si>
    <t>Oryza australiensis</t>
  </si>
  <si>
    <t xml:space="preserve"> Australian Wild Rice</t>
  </si>
  <si>
    <t>Aus</t>
  </si>
  <si>
    <t>Oryza  punctata</t>
  </si>
  <si>
    <t>Red Rice</t>
  </si>
  <si>
    <t>E16-21</t>
  </si>
  <si>
    <t>Oryza minuta</t>
  </si>
  <si>
    <t>E13--10</t>
  </si>
  <si>
    <t>Oryza officinalis</t>
  </si>
  <si>
    <t>ABC</t>
  </si>
  <si>
    <t>tA90 (min)</t>
  </si>
  <si>
    <t>tgs90 (min)</t>
  </si>
  <si>
    <t>GS71 satge only. Assuming t90 = T95/95*90</t>
  </si>
  <si>
    <t>t90 assumed to be T95 / 0.95 *0.9</t>
  </si>
  <si>
    <t>Not sure the light intensity of the gs graph, so assuming t90 = t50 / 50 * 90</t>
  </si>
  <si>
    <t>Zhou2024Stomatal</t>
  </si>
  <si>
    <t>Alloteropsis semialata</t>
  </si>
  <si>
    <t>Black seed grass</t>
  </si>
  <si>
    <t>A. semialata has various photosynthetic types (C3, C3–C4  and C4) and ploidy levels (diploid, hexaploid and dodecaploid)</t>
  </si>
  <si>
    <t>1.4-1.9 kPa</t>
  </si>
  <si>
    <t>C3-2X (ZIM15-03-f2, KWT3-3, EML11-200)</t>
  </si>
  <si>
    <t>C2-2X (TAN16-02-03C, L04B, L01A, ZAM15-03-03)</t>
  </si>
  <si>
    <t>C4-2X (ZAM15-05-10, TWN10-2, TAN16-03-03b, PHIL16-13B, MAJ3-1, BF-2, AUS1-1)</t>
  </si>
  <si>
    <t>C4-6X (ZAM17-27, ZAM15-02-01, MDG1-2)</t>
  </si>
  <si>
    <t>C4-12X (CAM16-01-02)</t>
  </si>
  <si>
    <t>Barratt2021Anisohydric</t>
  </si>
  <si>
    <t>Haydn</t>
  </si>
  <si>
    <t>22/6</t>
  </si>
  <si>
    <t>44%/85%</t>
  </si>
  <si>
    <t>Martins2012Photosynthetic</t>
  </si>
  <si>
    <t>1.2 -2.0 kPa</t>
  </si>
  <si>
    <t>Liu2021Leaf</t>
  </si>
  <si>
    <t>1.2 -1.6 kPa</t>
  </si>
  <si>
    <t>Sakoda2020Stomatal</t>
  </si>
  <si>
    <t>1.04 - 1.76 kPa</t>
  </si>
  <si>
    <t>0.95 - 2.30 kPa</t>
  </si>
  <si>
    <t>Taylor2020photosynthetic</t>
  </si>
  <si>
    <t>A12DHd</t>
  </si>
  <si>
    <t xml:space="preserve"> R-o-18</t>
  </si>
  <si>
    <t>24/15</t>
  </si>
  <si>
    <t>Barradas1996Responses</t>
  </si>
  <si>
    <t>1.8 kPa</t>
  </si>
  <si>
    <t>Sun2014response</t>
  </si>
  <si>
    <t>550-600</t>
  </si>
  <si>
    <t>75-100</t>
  </si>
  <si>
    <t>65%-85%</t>
  </si>
  <si>
    <t>A low light-tolerant genotype</t>
  </si>
  <si>
    <t>A low light-sensitive genotype</t>
  </si>
  <si>
    <t>50%-60%</t>
  </si>
  <si>
    <t>Cucurbitaceae</t>
  </si>
  <si>
    <t>Zhang2022Variation</t>
  </si>
  <si>
    <t>Lamiaceae</t>
  </si>
  <si>
    <t xml:space="preserve"> Merlice (TS)</t>
  </si>
  <si>
    <t>Stoop1990Photosynthetic</t>
  </si>
  <si>
    <t>Fiesta (low light)</t>
  </si>
  <si>
    <t>Fiesta (high light)</t>
  </si>
  <si>
    <t>Zheng2022Shortterm</t>
  </si>
  <si>
    <t>NA  (CT: 400 ppm × 28°C)</t>
  </si>
  <si>
    <t>NA  (CT+: 400 ppm × 33°C)</t>
  </si>
  <si>
    <t>NA  (C+T: 800 ppm × 28°C)</t>
  </si>
  <si>
    <t>NA  (C+T+: 800 ppm × 33°C)</t>
  </si>
  <si>
    <t>0.9 - 1.1 kPa</t>
  </si>
  <si>
    <t>1.1 - 1.5 kPa</t>
  </si>
  <si>
    <t>Amaranthus tricolor</t>
  </si>
  <si>
    <t>Edible amaranth</t>
  </si>
  <si>
    <t>Eyland2021impact</t>
  </si>
  <si>
    <t>Musaceae</t>
  </si>
  <si>
    <t>Wild Cabbage</t>
  </si>
  <si>
    <t>Zhang2019Red</t>
  </si>
  <si>
    <t>0.7 -1.0 kPa</t>
  </si>
  <si>
    <t>Beijing Cherry Tomato (chamber R90B10)</t>
  </si>
  <si>
    <t>Beijing Cherry Tomato (greenhouse R9010)</t>
  </si>
  <si>
    <t>29/23</t>
  </si>
  <si>
    <t>55%/70%</t>
  </si>
  <si>
    <t>Beijing Cherry Tomato (chamber R70B30)</t>
  </si>
  <si>
    <t>Beijing Cherry Tomato (greenhouse R7030)</t>
  </si>
  <si>
    <t>DeSouza2020Photosynthesis</t>
  </si>
  <si>
    <t>Euphorbiaceae</t>
  </si>
  <si>
    <t>1.5 kPa</t>
  </si>
  <si>
    <t>TM7</t>
  </si>
  <si>
    <t>intermediate initial gs between TME693 and TMS98/0505</t>
  </si>
  <si>
    <t>TMS98/0505 showed the fastest induction. Max gs and A were taken from Table 1 as data was not available. Tgs90 estimated as T50/50*90</t>
  </si>
  <si>
    <t>Sun2023Drought</t>
  </si>
  <si>
    <t>Huipishizi</t>
  </si>
  <si>
    <t>up to 800</t>
  </si>
  <si>
    <t>0.7–1.0 kPa</t>
  </si>
  <si>
    <t>Zhang2022NaCl</t>
  </si>
  <si>
    <t xml:space="preserve"> Moneymaker (control day 6)</t>
  </si>
  <si>
    <t xml:space="preserve"> Moneymaker (control day 11)</t>
  </si>
  <si>
    <t xml:space="preserve"> Moneymaker (control day 19)</t>
  </si>
  <si>
    <t xml:space="preserve"> Moneymaker (control day 25)</t>
  </si>
  <si>
    <t>Zhang2020Salt</t>
  </si>
  <si>
    <t xml:space="preserve"> Moneymaker (constant light)</t>
  </si>
  <si>
    <t xml:space="preserve"> Moneymaker (fluctuating light)</t>
  </si>
  <si>
    <t>Huipishizi (High Nitrogen)</t>
  </si>
  <si>
    <t>Huipishizi (Low Nitrogen)</t>
  </si>
  <si>
    <t>Huipishizi (Medium Nitrogen)</t>
  </si>
  <si>
    <t>Sun2022Photosynthetic</t>
  </si>
  <si>
    <t>up to 801</t>
  </si>
  <si>
    <t>up to 802</t>
  </si>
  <si>
    <t>1.2–1.4 kpa</t>
  </si>
  <si>
    <t>Kaiser2020High</t>
  </si>
  <si>
    <t>0.7 kPa</t>
  </si>
  <si>
    <t xml:space="preserve"> Rheinlands Ruhm wildtype (LA0535) (control)</t>
  </si>
  <si>
    <t xml:space="preserve"> Rheinlands Ruhm wildtype (LA0535) (high VPD)</t>
  </si>
  <si>
    <t xml:space="preserve"> Rheinlands Ruhm wildtype (LA0535) (low CO2)</t>
  </si>
  <si>
    <t>Sakoda2022Drought</t>
  </si>
  <si>
    <t>Talamari</t>
  </si>
  <si>
    <t>Enrei</t>
  </si>
  <si>
    <t>55% - 75%</t>
  </si>
  <si>
    <t>High light intensity</t>
  </si>
  <si>
    <t>Climate</t>
  </si>
  <si>
    <t>Wang2023Variation</t>
  </si>
  <si>
    <t>Sun2016Nitrogen</t>
  </si>
  <si>
    <t xml:space="preserve">Huanghuazhan (黄花粘) (High Nitrogen) </t>
  </si>
  <si>
    <t xml:space="preserve">Huanghuazhan (黄花粘) (Low Nitrogen) </t>
  </si>
  <si>
    <t>Yamori2020Increased</t>
  </si>
  <si>
    <t xml:space="preserve"> Taichuang 65</t>
  </si>
  <si>
    <t>Xiong2022Effects</t>
  </si>
  <si>
    <t xml:space="preserve"> Shanyou 63 (Low Nitrogen)</t>
  </si>
  <si>
    <t>Acevedo-Siaca2021Dynamics</t>
  </si>
  <si>
    <t>Ciite at Los Banos</t>
  </si>
  <si>
    <t>Oryza nivara</t>
  </si>
  <si>
    <t xml:space="preserve">IRGC#s 126954,  lower canopy </t>
  </si>
  <si>
    <t xml:space="preserve">IRGC#s 126954, upper canopy </t>
  </si>
  <si>
    <t xml:space="preserve">IRGC#s 136116,  lower canopy </t>
  </si>
  <si>
    <t xml:space="preserve">IRGC#s 136116, upper canopy </t>
  </si>
  <si>
    <t>&gt; 70%</t>
  </si>
  <si>
    <t>1.4–1.8 kPa</t>
  </si>
  <si>
    <t>Taniyoshi2022Anisohydric</t>
  </si>
  <si>
    <t>ARC 11094</t>
  </si>
  <si>
    <t>Takanari</t>
  </si>
  <si>
    <t>Koshihikari</t>
  </si>
  <si>
    <t>28/20</t>
  </si>
  <si>
    <t>55%-65%</t>
  </si>
  <si>
    <t>Zhang2024Biochemical</t>
  </si>
  <si>
    <t>23/20</t>
  </si>
  <si>
    <t xml:space="preserve"> Merlice (450ppm C02)</t>
  </si>
  <si>
    <t xml:space="preserve"> Hipower (450ppm C02)</t>
  </si>
  <si>
    <t xml:space="preserve"> Anastasia (450ppm C02)</t>
  </si>
  <si>
    <t>Yoshiyama2024Natural</t>
  </si>
  <si>
    <t>Chika</t>
  </si>
  <si>
    <t>Orange Chika</t>
  </si>
  <si>
    <t>accession no. LS1561</t>
  </si>
  <si>
    <t>Solanum chmielewskii</t>
  </si>
  <si>
    <t>LA1327</t>
  </si>
  <si>
    <t>Solanum chilense</t>
  </si>
  <si>
    <t>Tomato Wild 94</t>
  </si>
  <si>
    <t>Solanum habrochaites</t>
  </si>
  <si>
    <t>Hairy tomato</t>
  </si>
  <si>
    <t>LS0503</t>
  </si>
  <si>
    <t>Solanum pennellii</t>
  </si>
  <si>
    <t>LS2355</t>
  </si>
  <si>
    <t>Solanum pimpinellifolium</t>
  </si>
  <si>
    <t>Currant tomato</t>
  </si>
  <si>
    <t>Bolivia Pim</t>
  </si>
  <si>
    <t>Solanum peruvianum</t>
  </si>
  <si>
    <t>LS0499</t>
  </si>
  <si>
    <t>Solanum cheesmaniae</t>
  </si>
  <si>
    <t>Galapagos tomato</t>
  </si>
  <si>
    <t>Galapagos Wild</t>
  </si>
  <si>
    <t>Wang2024Effects</t>
  </si>
  <si>
    <t>Jinyou 365 (white light)</t>
  </si>
  <si>
    <t>Jinyou 365 (R90B10)</t>
  </si>
  <si>
    <t>Jinyou 365 (R70B30)</t>
  </si>
  <si>
    <t>Shao2024Photosynthesis</t>
  </si>
  <si>
    <t>21.7/19.2</t>
  </si>
  <si>
    <t>Foundation (100 cm from floor)</t>
  </si>
  <si>
    <t>Foundation (150 cm from floor)</t>
  </si>
  <si>
    <t>Foundation (200 cm from floor)</t>
  </si>
  <si>
    <t>Foundation (250 cm from floor)</t>
  </si>
  <si>
    <t>1kPa</t>
  </si>
  <si>
    <t>Li2024Photosynthetic</t>
  </si>
  <si>
    <t>22.8/15.2</t>
  </si>
  <si>
    <t>64%/100%</t>
  </si>
  <si>
    <t>1.2 - 1.8 kPa</t>
  </si>
  <si>
    <t>Tithonia diversifolia</t>
  </si>
  <si>
    <t>Tree marigold</t>
  </si>
  <si>
    <t>NA (Full sun)</t>
  </si>
  <si>
    <t>NA (Shade)</t>
  </si>
  <si>
    <t>Clerodendrum bungei</t>
  </si>
  <si>
    <t>Rose glory bower</t>
  </si>
  <si>
    <t>Blumea balsamifera</t>
  </si>
  <si>
    <t>Ngai camphor</t>
  </si>
  <si>
    <t>Crawford2024Differences</t>
  </si>
  <si>
    <t>Z007E0067</t>
  </si>
  <si>
    <t>Z007E0150</t>
  </si>
  <si>
    <t>site at the University of Nottingham, light 350</t>
  </si>
  <si>
    <t>site at Yunnan Agricultural University in Kunming, Yunnan, China.</t>
  </si>
  <si>
    <t>site at the Austrilian National University</t>
  </si>
  <si>
    <t>site at Austrilian National University. leptosporangiate fern</t>
  </si>
  <si>
    <t>site at Kyushu University. The gs unit in the paper can be wrong, too low values</t>
  </si>
  <si>
    <t>RL 600 µmol sm-2 s-1. site at Kyushu University.</t>
  </si>
  <si>
    <t>site at Huazhong Agriculture University</t>
  </si>
  <si>
    <t>Sun accilimated. site at Viçosa, Brazil</t>
  </si>
  <si>
    <t>Shade accilimated. site at Viçosa, Brazil</t>
  </si>
  <si>
    <t>No A graph, assuming t90 = t50 / 50 * 90 for simplicity. site at Oregon State University</t>
  </si>
  <si>
    <t>site at the University of California</t>
  </si>
  <si>
    <t>2% O2. site may at the University of Tokyo</t>
  </si>
  <si>
    <t>site at Kyoto University, Janpan</t>
  </si>
  <si>
    <t>NAM12 showed the slowest induction during the initinal 300s. site at site at Kyoto University</t>
  </si>
  <si>
    <t>NAM23 showed the fastest induction during the initinal 300s. site at Kyoto University</t>
  </si>
  <si>
    <t>Step-wise increase in light. site at Southeastern Plant Environment Laboratory</t>
  </si>
  <si>
    <t>sites at Huazhong Agricultural University</t>
  </si>
  <si>
    <t>site at Moravian-Silesian Beskydy Mountains</t>
  </si>
  <si>
    <t>site at Barro Colorado Island (BCI, 9°9′N, 79°51′W)</t>
  </si>
  <si>
    <t>Take the same Asat for leavs with different gini. sites at University of Hohenheim</t>
  </si>
  <si>
    <t>site at Kunming, Yunnan, China</t>
  </si>
  <si>
    <t>3m. site at the Illes Balears University</t>
  </si>
  <si>
    <t>site at the Illes Balears University</t>
  </si>
  <si>
    <t>2-6m. site at the Illes Balears University</t>
  </si>
  <si>
    <t>Could be 20-30 m tall! site at the Illes Balears University</t>
  </si>
  <si>
    <t>Hemiepiphytic fig. site at Xishuangbanna Tropical Botanical Garden</t>
  </si>
  <si>
    <t>Terrestrial fig. site at Xishuangbanna Tropical Botanical Garden</t>
  </si>
  <si>
    <t>Terrestrial fig. A synonym of Ficus auriculata. site at Xishuangbanna Tropical Botanical Garden</t>
  </si>
  <si>
    <t>Terrestrial fern. site at Xishuangbanna Tropical Botanical Garden</t>
  </si>
  <si>
    <t>Epiphytic fern.  site at Xishuangbanna Tropical Botanical Garden</t>
  </si>
  <si>
    <t>tA90 assumed to tA50/50*90; tgs90 assumed to be (tgs50-lag) / 0.5 *0.9 + lag. site at Huazhong Agricultural University</t>
  </si>
  <si>
    <t>site at Wageningen</t>
  </si>
  <si>
    <t>site at University of Tokyo</t>
  </si>
  <si>
    <t>site at Chinese Academy of Agricultural Sciences</t>
  </si>
  <si>
    <t>site at Xishuangbanna Tropical Botanical Garden</t>
  </si>
  <si>
    <t>site at University of Illinois Plant Care Facility in Urbana</t>
  </si>
  <si>
    <t>31/22</t>
  </si>
  <si>
    <t>Battle2024Fast</t>
  </si>
  <si>
    <t>EC844904</t>
  </si>
  <si>
    <t>IS10876</t>
  </si>
  <si>
    <t>IS16044</t>
  </si>
  <si>
    <t>IS24953</t>
  </si>
  <si>
    <t>IS2950</t>
  </si>
  <si>
    <t>IS1054</t>
  </si>
  <si>
    <t>IS14556</t>
  </si>
  <si>
    <t>IS23496</t>
  </si>
  <si>
    <t>IS29472</t>
  </si>
  <si>
    <t>IS36556</t>
  </si>
  <si>
    <t>Turnip rape</t>
  </si>
  <si>
    <t>Oilseed Rape</t>
  </si>
  <si>
    <t>Durand2022Sunflecks</t>
  </si>
  <si>
    <t>site at University of Helsinki</t>
  </si>
  <si>
    <t>NA (Swedish sun leaves)</t>
  </si>
  <si>
    <t>NA (Swedish shade leaves)</t>
  </si>
  <si>
    <t>NA (German shade leaves)</t>
  </si>
  <si>
    <t>NA (Spanish sun leaves)</t>
  </si>
  <si>
    <t>NA (Spanish shade leaves)</t>
  </si>
  <si>
    <t>NA (German sun leaves)</t>
  </si>
  <si>
    <t>Taniyoshi2020Genetic</t>
  </si>
  <si>
    <t>site at Kyoto University</t>
  </si>
  <si>
    <t>60 - 70%</t>
  </si>
  <si>
    <t>Rexmont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</si>
</sst>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1" applyFill="1" applyAlignment="1">
      <alignment horizontal="center"/>
    </xf>
    <xf numFmtId="0" fontId="5" fillId="2" borderId="0" xfId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0" fillId="2" borderId="0" xfId="0" quotePrefix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1" fillId="2" borderId="0" xfId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88"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  <dxf>
      <font>
        <color rgb="FF0070C0"/>
      </font>
    </dxf>
    <dxf>
      <font>
        <color rgb="FF00B0F0"/>
      </font>
    </dxf>
    <dxf>
      <font>
        <color theme="9" tint="-0.24994659260841701"/>
      </font>
    </dxf>
    <dxf>
      <font>
        <color rgb="FF7030A0"/>
      </font>
    </dxf>
  </dxfs>
  <tableStyles count="0" defaultTableStyle="TableStyleMedium2" defaultPivotStyle="PivotStyleLight16"/>
  <colors>
    <mruColors>
      <color rgb="FFFF99FF"/>
      <color rgb="FFD9A2F2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9525</xdr:colOff>
          <xdr:row>0</xdr:row>
          <xdr:rowOff>9525</xdr:rowOff>
        </xdr:to>
        <xdr:sp macro="" textlink="">
          <xdr:nvSpPr>
            <xdr:cNvPr id="24580" name="Object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00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https://d.docs.live.net/ee2e1d099796e8b1/Academics/2023%20ETH/Projects/PhD%20thesis/Documents/Grant/SNF/Exp%20notes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htmlfile">
    <oleItems>
      <oleItem name="'" advise="1" preferPic="1"/>
    </oleItems>
  </oleLin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ettuce" TargetMode="External"/><Relationship Id="rId671" Type="http://schemas.openxmlformats.org/officeDocument/2006/relationships/hyperlink" Target="https://doi.org/10.1007/s00468-017-1522-x" TargetMode="External"/><Relationship Id="rId21" Type="http://schemas.openxmlformats.org/officeDocument/2006/relationships/hyperlink" Target="https://en.wikipedia.org/wiki/Phlebodium_aureum" TargetMode="External"/><Relationship Id="rId324" Type="http://schemas.openxmlformats.org/officeDocument/2006/relationships/hyperlink" Target="https://phytozome-next.jgi.doe.gov/info/Taestivum_v2_2" TargetMode="External"/><Relationship Id="rId531" Type="http://schemas.openxmlformats.org/officeDocument/2006/relationships/hyperlink" Target="https://en.wikipedia.org/wiki/Tomato" TargetMode="External"/><Relationship Id="rId629" Type="http://schemas.openxmlformats.org/officeDocument/2006/relationships/hyperlink" Target="https://doi.org/10.1093/jxb/erae357" TargetMode="External"/><Relationship Id="rId170" Type="http://schemas.openxmlformats.org/officeDocument/2006/relationships/hyperlink" Target="https://phytozome-next.jgi.doe.gov/info/Lsativa_V8" TargetMode="External"/><Relationship Id="rId268" Type="http://schemas.openxmlformats.org/officeDocument/2006/relationships/hyperlink" Target="https://doi.org/10.1093/jxb/erx357" TargetMode="External"/><Relationship Id="rId475" Type="http://schemas.openxmlformats.org/officeDocument/2006/relationships/hyperlink" Target="https://en.wikipedia.org/wiki/Cucumber" TargetMode="External"/><Relationship Id="rId682" Type="http://schemas.openxmlformats.org/officeDocument/2006/relationships/hyperlink" Target="https://phytozome-next.jgi.doe.gov/info/Sbicolor_v3_1_1" TargetMode="External"/><Relationship Id="rId32" Type="http://schemas.openxmlformats.org/officeDocument/2006/relationships/hyperlink" Target="https://en.wikipedia.org/wiki/Sorghum_bicolor" TargetMode="External"/><Relationship Id="rId128" Type="http://schemas.openxmlformats.org/officeDocument/2006/relationships/hyperlink" Target="https://en.wikipedia.org/wiki/Lettuce" TargetMode="External"/><Relationship Id="rId335" Type="http://schemas.openxmlformats.org/officeDocument/2006/relationships/hyperlink" Target="https://en.wikipedia.org/wiki/Andropogon_gerardi" TargetMode="External"/><Relationship Id="rId542" Type="http://schemas.openxmlformats.org/officeDocument/2006/relationships/hyperlink" Target="https://phytozome-next.jgi.doe.gov/info/Slycopersicum_ITAG4_0" TargetMode="External"/><Relationship Id="rId181" Type="http://schemas.openxmlformats.org/officeDocument/2006/relationships/hyperlink" Target="https://phytozome-next.jgi.doe.gov/info/Gmax_Wm82_a4_v1" TargetMode="External"/><Relationship Id="rId402" Type="http://schemas.openxmlformats.org/officeDocument/2006/relationships/hyperlink" Target="https://phytozome-next.jgi.doe.gov/info/Osativa_v7_0" TargetMode="External"/><Relationship Id="rId279" Type="http://schemas.openxmlformats.org/officeDocument/2006/relationships/hyperlink" Target="https://en.wikipedia.org/wiki/Ceanothus_cuneatus" TargetMode="External"/><Relationship Id="rId486" Type="http://schemas.openxmlformats.org/officeDocument/2006/relationships/hyperlink" Target="https://doi.org/10.1007/s11738-014-1648-z" TargetMode="External"/><Relationship Id="rId693" Type="http://schemas.openxmlformats.org/officeDocument/2006/relationships/hyperlink" Target="https://doi.org/10.1111/nph.18222" TargetMode="External"/><Relationship Id="rId707" Type="http://schemas.openxmlformats.org/officeDocument/2006/relationships/hyperlink" Target="https://phytozome-next.jgi.doe.gov/info/Osativa_v7_0" TargetMode="External"/><Relationship Id="rId43" Type="http://schemas.openxmlformats.org/officeDocument/2006/relationships/hyperlink" Target="https://en.wikipedia.org/wiki/Common_sunflower" TargetMode="External"/><Relationship Id="rId139" Type="http://schemas.openxmlformats.org/officeDocument/2006/relationships/hyperlink" Target="https://en.wikipedia.org/wiki/Beta_vulgaris" TargetMode="External"/><Relationship Id="rId346" Type="http://schemas.openxmlformats.org/officeDocument/2006/relationships/hyperlink" Target="https://doi.org/10.1071/FP15348" TargetMode="External"/><Relationship Id="rId553" Type="http://schemas.openxmlformats.org/officeDocument/2006/relationships/hyperlink" Target="https://doi.org/10.1038/srep31305" TargetMode="External"/><Relationship Id="rId192" Type="http://schemas.openxmlformats.org/officeDocument/2006/relationships/hyperlink" Target="https://phytozome-next.jgi.doe.gov/info/Slycopersicum_ITAG4_0" TargetMode="External"/><Relationship Id="rId206" Type="http://schemas.openxmlformats.org/officeDocument/2006/relationships/hyperlink" Target="https://phytozome-next.jgi.doe.gov/info/Zmays_RefGen_V4" TargetMode="External"/><Relationship Id="rId413" Type="http://schemas.openxmlformats.org/officeDocument/2006/relationships/hyperlink" Target="https://en.wikipedia.org/wiki/Oryza_sativa" TargetMode="External"/><Relationship Id="rId497" Type="http://schemas.openxmlformats.org/officeDocument/2006/relationships/hyperlink" Target="https://www.publish.csiro.au/fp/FP21363" TargetMode="External"/><Relationship Id="rId620" Type="http://schemas.openxmlformats.org/officeDocument/2006/relationships/hyperlink" Target="https://doi.org/10.3390/plants13121668" TargetMode="External"/><Relationship Id="rId357" Type="http://schemas.openxmlformats.org/officeDocument/2006/relationships/hyperlink" Target="https://doi.org/10.1007/BF00334403" TargetMode="External"/><Relationship Id="rId54" Type="http://schemas.openxmlformats.org/officeDocument/2006/relationships/hyperlink" Target="https://en.wikipedia.org/wiki/Festuca_ovina" TargetMode="External"/><Relationship Id="rId217" Type="http://schemas.openxmlformats.org/officeDocument/2006/relationships/hyperlink" Target="https://phytozome-next.jgi.doe.gov/info/Boleraceacapitata_v1_0" TargetMode="External"/><Relationship Id="rId564" Type="http://schemas.openxmlformats.org/officeDocument/2006/relationships/hyperlink" Target="https://doi.org/10.1002/fes3.286" TargetMode="External"/><Relationship Id="rId424" Type="http://schemas.openxmlformats.org/officeDocument/2006/relationships/hyperlink" Target="https://doi.org/10.1093/jxb/erz267" TargetMode="External"/><Relationship Id="rId631" Type="http://schemas.openxmlformats.org/officeDocument/2006/relationships/hyperlink" Target="https://phytozome-next.jgi.doe.gov/info/Slycopersicum_ITAG4_0" TargetMode="External"/><Relationship Id="rId270" Type="http://schemas.openxmlformats.org/officeDocument/2006/relationships/hyperlink" Target="https://en.wikipedia.org/wiki/Alnus_incana" TargetMode="External"/><Relationship Id="rId65" Type="http://schemas.openxmlformats.org/officeDocument/2006/relationships/hyperlink" Target="https://en.wikipedia.org/wiki/Asplenium_scolopendrium" TargetMode="External"/><Relationship Id="rId130" Type="http://schemas.openxmlformats.org/officeDocument/2006/relationships/hyperlink" Target="https://en.wikipedia.org/wiki/Rose" TargetMode="External"/><Relationship Id="rId368" Type="http://schemas.openxmlformats.org/officeDocument/2006/relationships/hyperlink" Target="https://doi.org/10.1093/treephys/27.8.1207" TargetMode="External"/><Relationship Id="rId575" Type="http://schemas.openxmlformats.org/officeDocument/2006/relationships/hyperlink" Target="https://doi.org/10.1111/ppl.13825" TargetMode="External"/><Relationship Id="rId228" Type="http://schemas.openxmlformats.org/officeDocument/2006/relationships/hyperlink" Target="https://phytozome-next.jgi.doe.gov/info/Ghirsutum_v3_1" TargetMode="External"/><Relationship Id="rId435" Type="http://schemas.openxmlformats.org/officeDocument/2006/relationships/hyperlink" Target="https://phytozome-next.jgi.doe.gov/info/Osativa_v7_0" TargetMode="External"/><Relationship Id="rId642" Type="http://schemas.openxmlformats.org/officeDocument/2006/relationships/hyperlink" Target="https://en.wikipedia.org/wiki/Clerodendrum_bungei" TargetMode="External"/><Relationship Id="rId281" Type="http://schemas.openxmlformats.org/officeDocument/2006/relationships/hyperlink" Target="https://en.wikipedia.org/wiki/Begonia_coccinea" TargetMode="External"/><Relationship Id="rId502" Type="http://schemas.openxmlformats.org/officeDocument/2006/relationships/hyperlink" Target="https://en.wikipedia.org/wiki/Tomato" TargetMode="External"/><Relationship Id="rId76" Type="http://schemas.openxmlformats.org/officeDocument/2006/relationships/hyperlink" Target="https://en.wikipedia.org/wiki/Oryza_sativa" TargetMode="External"/><Relationship Id="rId141" Type="http://schemas.openxmlformats.org/officeDocument/2006/relationships/hyperlink" Target="https://doi.org/10.1007/BF00317115" TargetMode="External"/><Relationship Id="rId379" Type="http://schemas.openxmlformats.org/officeDocument/2006/relationships/hyperlink" Target="https://en.wikipedia.org/wiki/Tilia_cordata" TargetMode="External"/><Relationship Id="rId586" Type="http://schemas.openxmlformats.org/officeDocument/2006/relationships/hyperlink" Target="https://doi.org/10.1111/pce.15043" TargetMode="External"/><Relationship Id="rId7" Type="http://schemas.openxmlformats.org/officeDocument/2006/relationships/hyperlink" Target="https://panamabiota.org/stri/taxa/index.php?taxon=68165&amp;clid=59" TargetMode="External"/><Relationship Id="rId239" Type="http://schemas.openxmlformats.org/officeDocument/2006/relationships/hyperlink" Target="https://phytozome-next.jgi.doe.gov/info/Osativa_v7_0" TargetMode="External"/><Relationship Id="rId446" Type="http://schemas.openxmlformats.org/officeDocument/2006/relationships/hyperlink" Target="https://doi.org/10.1111/pce.15047" TargetMode="External"/><Relationship Id="rId653" Type="http://schemas.openxmlformats.org/officeDocument/2006/relationships/hyperlink" Target="https://phytozome-next.jgi.doe.gov/info/Zmays_RefGen_V4" TargetMode="External"/><Relationship Id="rId292" Type="http://schemas.openxmlformats.org/officeDocument/2006/relationships/hyperlink" Target="https://en.wikipedia.org/wiki/Common_sunflower" TargetMode="External"/><Relationship Id="rId306" Type="http://schemas.openxmlformats.org/officeDocument/2006/relationships/hyperlink" Target="https://en.wikipedia.org/wiki/Ficus_altissima" TargetMode="External"/><Relationship Id="rId87" Type="http://schemas.openxmlformats.org/officeDocument/2006/relationships/hyperlink" Target="https://en.wikipedia.org/wiki/Tomato" TargetMode="External"/><Relationship Id="rId513" Type="http://schemas.openxmlformats.org/officeDocument/2006/relationships/hyperlink" Target="https://doi.org/10.1111/ppl.12876" TargetMode="External"/><Relationship Id="rId597" Type="http://schemas.openxmlformats.org/officeDocument/2006/relationships/hyperlink" Target="https://doi.org/10.1093/jxb/erae082" TargetMode="External"/><Relationship Id="rId152" Type="http://schemas.openxmlformats.org/officeDocument/2006/relationships/hyperlink" Target="https://en.wikipedia.org/wiki/Isertia" TargetMode="External"/><Relationship Id="rId457" Type="http://schemas.openxmlformats.org/officeDocument/2006/relationships/hyperlink" Target="https://www.scielo.br/j/txpp/a/h645CYgsg59wCXmqjWZGWyN/?lang=en" TargetMode="External"/><Relationship Id="rId664" Type="http://schemas.openxmlformats.org/officeDocument/2006/relationships/hyperlink" Target="https://phytozome-next.jgi.doe.gov/info/Sbicolor_v3_1_1" TargetMode="External"/><Relationship Id="rId14" Type="http://schemas.openxmlformats.org/officeDocument/2006/relationships/hyperlink" Target="https://en.wikipedia.org/wiki/Prumnopitys_ladei" TargetMode="External"/><Relationship Id="rId317" Type="http://schemas.openxmlformats.org/officeDocument/2006/relationships/hyperlink" Target="https://en.wikipedia.org/wiki/Wheat" TargetMode="External"/><Relationship Id="rId524" Type="http://schemas.openxmlformats.org/officeDocument/2006/relationships/hyperlink" Target="https://en.wikipedia.org/wiki/Tomato" TargetMode="External"/><Relationship Id="rId98" Type="http://schemas.openxmlformats.org/officeDocument/2006/relationships/hyperlink" Target="https://en.wikipedia.org/wiki/Rapeseed" TargetMode="External"/><Relationship Id="rId163" Type="http://schemas.openxmlformats.org/officeDocument/2006/relationships/hyperlink" Target="https://phytozome-next.jgi.doe.gov/info/Slycopersicum_ITAG4_0" TargetMode="External"/><Relationship Id="rId370" Type="http://schemas.openxmlformats.org/officeDocument/2006/relationships/hyperlink" Target="https://doi.org/10.1093/treephys/27.8.1207" TargetMode="External"/><Relationship Id="rId230" Type="http://schemas.openxmlformats.org/officeDocument/2006/relationships/hyperlink" Target="https://phytozome-next.jgi.doe.gov/info/Athaliana_TAIR10" TargetMode="External"/><Relationship Id="rId468" Type="http://schemas.openxmlformats.org/officeDocument/2006/relationships/hyperlink" Target="https://doi.org/10.1093/jxb/47.5.639" TargetMode="External"/><Relationship Id="rId675" Type="http://schemas.openxmlformats.org/officeDocument/2006/relationships/hyperlink" Target="https://doi.org/10.1093/jxb/erae389" TargetMode="External"/><Relationship Id="rId25" Type="http://schemas.openxmlformats.org/officeDocument/2006/relationships/hyperlink" Target="https://en.wikipedia.org/wiki/Nerium" TargetMode="External"/><Relationship Id="rId328" Type="http://schemas.openxmlformats.org/officeDocument/2006/relationships/hyperlink" Target="https://phytozome-next.jgi.doe.gov/info/Taestivum_v2_2" TargetMode="External"/><Relationship Id="rId535" Type="http://schemas.openxmlformats.org/officeDocument/2006/relationships/hyperlink" Target="https://doi.org/10.3389/fpls.2022.835571" TargetMode="External"/><Relationship Id="rId174" Type="http://schemas.openxmlformats.org/officeDocument/2006/relationships/hyperlink" Target="https://phytozome-next.jgi.doe.gov/info/Macuminata_v1" TargetMode="External"/><Relationship Id="rId381" Type="http://schemas.openxmlformats.org/officeDocument/2006/relationships/hyperlink" Target="https://en.wikipedia.org/wiki/Abies_alba" TargetMode="External"/><Relationship Id="rId602" Type="http://schemas.openxmlformats.org/officeDocument/2006/relationships/hyperlink" Target="https://en.wikipedia.org/wiki/Solanum_habrochaites" TargetMode="External"/><Relationship Id="rId241" Type="http://schemas.openxmlformats.org/officeDocument/2006/relationships/hyperlink" Target="https://phytozome-next.jgi.doe.gov/info/Osativa_v7_0" TargetMode="External"/><Relationship Id="rId479" Type="http://schemas.openxmlformats.org/officeDocument/2006/relationships/hyperlink" Target="https://phytozome-next.jgi.doe.gov/info/Csativus_v1_0" TargetMode="External"/><Relationship Id="rId686" Type="http://schemas.openxmlformats.org/officeDocument/2006/relationships/hyperlink" Target="https://en.wikipedia.org/wiki/Coffea_arabica" TargetMode="External"/><Relationship Id="rId36" Type="http://schemas.openxmlformats.org/officeDocument/2006/relationships/hyperlink" Target="https://en.wikipedia.org/wiki/Oat" TargetMode="External"/><Relationship Id="rId339" Type="http://schemas.openxmlformats.org/officeDocument/2006/relationships/hyperlink" Target="https://doi.org/10.1093/aob/mcw226" TargetMode="External"/><Relationship Id="rId546" Type="http://schemas.openxmlformats.org/officeDocument/2006/relationships/hyperlink" Target="https://en.wikipedia.org/wiki/Oryza_sativa" TargetMode="External"/><Relationship Id="rId101" Type="http://schemas.openxmlformats.org/officeDocument/2006/relationships/hyperlink" Target="https://en.wikipedia.org/wiki/Rapeseed" TargetMode="External"/><Relationship Id="rId185" Type="http://schemas.openxmlformats.org/officeDocument/2006/relationships/hyperlink" Target="https://phytozome-next.jgi.doe.gov/info/Slycopersicum_ITAG4_0" TargetMode="External"/><Relationship Id="rId406" Type="http://schemas.openxmlformats.org/officeDocument/2006/relationships/hyperlink" Target="https://doi.org/10.1093/jxb/erz267" TargetMode="External"/><Relationship Id="rId392" Type="http://schemas.openxmlformats.org/officeDocument/2006/relationships/hyperlink" Target="https://en.wikipedia.org/wiki/Oryza_sativa" TargetMode="External"/><Relationship Id="rId613" Type="http://schemas.openxmlformats.org/officeDocument/2006/relationships/hyperlink" Target="https://phytozome-next.jgi.doe.gov/info/Slycopersicum_ITAG4_0" TargetMode="External"/><Relationship Id="rId697" Type="http://schemas.openxmlformats.org/officeDocument/2006/relationships/hyperlink" Target="https://en.wikipedia.org/wiki/Oryza_sativa" TargetMode="External"/><Relationship Id="rId252" Type="http://schemas.openxmlformats.org/officeDocument/2006/relationships/hyperlink" Target="https://phytozome-next.jgi.doe.gov/info/Athaliana_TAIR10" TargetMode="External"/><Relationship Id="rId47" Type="http://schemas.openxmlformats.org/officeDocument/2006/relationships/hyperlink" Target="https://en.wikipedia.org/wiki/Rapeseed" TargetMode="External"/><Relationship Id="rId112" Type="http://schemas.openxmlformats.org/officeDocument/2006/relationships/hyperlink" Target="https://en.wikipedia.org/wiki/Musa_(genus)" TargetMode="External"/><Relationship Id="rId557" Type="http://schemas.openxmlformats.org/officeDocument/2006/relationships/hyperlink" Target="https://doi.org/10.1111/ppl.13636" TargetMode="External"/><Relationship Id="rId196" Type="http://schemas.openxmlformats.org/officeDocument/2006/relationships/hyperlink" Target="https://phytozome-next.jgi.doe.gov/info/Slycopersicum_ITAG4_0" TargetMode="External"/><Relationship Id="rId417" Type="http://schemas.openxmlformats.org/officeDocument/2006/relationships/hyperlink" Target="https://phytozome-next.jgi.doe.gov/info/Osativa_v7_0" TargetMode="External"/><Relationship Id="rId624" Type="http://schemas.openxmlformats.org/officeDocument/2006/relationships/hyperlink" Target="https://en.wikipedia.org/wiki/Tomato" TargetMode="External"/><Relationship Id="rId263" Type="http://schemas.openxmlformats.org/officeDocument/2006/relationships/hyperlink" Target="https://phytozome-next.jgi.doe.gov/info/Slycopersicum_ITAG4_0" TargetMode="External"/><Relationship Id="rId470" Type="http://schemas.openxmlformats.org/officeDocument/2006/relationships/hyperlink" Target="https://clevercarbon.io/ppm/" TargetMode="External"/><Relationship Id="rId58" Type="http://schemas.openxmlformats.org/officeDocument/2006/relationships/hyperlink" Target="https://en.wikipedia.org/wiki/Betula_pubescens" TargetMode="External"/><Relationship Id="rId123" Type="http://schemas.openxmlformats.org/officeDocument/2006/relationships/hyperlink" Target="https://en.wikipedia.org/wiki/Chrysanthemum_%C3%97_morifolium" TargetMode="External"/><Relationship Id="rId330" Type="http://schemas.openxmlformats.org/officeDocument/2006/relationships/hyperlink" Target="https://phytozome-next.jgi.doe.gov/info/Hannuus_r1_2" TargetMode="External"/><Relationship Id="rId568" Type="http://schemas.openxmlformats.org/officeDocument/2006/relationships/hyperlink" Target="https://powo.science.kew.org/taxon/urn:lsid:ipni.org:names:410090-1" TargetMode="External"/><Relationship Id="rId428" Type="http://schemas.openxmlformats.org/officeDocument/2006/relationships/hyperlink" Target="https://en.wikipedia.org/wiki/Oryza_punctata" TargetMode="External"/><Relationship Id="rId635" Type="http://schemas.openxmlformats.org/officeDocument/2006/relationships/hyperlink" Target="https://doi.org/10.1093/jxb/erae357" TargetMode="External"/><Relationship Id="rId274" Type="http://schemas.openxmlformats.org/officeDocument/2006/relationships/hyperlink" Target="https://en.wikipedia.org/wiki/Sambucus_racemosa" TargetMode="External"/><Relationship Id="rId481" Type="http://schemas.openxmlformats.org/officeDocument/2006/relationships/hyperlink" Target="https://phytozome-next.jgi.doe.gov/info/Csativus_v1_0" TargetMode="External"/><Relationship Id="rId702" Type="http://schemas.openxmlformats.org/officeDocument/2006/relationships/hyperlink" Target="https://doi.org/10.1080/1343943X.2020.1777878" TargetMode="External"/><Relationship Id="rId69" Type="http://schemas.openxmlformats.org/officeDocument/2006/relationships/hyperlink" Target="https://en.wikipedia.org/wiki/Wheat" TargetMode="External"/><Relationship Id="rId134" Type="http://schemas.openxmlformats.org/officeDocument/2006/relationships/hyperlink" Target="https://en.wikipedia.org/wiki/Cucumber" TargetMode="External"/><Relationship Id="rId579" Type="http://schemas.openxmlformats.org/officeDocument/2006/relationships/hyperlink" Target="https://doi.org/10.1111/pce.15043" TargetMode="External"/><Relationship Id="rId341" Type="http://schemas.openxmlformats.org/officeDocument/2006/relationships/hyperlink" Target="https://doi.org/10.1093/jxb/erx357" TargetMode="External"/><Relationship Id="rId439" Type="http://schemas.openxmlformats.org/officeDocument/2006/relationships/hyperlink" Target="https://doi.org/10.1093/jxb/erz267" TargetMode="External"/><Relationship Id="rId646" Type="http://schemas.openxmlformats.org/officeDocument/2006/relationships/hyperlink" Target="https://doi.org/10.1016/j.pld.2023.04.001" TargetMode="External"/><Relationship Id="rId201" Type="http://schemas.openxmlformats.org/officeDocument/2006/relationships/hyperlink" Target="https://phytozome-next.jgi.doe.gov/info/Osativa_v7_0" TargetMode="External"/><Relationship Id="rId285" Type="http://schemas.openxmlformats.org/officeDocument/2006/relationships/hyperlink" Target="https://powo.science.kew.org/taxon/urn:lsid:ipni.org:names:273185-2" TargetMode="External"/><Relationship Id="rId506" Type="http://schemas.openxmlformats.org/officeDocument/2006/relationships/hyperlink" Target="https://phytozome-next.jgi.doe.gov/info/Slycopersicum_ITAG4_0" TargetMode="External"/><Relationship Id="rId492" Type="http://schemas.openxmlformats.org/officeDocument/2006/relationships/hyperlink" Target="https://doi.org/10.1104/pp.94.1.46" TargetMode="External"/><Relationship Id="rId713" Type="http://schemas.openxmlformats.org/officeDocument/2006/relationships/comments" Target="../comments1.xml"/><Relationship Id="rId145" Type="http://schemas.openxmlformats.org/officeDocument/2006/relationships/hyperlink" Target="https://doi.org/10.1093/pcp/pcj048" TargetMode="External"/><Relationship Id="rId352" Type="http://schemas.openxmlformats.org/officeDocument/2006/relationships/hyperlink" Target="https://doi.org/10.1111/pce.13111" TargetMode="External"/><Relationship Id="rId212" Type="http://schemas.openxmlformats.org/officeDocument/2006/relationships/hyperlink" Target="https://phytozome-next.jgi.doe.gov/info/Gmax_Wm82_a4_v1" TargetMode="External"/><Relationship Id="rId657" Type="http://schemas.openxmlformats.org/officeDocument/2006/relationships/hyperlink" Target="https://doi.org/10.1093/jxb/erae389" TargetMode="External"/><Relationship Id="rId296" Type="http://schemas.openxmlformats.org/officeDocument/2006/relationships/hyperlink" Target="https://en.wikipedia.org/wiki/Fagus_sylvatica" TargetMode="External"/><Relationship Id="rId517" Type="http://schemas.openxmlformats.org/officeDocument/2006/relationships/hyperlink" Target="https://phytozome-next.jgi.doe.gov/info/Mesculenta_v6_1" TargetMode="External"/><Relationship Id="rId60" Type="http://schemas.openxmlformats.org/officeDocument/2006/relationships/hyperlink" Target="https://en.wikipedia.org/wiki/Fagus_sylvatica" TargetMode="External"/><Relationship Id="rId156" Type="http://schemas.openxmlformats.org/officeDocument/2006/relationships/hyperlink" Target="https://phytozome-next.jgi.doe.gov/info/Vfaba_v1_1" TargetMode="External"/><Relationship Id="rId363" Type="http://schemas.openxmlformats.org/officeDocument/2006/relationships/hyperlink" Target="https://clevercarbon.io/ppm/" TargetMode="External"/><Relationship Id="rId570" Type="http://schemas.openxmlformats.org/officeDocument/2006/relationships/hyperlink" Target="https://doi.org/10.1002/fes3.286" TargetMode="External"/><Relationship Id="rId223" Type="http://schemas.openxmlformats.org/officeDocument/2006/relationships/hyperlink" Target="https://phytozome-next.jgi.doe.gov/info/Hannuus_r1_2" TargetMode="External"/><Relationship Id="rId430" Type="http://schemas.openxmlformats.org/officeDocument/2006/relationships/hyperlink" Target="https://doi.org/10.1093/jxb/erz267" TargetMode="External"/><Relationship Id="rId668" Type="http://schemas.openxmlformats.org/officeDocument/2006/relationships/hyperlink" Target="https://doi.org/10.1007/s00468-017-1522-x" TargetMode="External"/><Relationship Id="rId18" Type="http://schemas.openxmlformats.org/officeDocument/2006/relationships/hyperlink" Target="https://en.wikipedia.org/wiki/Spinach" TargetMode="External"/><Relationship Id="rId528" Type="http://schemas.openxmlformats.org/officeDocument/2006/relationships/hyperlink" Target="https://phytozome-next.jgi.doe.gov/info/Slycopersicum_ITAG4_0" TargetMode="External"/><Relationship Id="rId167" Type="http://schemas.openxmlformats.org/officeDocument/2006/relationships/hyperlink" Target="https://phytozome-next.jgi.doe.gov/info/Csativus_v1_0" TargetMode="External"/><Relationship Id="rId374" Type="http://schemas.openxmlformats.org/officeDocument/2006/relationships/hyperlink" Target="https://doi.org/10.1093/treephys/27.8.1207" TargetMode="External"/><Relationship Id="rId581" Type="http://schemas.openxmlformats.org/officeDocument/2006/relationships/hyperlink" Target="https://phytozome-next.jgi.doe.gov/info/Csativus_v1_0" TargetMode="External"/><Relationship Id="rId71" Type="http://schemas.openxmlformats.org/officeDocument/2006/relationships/hyperlink" Target="https://en.wikipedia.org/wiki/Maize" TargetMode="External"/><Relationship Id="rId234" Type="http://schemas.openxmlformats.org/officeDocument/2006/relationships/hyperlink" Target="https://phytozome-next.jgi.doe.gov/info/Taestivum_v2_2" TargetMode="External"/><Relationship Id="rId679" Type="http://schemas.openxmlformats.org/officeDocument/2006/relationships/hyperlink" Target="https://phytozome-next.jgi.doe.gov/info/Sbicolor_v3_1_1" TargetMode="External"/><Relationship Id="rId2" Type="http://schemas.openxmlformats.org/officeDocument/2006/relationships/hyperlink" Target="https://en.wikipedia.org/wiki/Oryza_sativa" TargetMode="External"/><Relationship Id="rId29" Type="http://schemas.openxmlformats.org/officeDocument/2006/relationships/hyperlink" Target="https://en.wikipedia.org/wiki/Centella_asiatica" TargetMode="External"/><Relationship Id="rId276" Type="http://schemas.openxmlformats.org/officeDocument/2006/relationships/hyperlink" Target="https://en.wikipedia.org/wiki/Cercocarpus_ledifolius" TargetMode="External"/><Relationship Id="rId441" Type="http://schemas.openxmlformats.org/officeDocument/2006/relationships/hyperlink" Target="https://doi.org/10.1111/pce.15047" TargetMode="External"/><Relationship Id="rId483" Type="http://schemas.openxmlformats.org/officeDocument/2006/relationships/hyperlink" Target="https://doi.org/10.1007/s11738-014-1648-z" TargetMode="External"/><Relationship Id="rId539" Type="http://schemas.openxmlformats.org/officeDocument/2006/relationships/hyperlink" Target="https://phytozome-next.jgi.doe.gov/info/Slycopersicum_ITAG4_0" TargetMode="External"/><Relationship Id="rId690" Type="http://schemas.openxmlformats.org/officeDocument/2006/relationships/hyperlink" Target="https://en.wikipedia.org/wiki/Fagus_sylvatica" TargetMode="External"/><Relationship Id="rId704" Type="http://schemas.openxmlformats.org/officeDocument/2006/relationships/hyperlink" Target="https://phytozome-next.jgi.doe.gov/info/Osativa_v7_0" TargetMode="External"/><Relationship Id="rId40" Type="http://schemas.openxmlformats.org/officeDocument/2006/relationships/hyperlink" Target="https://en.wikipedia.org/wiki/Wheat" TargetMode="External"/><Relationship Id="rId136" Type="http://schemas.openxmlformats.org/officeDocument/2006/relationships/hyperlink" Target="https://en.wikipedia.org/wiki/Cucumber" TargetMode="External"/><Relationship Id="rId178" Type="http://schemas.openxmlformats.org/officeDocument/2006/relationships/hyperlink" Target="https://phytozome-next.jgi.doe.gov/info/Gmax_Wm82_a4_v1" TargetMode="External"/><Relationship Id="rId301" Type="http://schemas.openxmlformats.org/officeDocument/2006/relationships/hyperlink" Target="https://powo.science.kew.org/taxon/urn:lsid:ipni.org:names:17132550-1" TargetMode="External"/><Relationship Id="rId343" Type="http://schemas.openxmlformats.org/officeDocument/2006/relationships/hyperlink" Target="https://doi.org/10.1111/nph.14000" TargetMode="External"/><Relationship Id="rId550" Type="http://schemas.openxmlformats.org/officeDocument/2006/relationships/hyperlink" Target="https://doi.org/10.3390/plants12051186" TargetMode="External"/><Relationship Id="rId82" Type="http://schemas.openxmlformats.org/officeDocument/2006/relationships/hyperlink" Target="https://en.wikipedia.org/wiki/Tomato" TargetMode="External"/><Relationship Id="rId203" Type="http://schemas.openxmlformats.org/officeDocument/2006/relationships/hyperlink" Target="https://phytozome-next.jgi.doe.gov/info/Osativa_v7_0" TargetMode="External"/><Relationship Id="rId385" Type="http://schemas.openxmlformats.org/officeDocument/2006/relationships/hyperlink" Target="https://en.wikipedia.org/wiki/Calamagrostis_canadensis" TargetMode="External"/><Relationship Id="rId592" Type="http://schemas.openxmlformats.org/officeDocument/2006/relationships/hyperlink" Target="https://doi.org/10.1111/pce.15043" TargetMode="External"/><Relationship Id="rId606" Type="http://schemas.openxmlformats.org/officeDocument/2006/relationships/hyperlink" Target="https://en.wikipedia.org/wiki/Solanum_pimpinellifolium" TargetMode="External"/><Relationship Id="rId648" Type="http://schemas.openxmlformats.org/officeDocument/2006/relationships/hyperlink" Target="https://en.wikipedia.org/wiki/Maize" TargetMode="External"/><Relationship Id="rId245" Type="http://schemas.openxmlformats.org/officeDocument/2006/relationships/hyperlink" Target="https://en.wikipedia.org/wiki/Quercus_afares" TargetMode="External"/><Relationship Id="rId287" Type="http://schemas.openxmlformats.org/officeDocument/2006/relationships/hyperlink" Target="https://www.science.org/doi/10.1126/science.aal3254" TargetMode="External"/><Relationship Id="rId410" Type="http://schemas.openxmlformats.org/officeDocument/2006/relationships/hyperlink" Target="https://en.wikipedia.org/wiki/Oryza_sativa" TargetMode="External"/><Relationship Id="rId452" Type="http://schemas.openxmlformats.org/officeDocument/2006/relationships/hyperlink" Target="https://doi.org/10.1093/aobpla/plaa067" TargetMode="External"/><Relationship Id="rId494" Type="http://schemas.openxmlformats.org/officeDocument/2006/relationships/hyperlink" Target="https://doi.org/10.1104/pp.94.1.46" TargetMode="External"/><Relationship Id="rId508" Type="http://schemas.openxmlformats.org/officeDocument/2006/relationships/hyperlink" Target="https://en.wikipedia.org/wiki/Tomato" TargetMode="External"/><Relationship Id="rId105" Type="http://schemas.openxmlformats.org/officeDocument/2006/relationships/hyperlink" Target="https://en.wikipedia.org/wiki/Soybean" TargetMode="External"/><Relationship Id="rId147" Type="http://schemas.openxmlformats.org/officeDocument/2006/relationships/hyperlink" Target="https://doi.org/10.1007/s11738-012-1051-6" TargetMode="External"/><Relationship Id="rId312" Type="http://schemas.openxmlformats.org/officeDocument/2006/relationships/hyperlink" Target="https://en.wikipedia.org/wiki/Adiantum_capillus-veneris" TargetMode="External"/><Relationship Id="rId354" Type="http://schemas.openxmlformats.org/officeDocument/2006/relationships/hyperlink" Target="https://doi.org/10.1007/BF00334403" TargetMode="External"/><Relationship Id="rId51" Type="http://schemas.openxmlformats.org/officeDocument/2006/relationships/hyperlink" Target="https://en.wikipedia.org/wiki/Paris_quadrifolia" TargetMode="External"/><Relationship Id="rId93" Type="http://schemas.openxmlformats.org/officeDocument/2006/relationships/hyperlink" Target="https://en.wikipedia.org/wiki/Tomato" TargetMode="External"/><Relationship Id="rId189" Type="http://schemas.openxmlformats.org/officeDocument/2006/relationships/hyperlink" Target="https://phytozome-next.jgi.doe.gov/info/Slycopersicum_ITAG4_0" TargetMode="External"/><Relationship Id="rId396" Type="http://schemas.openxmlformats.org/officeDocument/2006/relationships/hyperlink" Target="https://phytozome-next.jgi.doe.gov/info/Osativa_v7_0" TargetMode="External"/><Relationship Id="rId561" Type="http://schemas.openxmlformats.org/officeDocument/2006/relationships/hyperlink" Target="https://doi.org/10.1002/fes3.286" TargetMode="External"/><Relationship Id="rId617" Type="http://schemas.openxmlformats.org/officeDocument/2006/relationships/hyperlink" Target="https://doi.org/10.3390/plants13121668" TargetMode="External"/><Relationship Id="rId659" Type="http://schemas.openxmlformats.org/officeDocument/2006/relationships/hyperlink" Target="https://doi.org/10.1007/s00468-017-1522-x" TargetMode="External"/><Relationship Id="rId214" Type="http://schemas.openxmlformats.org/officeDocument/2006/relationships/hyperlink" Target="https://phytozome-next.jgi.doe.gov/info/Mesculenta_v6_1" TargetMode="External"/><Relationship Id="rId256" Type="http://schemas.openxmlformats.org/officeDocument/2006/relationships/hyperlink" Target="https://en.wikipedia.org/wiki/Tomato" TargetMode="External"/><Relationship Id="rId298" Type="http://schemas.openxmlformats.org/officeDocument/2006/relationships/hyperlink" Target="https://en.wikipedia.org/wiki/Microsorum_punctatum" TargetMode="External"/><Relationship Id="rId421" Type="http://schemas.openxmlformats.org/officeDocument/2006/relationships/hyperlink" Target="https://doi.org/10.1093/jxb/erz267" TargetMode="External"/><Relationship Id="rId463" Type="http://schemas.openxmlformats.org/officeDocument/2006/relationships/hyperlink" Target="https://doi.org/10.1111/pce.13862" TargetMode="External"/><Relationship Id="rId519" Type="http://schemas.openxmlformats.org/officeDocument/2006/relationships/hyperlink" Target="https://doi.org/10.1016/j.plaphy.2023.01.044" TargetMode="External"/><Relationship Id="rId670" Type="http://schemas.openxmlformats.org/officeDocument/2006/relationships/hyperlink" Target="https://phytozome-next.jgi.doe.gov/info/Sbicolor_v3_1_1" TargetMode="External"/><Relationship Id="rId116" Type="http://schemas.openxmlformats.org/officeDocument/2006/relationships/hyperlink" Target="https://en.wikipedia.org/wiki/Basil" TargetMode="External"/><Relationship Id="rId158" Type="http://schemas.openxmlformats.org/officeDocument/2006/relationships/hyperlink" Target="https://phytozome-next.jgi.doe.gov/info/Soleracea_Spov3" TargetMode="External"/><Relationship Id="rId323" Type="http://schemas.openxmlformats.org/officeDocument/2006/relationships/hyperlink" Target="https://en.wikipedia.org/wiki/Wheat" TargetMode="External"/><Relationship Id="rId530" Type="http://schemas.openxmlformats.org/officeDocument/2006/relationships/hyperlink" Target="https://doi.org/10.1111/pce.13810" TargetMode="External"/><Relationship Id="rId20" Type="http://schemas.openxmlformats.org/officeDocument/2006/relationships/hyperlink" Target="https://en.wikipedia.org/wiki/Vitis_vinifera" TargetMode="External"/><Relationship Id="rId62" Type="http://schemas.openxmlformats.org/officeDocument/2006/relationships/hyperlink" Target="https://en.wikipedia.org/wiki/Nicotiana_tabacum" TargetMode="External"/><Relationship Id="rId365" Type="http://schemas.openxmlformats.org/officeDocument/2006/relationships/hyperlink" Target="https://en.wikipedia.org/wiki/Fagus_sylvatica" TargetMode="External"/><Relationship Id="rId572" Type="http://schemas.openxmlformats.org/officeDocument/2006/relationships/hyperlink" Target="https://en.wikipedia.org/wiki/Oryza_rufipogon" TargetMode="External"/><Relationship Id="rId628" Type="http://schemas.openxmlformats.org/officeDocument/2006/relationships/hyperlink" Target="https://phytozome-next.jgi.doe.gov/info/Slycopersicum_ITAG4_0" TargetMode="External"/><Relationship Id="rId225" Type="http://schemas.openxmlformats.org/officeDocument/2006/relationships/hyperlink" Target="https://phytozome-next.jgi.doe.gov/info/PnigraxmaximowicziiNM6_v1_1" TargetMode="External"/><Relationship Id="rId267" Type="http://schemas.openxmlformats.org/officeDocument/2006/relationships/hyperlink" Target="https://phytozome-next.jgi.doe.gov/info/Slycopersicum_ITAG4_0" TargetMode="External"/><Relationship Id="rId432" Type="http://schemas.openxmlformats.org/officeDocument/2006/relationships/hyperlink" Target="https://phytozome-next.jgi.doe.gov/info/Osativa_v7_0" TargetMode="External"/><Relationship Id="rId474" Type="http://schemas.openxmlformats.org/officeDocument/2006/relationships/hyperlink" Target="https://doi.org/10.1007/s11738-014-1648-z" TargetMode="External"/><Relationship Id="rId127" Type="http://schemas.openxmlformats.org/officeDocument/2006/relationships/hyperlink" Target="https://en.wikipedia.org/wiki/Cucumber" TargetMode="External"/><Relationship Id="rId681" Type="http://schemas.openxmlformats.org/officeDocument/2006/relationships/hyperlink" Target="https://doi.org/10.1093/jxb/erae389" TargetMode="External"/><Relationship Id="rId31" Type="http://schemas.openxmlformats.org/officeDocument/2006/relationships/hyperlink" Target="https://en.wikipedia.org/wiki/Oryza_sativa" TargetMode="External"/><Relationship Id="rId73" Type="http://schemas.openxmlformats.org/officeDocument/2006/relationships/hyperlink" Target="https://en.wikipedia.org/wiki/Oryza_sativa" TargetMode="External"/><Relationship Id="rId169" Type="http://schemas.openxmlformats.org/officeDocument/2006/relationships/hyperlink" Target="https://phytozome-next.jgi.doe.gov/info/Csativus_v1_0" TargetMode="External"/><Relationship Id="rId334" Type="http://schemas.openxmlformats.org/officeDocument/2006/relationships/hyperlink" Target="https://phytozome-next.jgi.doe.gov/info/Hannuus_r1_2" TargetMode="External"/><Relationship Id="rId376" Type="http://schemas.openxmlformats.org/officeDocument/2006/relationships/hyperlink" Target="https://doi.org/10.1093/treephys/27.8.1207" TargetMode="External"/><Relationship Id="rId541" Type="http://schemas.openxmlformats.org/officeDocument/2006/relationships/hyperlink" Target="https://en.wikipedia.org/wiki/Tomato" TargetMode="External"/><Relationship Id="rId583" Type="http://schemas.openxmlformats.org/officeDocument/2006/relationships/hyperlink" Target="https://en.wikipedia.org/wiki/Chrysanthemum_%C3%97_morifolium" TargetMode="External"/><Relationship Id="rId639" Type="http://schemas.openxmlformats.org/officeDocument/2006/relationships/hyperlink" Target="https://doi.org/10.1016/j.pld.2023.04.001" TargetMode="External"/><Relationship Id="rId4" Type="http://schemas.openxmlformats.org/officeDocument/2006/relationships/hyperlink" Target="https://en.wikipedia.org/wiki/Tomato" TargetMode="External"/><Relationship Id="rId180" Type="http://schemas.openxmlformats.org/officeDocument/2006/relationships/hyperlink" Target="https://phytozome-next.jgi.doe.gov/info/Gmax_Wm82_a4_v1" TargetMode="External"/><Relationship Id="rId236" Type="http://schemas.openxmlformats.org/officeDocument/2006/relationships/hyperlink" Target="https://phytozome-next.jgi.doe.gov/info/Slycopersicum_ITAG4_0" TargetMode="External"/><Relationship Id="rId278" Type="http://schemas.openxmlformats.org/officeDocument/2006/relationships/hyperlink" Target="https://en.wikipedia.org/wiki/Quercus_garryana" TargetMode="External"/><Relationship Id="rId401" Type="http://schemas.openxmlformats.org/officeDocument/2006/relationships/hyperlink" Target="https://en.wikipedia.org/wiki/Oryza_sativa" TargetMode="External"/><Relationship Id="rId443" Type="http://schemas.openxmlformats.org/officeDocument/2006/relationships/hyperlink" Target="https://en.wikipedia.org/wiki/Alloteropsis_semialata" TargetMode="External"/><Relationship Id="rId650" Type="http://schemas.openxmlformats.org/officeDocument/2006/relationships/hyperlink" Target="https://phytozome-next.jgi.doe.gov/info/Zmays_RefGen_V4" TargetMode="External"/><Relationship Id="rId303" Type="http://schemas.openxmlformats.org/officeDocument/2006/relationships/hyperlink" Target="https://powo.science.kew.org/taxon/urn:lsid:ipni.org:names:583403-1" TargetMode="External"/><Relationship Id="rId485" Type="http://schemas.openxmlformats.org/officeDocument/2006/relationships/hyperlink" Target="https://doi.org/10.1007/s11738-014-1648-z" TargetMode="External"/><Relationship Id="rId692" Type="http://schemas.openxmlformats.org/officeDocument/2006/relationships/hyperlink" Target="https://en.wikipedia.org/wiki/Fagus_sylvatica" TargetMode="External"/><Relationship Id="rId706" Type="http://schemas.openxmlformats.org/officeDocument/2006/relationships/hyperlink" Target="https://en.wikipedia.org/wiki/Oryza_sativa" TargetMode="External"/><Relationship Id="rId42" Type="http://schemas.openxmlformats.org/officeDocument/2006/relationships/hyperlink" Target="https://en.wikipedia.org/wiki/Pea" TargetMode="External"/><Relationship Id="rId84" Type="http://schemas.openxmlformats.org/officeDocument/2006/relationships/hyperlink" Target="https://en.wikipedia.org/wiki/Tomato" TargetMode="External"/><Relationship Id="rId138" Type="http://schemas.openxmlformats.org/officeDocument/2006/relationships/hyperlink" Target="https://en.wikipedia.org/wiki/Spinach" TargetMode="External"/><Relationship Id="rId345" Type="http://schemas.openxmlformats.org/officeDocument/2006/relationships/hyperlink" Target="https://doi.org/10.1093/jxb/erx072" TargetMode="External"/><Relationship Id="rId387" Type="http://schemas.openxmlformats.org/officeDocument/2006/relationships/hyperlink" Target="https://doi.org/10.1104/pp.15.00134" TargetMode="External"/><Relationship Id="rId510" Type="http://schemas.openxmlformats.org/officeDocument/2006/relationships/hyperlink" Target="https://doi.org/10.1111/ppl.12876" TargetMode="External"/><Relationship Id="rId552" Type="http://schemas.openxmlformats.org/officeDocument/2006/relationships/hyperlink" Target="https://doi.org/10.3390/plants12051186" TargetMode="External"/><Relationship Id="rId594" Type="http://schemas.openxmlformats.org/officeDocument/2006/relationships/hyperlink" Target="https://phytozome-next.jgi.doe.gov/info/Slycopersicum_ITAG4_0" TargetMode="External"/><Relationship Id="rId608" Type="http://schemas.openxmlformats.org/officeDocument/2006/relationships/hyperlink" Target="https://en.wikipedia.org/wiki/Solanum_peruvianum" TargetMode="External"/><Relationship Id="rId191" Type="http://schemas.openxmlformats.org/officeDocument/2006/relationships/hyperlink" Target="https://phytozome-next.jgi.doe.gov/info/Slycopersicum_ITAG4_0" TargetMode="External"/><Relationship Id="rId205" Type="http://schemas.openxmlformats.org/officeDocument/2006/relationships/hyperlink" Target="https://phytozome-next.jgi.doe.gov/info/Osativa_v7_0" TargetMode="External"/><Relationship Id="rId247" Type="http://schemas.openxmlformats.org/officeDocument/2006/relationships/hyperlink" Target="https://en.wikipedia.org/wiki/Quercus_petraea" TargetMode="External"/><Relationship Id="rId412" Type="http://schemas.openxmlformats.org/officeDocument/2006/relationships/hyperlink" Target="https://doi.org/10.1093/jxb/erz267" TargetMode="External"/><Relationship Id="rId107" Type="http://schemas.openxmlformats.org/officeDocument/2006/relationships/hyperlink" Target="https://en.wikipedia.org/wiki/Soybean" TargetMode="External"/><Relationship Id="rId289" Type="http://schemas.openxmlformats.org/officeDocument/2006/relationships/hyperlink" Target="https://doi.org/10.1007/s11120-016-0323-1" TargetMode="External"/><Relationship Id="rId454" Type="http://schemas.openxmlformats.org/officeDocument/2006/relationships/hyperlink" Target="https://clevercarbon.io/ppm/" TargetMode="External"/><Relationship Id="rId496" Type="http://schemas.openxmlformats.org/officeDocument/2006/relationships/hyperlink" Target="https://en.wikipedia.org/wiki/Amaranthus_tricolor" TargetMode="External"/><Relationship Id="rId661" Type="http://schemas.openxmlformats.org/officeDocument/2006/relationships/hyperlink" Target="https://phytozome-next.jgi.doe.gov/info/Sbicolor_v3_1_1" TargetMode="External"/><Relationship Id="rId11" Type="http://schemas.openxmlformats.org/officeDocument/2006/relationships/hyperlink" Target="https://en.wikipedia.org/wiki/Marsilea_drummondii" TargetMode="External"/><Relationship Id="rId53" Type="http://schemas.openxmlformats.org/officeDocument/2006/relationships/hyperlink" Target="https://en.wikipedia.org/wiki/Barley" TargetMode="External"/><Relationship Id="rId149" Type="http://schemas.openxmlformats.org/officeDocument/2006/relationships/hyperlink" Target="https://doi.org/10.1111/nph.13566" TargetMode="External"/><Relationship Id="rId314" Type="http://schemas.openxmlformats.org/officeDocument/2006/relationships/hyperlink" Target="https://doi.org/10.1111/nph.15572" TargetMode="External"/><Relationship Id="rId356" Type="http://schemas.openxmlformats.org/officeDocument/2006/relationships/hyperlink" Target="https://doi.org/10.1007/BF00334403" TargetMode="External"/><Relationship Id="rId398" Type="http://schemas.openxmlformats.org/officeDocument/2006/relationships/hyperlink" Target="https://en.wikipedia.org/wiki/Oryza_sativa" TargetMode="External"/><Relationship Id="rId521" Type="http://schemas.openxmlformats.org/officeDocument/2006/relationships/hyperlink" Target="https://en.wikipedia.org/wiki/Tomato" TargetMode="External"/><Relationship Id="rId563" Type="http://schemas.openxmlformats.org/officeDocument/2006/relationships/hyperlink" Target="https://doi.org/10.1002/fes3.286" TargetMode="External"/><Relationship Id="rId619" Type="http://schemas.openxmlformats.org/officeDocument/2006/relationships/hyperlink" Target="https://phytozome-next.jgi.doe.gov/info/Csativus_v1_0" TargetMode="External"/><Relationship Id="rId95" Type="http://schemas.openxmlformats.org/officeDocument/2006/relationships/hyperlink" Target="https://en.wikipedia.org/wiki/Rapeseed" TargetMode="External"/><Relationship Id="rId160" Type="http://schemas.openxmlformats.org/officeDocument/2006/relationships/hyperlink" Target="https://phytozome-next.jgi.doe.gov/info/Csativus_v1_0" TargetMode="External"/><Relationship Id="rId216" Type="http://schemas.openxmlformats.org/officeDocument/2006/relationships/hyperlink" Target="https://phytozome-next.jgi.doe.gov/info/BrapaFPsc_v1_3" TargetMode="External"/><Relationship Id="rId423" Type="http://schemas.openxmlformats.org/officeDocument/2006/relationships/hyperlink" Target="https://phytozome-next.jgi.doe.gov/info/Osativa_v7_0" TargetMode="External"/><Relationship Id="rId258" Type="http://schemas.openxmlformats.org/officeDocument/2006/relationships/hyperlink" Target="https://en.wikipedia.org/wiki/Tomato" TargetMode="External"/><Relationship Id="rId465" Type="http://schemas.openxmlformats.org/officeDocument/2006/relationships/hyperlink" Target="https://en.wikipedia.org/wiki/Phaseolus_vulgaris" TargetMode="External"/><Relationship Id="rId630" Type="http://schemas.openxmlformats.org/officeDocument/2006/relationships/hyperlink" Target="https://en.wikipedia.org/wiki/Tomato" TargetMode="External"/><Relationship Id="rId672" Type="http://schemas.openxmlformats.org/officeDocument/2006/relationships/hyperlink" Target="https://doi.org/10.1093/jxb/erae389" TargetMode="External"/><Relationship Id="rId22" Type="http://schemas.openxmlformats.org/officeDocument/2006/relationships/hyperlink" Target="https://en.wikipedia.org/wiki/Nephrolepis_cordifolia" TargetMode="External"/><Relationship Id="rId64" Type="http://schemas.openxmlformats.org/officeDocument/2006/relationships/hyperlink" Target="https://en.wikipedia.org/wiki/Pteris_cretica" TargetMode="External"/><Relationship Id="rId118" Type="http://schemas.openxmlformats.org/officeDocument/2006/relationships/hyperlink" Target="https://en.wikipedia.org/wiki/Cucumber" TargetMode="External"/><Relationship Id="rId325" Type="http://schemas.openxmlformats.org/officeDocument/2006/relationships/hyperlink" Target="https://en.wikipedia.org/wiki/Wheat" TargetMode="External"/><Relationship Id="rId367" Type="http://schemas.openxmlformats.org/officeDocument/2006/relationships/hyperlink" Target="https://en.wikipedia.org/wiki/Acer_pseudoplatanus" TargetMode="External"/><Relationship Id="rId532" Type="http://schemas.openxmlformats.org/officeDocument/2006/relationships/hyperlink" Target="https://phytozome-next.jgi.doe.gov/info/Slycopersicum_ITAG4_0" TargetMode="External"/><Relationship Id="rId574" Type="http://schemas.openxmlformats.org/officeDocument/2006/relationships/hyperlink" Target="https://doi.org/10.1111/ppl.13825" TargetMode="External"/><Relationship Id="rId171" Type="http://schemas.openxmlformats.org/officeDocument/2006/relationships/hyperlink" Target="https://phytozome-next.jgi.doe.gov/info/Macuminata_v1" TargetMode="External"/><Relationship Id="rId227" Type="http://schemas.openxmlformats.org/officeDocument/2006/relationships/hyperlink" Target="https://phytozome-next.jgi.doe.gov/info/Soleracea_Spov3" TargetMode="External"/><Relationship Id="rId269" Type="http://schemas.openxmlformats.org/officeDocument/2006/relationships/hyperlink" Target="https://doi.org/10.1111/pce.12970" TargetMode="External"/><Relationship Id="rId434" Type="http://schemas.openxmlformats.org/officeDocument/2006/relationships/hyperlink" Target="https://en.wikipedia.org/wiki/Oryza_officinalis" TargetMode="External"/><Relationship Id="rId476" Type="http://schemas.openxmlformats.org/officeDocument/2006/relationships/hyperlink" Target="https://en.wikipedia.org/wiki/Cucumber" TargetMode="External"/><Relationship Id="rId641" Type="http://schemas.openxmlformats.org/officeDocument/2006/relationships/hyperlink" Target="https://doi.org/10.1016/j.pld.2023.04.001" TargetMode="External"/><Relationship Id="rId683" Type="http://schemas.openxmlformats.org/officeDocument/2006/relationships/hyperlink" Target="https://doi.org/10.1007/s00468-017-1522-x" TargetMode="External"/><Relationship Id="rId33" Type="http://schemas.openxmlformats.org/officeDocument/2006/relationships/hyperlink" Target="https://en.wikipedia.org/wiki/Miscanthus_nepalensis" TargetMode="External"/><Relationship Id="rId129" Type="http://schemas.openxmlformats.org/officeDocument/2006/relationships/hyperlink" Target="https://en.wikipedia.org/wiki/Lettuce" TargetMode="External"/><Relationship Id="rId280" Type="http://schemas.openxmlformats.org/officeDocument/2006/relationships/hyperlink" Target="https://en.wikipedia.org/wiki/Quercus_douglasii" TargetMode="External"/><Relationship Id="rId336" Type="http://schemas.openxmlformats.org/officeDocument/2006/relationships/hyperlink" Target="https://doi.org/10.1111/nph.15572" TargetMode="External"/><Relationship Id="rId501" Type="http://schemas.openxmlformats.org/officeDocument/2006/relationships/hyperlink" Target="https://doi.org/10.1093/plphys/kiab114" TargetMode="External"/><Relationship Id="rId543" Type="http://schemas.openxmlformats.org/officeDocument/2006/relationships/hyperlink" Target="https://doi.org/10.3389/fpls.2020.01317" TargetMode="External"/><Relationship Id="rId75" Type="http://schemas.openxmlformats.org/officeDocument/2006/relationships/hyperlink" Target="https://en.wikipedia.org/wiki/Oryza_sativa" TargetMode="External"/><Relationship Id="rId140" Type="http://schemas.openxmlformats.org/officeDocument/2006/relationships/hyperlink" Target="https://doi.org/10.1104/pp.86.3.782" TargetMode="External"/><Relationship Id="rId182" Type="http://schemas.openxmlformats.org/officeDocument/2006/relationships/hyperlink" Target="https://phytozome-next.jgi.doe.gov/info/Gmax_Wm82_a4_v1" TargetMode="External"/><Relationship Id="rId378" Type="http://schemas.openxmlformats.org/officeDocument/2006/relationships/hyperlink" Target="https://doi.org/10.1093/treephys/27.8.1207" TargetMode="External"/><Relationship Id="rId403" Type="http://schemas.openxmlformats.org/officeDocument/2006/relationships/hyperlink" Target="https://doi.org/10.1093/jxb/erz267" TargetMode="External"/><Relationship Id="rId585" Type="http://schemas.openxmlformats.org/officeDocument/2006/relationships/hyperlink" Target="https://en.wikipedia.org/wiki/Chrysanthemum_%C3%97_morifolium" TargetMode="External"/><Relationship Id="rId6" Type="http://schemas.openxmlformats.org/officeDocument/2006/relationships/hyperlink" Target="https://en.wikipedia.org/wiki/Piper_auritum" TargetMode="External"/><Relationship Id="rId238" Type="http://schemas.openxmlformats.org/officeDocument/2006/relationships/hyperlink" Target="https://phytozome-next.jgi.doe.gov/info/Zmays_RefGen_V4" TargetMode="External"/><Relationship Id="rId445" Type="http://schemas.openxmlformats.org/officeDocument/2006/relationships/hyperlink" Target="https://en.wikipedia.org/wiki/Alloteropsis_semialata" TargetMode="External"/><Relationship Id="rId487" Type="http://schemas.openxmlformats.org/officeDocument/2006/relationships/hyperlink" Target="https://doi.org/10.3389/fpls.2022.860229" TargetMode="External"/><Relationship Id="rId610" Type="http://schemas.openxmlformats.org/officeDocument/2006/relationships/hyperlink" Target="https://en.wikipedia.org/wiki/Solanum_cheesmaniae" TargetMode="External"/><Relationship Id="rId652" Type="http://schemas.openxmlformats.org/officeDocument/2006/relationships/hyperlink" Target="https://doi.org/10.1093/jxb/erae286" TargetMode="External"/><Relationship Id="rId694" Type="http://schemas.openxmlformats.org/officeDocument/2006/relationships/hyperlink" Target="https://en.wikipedia.org/wiki/Fagus_sylvatica" TargetMode="External"/><Relationship Id="rId708" Type="http://schemas.openxmlformats.org/officeDocument/2006/relationships/hyperlink" Target="https://doi.org/10.1080/1343943X.2020.1777878" TargetMode="External"/><Relationship Id="rId291" Type="http://schemas.openxmlformats.org/officeDocument/2006/relationships/hyperlink" Target="https://doi.org/10.1007/s00468-017-1522-x" TargetMode="External"/><Relationship Id="rId305" Type="http://schemas.openxmlformats.org/officeDocument/2006/relationships/hyperlink" Target="https://doi.org/10.1017/S026646740900618X" TargetMode="External"/><Relationship Id="rId347" Type="http://schemas.openxmlformats.org/officeDocument/2006/relationships/hyperlink" Target="https://doi.org/10.1007/s11120-016-0323-1" TargetMode="External"/><Relationship Id="rId512" Type="http://schemas.openxmlformats.org/officeDocument/2006/relationships/hyperlink" Target="https://phytozome-next.jgi.doe.gov/info/Slycopersicum_ITAG4_0" TargetMode="External"/><Relationship Id="rId44" Type="http://schemas.openxmlformats.org/officeDocument/2006/relationships/hyperlink" Target="https://en.wikipedia.org/wiki/Ginkgo_biloba" TargetMode="External"/><Relationship Id="rId86" Type="http://schemas.openxmlformats.org/officeDocument/2006/relationships/hyperlink" Target="https://en.wikipedia.org/wiki/Tomato" TargetMode="External"/><Relationship Id="rId151" Type="http://schemas.openxmlformats.org/officeDocument/2006/relationships/hyperlink" Target="https://en.wikipedia.org/wiki/Dicranopteris_linearis" TargetMode="External"/><Relationship Id="rId389" Type="http://schemas.openxmlformats.org/officeDocument/2006/relationships/hyperlink" Target="https://doi.org/10.1104/pp.15.00134" TargetMode="External"/><Relationship Id="rId554" Type="http://schemas.openxmlformats.org/officeDocument/2006/relationships/hyperlink" Target="https://doi.org/10.1038/srep31305" TargetMode="External"/><Relationship Id="rId596" Type="http://schemas.openxmlformats.org/officeDocument/2006/relationships/hyperlink" Target="https://en.wikipedia.org/wiki/Tomato" TargetMode="External"/><Relationship Id="rId193" Type="http://schemas.openxmlformats.org/officeDocument/2006/relationships/hyperlink" Target="https://phytozome-next.jgi.doe.gov/info/Slycopersicum_ITAG4_0" TargetMode="External"/><Relationship Id="rId207" Type="http://schemas.openxmlformats.org/officeDocument/2006/relationships/hyperlink" Target="https://phytozome-next.jgi.doe.gov/info/Taestivum_v2_2" TargetMode="External"/><Relationship Id="rId249" Type="http://schemas.openxmlformats.org/officeDocument/2006/relationships/hyperlink" Target="https://doi.org/10.1071/FP15348" TargetMode="External"/><Relationship Id="rId414" Type="http://schemas.openxmlformats.org/officeDocument/2006/relationships/hyperlink" Target="https://phytozome-next.jgi.doe.gov/info/Osativa_v7_0" TargetMode="External"/><Relationship Id="rId456" Type="http://schemas.openxmlformats.org/officeDocument/2006/relationships/hyperlink" Target="https://www.scielo.br/j/txpp/a/h645CYgsg59wCXmqjWZGWyN/?lang=en" TargetMode="External"/><Relationship Id="rId498" Type="http://schemas.openxmlformats.org/officeDocument/2006/relationships/hyperlink" Target="https://www.publish.csiro.au/fp/FP21363" TargetMode="External"/><Relationship Id="rId621" Type="http://schemas.openxmlformats.org/officeDocument/2006/relationships/hyperlink" Target="https://en.wikipedia.org/wiki/Cucumber" TargetMode="External"/><Relationship Id="rId663" Type="http://schemas.openxmlformats.org/officeDocument/2006/relationships/hyperlink" Target="https://doi.org/10.1093/jxb/erae389" TargetMode="External"/><Relationship Id="rId13" Type="http://schemas.openxmlformats.org/officeDocument/2006/relationships/hyperlink" Target="https://en.wikipedia.org/wiki/Pinus_radiata" TargetMode="External"/><Relationship Id="rId109" Type="http://schemas.openxmlformats.org/officeDocument/2006/relationships/hyperlink" Target="https://en.wikipedia.org/wiki/Soybean" TargetMode="External"/><Relationship Id="rId260" Type="http://schemas.openxmlformats.org/officeDocument/2006/relationships/hyperlink" Target="https://en.wikipedia.org/wiki/Tomato" TargetMode="External"/><Relationship Id="rId316" Type="http://schemas.openxmlformats.org/officeDocument/2006/relationships/hyperlink" Target="https://doi.org/10.3389/fpls.2019.00492" TargetMode="External"/><Relationship Id="rId523" Type="http://schemas.openxmlformats.org/officeDocument/2006/relationships/hyperlink" Target="https://doi.org/10.1093/jxb/erac078" TargetMode="External"/><Relationship Id="rId55" Type="http://schemas.openxmlformats.org/officeDocument/2006/relationships/hyperlink" Target="https://en.wikipedia.org/wiki/Pinus_sylvestris" TargetMode="External"/><Relationship Id="rId97" Type="http://schemas.openxmlformats.org/officeDocument/2006/relationships/hyperlink" Target="https://en.wikipedia.org/wiki/Rapeseed" TargetMode="External"/><Relationship Id="rId120" Type="http://schemas.openxmlformats.org/officeDocument/2006/relationships/hyperlink" Target="https://en.wikipedia.org/wiki/Tomato" TargetMode="External"/><Relationship Id="rId358" Type="http://schemas.openxmlformats.org/officeDocument/2006/relationships/hyperlink" Target="https://doi.org/10.1007/BF00334403" TargetMode="External"/><Relationship Id="rId565" Type="http://schemas.openxmlformats.org/officeDocument/2006/relationships/hyperlink" Target="https://phytozome-next.jgi.doe.gov/info/Osativa_v7_0" TargetMode="External"/><Relationship Id="rId162" Type="http://schemas.openxmlformats.org/officeDocument/2006/relationships/hyperlink" Target="https://phytozome-next.jgi.doe.gov/info/Csativus_v1_0" TargetMode="External"/><Relationship Id="rId218" Type="http://schemas.openxmlformats.org/officeDocument/2006/relationships/hyperlink" Target="https://phytozome-next.jgi.doe.gov/info/Pvulgaris_v2_1" TargetMode="External"/><Relationship Id="rId425" Type="http://schemas.openxmlformats.org/officeDocument/2006/relationships/hyperlink" Target="https://en.wikipedia.org/wiki/Oryza_australiensis" TargetMode="External"/><Relationship Id="rId467" Type="http://schemas.openxmlformats.org/officeDocument/2006/relationships/hyperlink" Target="https://phytozome-next.jgi.doe.gov/info/Pvulgaris_v2_1" TargetMode="External"/><Relationship Id="rId632" Type="http://schemas.openxmlformats.org/officeDocument/2006/relationships/hyperlink" Target="https://doi.org/10.1093/jxb/erae357" TargetMode="External"/><Relationship Id="rId271" Type="http://schemas.openxmlformats.org/officeDocument/2006/relationships/hyperlink" Target="https://en.wikipedia.org/wiki/Salix_scouleriana" TargetMode="External"/><Relationship Id="rId674" Type="http://schemas.openxmlformats.org/officeDocument/2006/relationships/hyperlink" Target="https://doi.org/10.1007/s00468-017-1522-x" TargetMode="External"/><Relationship Id="rId24" Type="http://schemas.openxmlformats.org/officeDocument/2006/relationships/hyperlink" Target="https://en.wikipedia.org/wiki/Ginkgo_biloba" TargetMode="External"/><Relationship Id="rId66" Type="http://schemas.openxmlformats.org/officeDocument/2006/relationships/hyperlink" Target="https://en.wikipedia.org/wiki/Nephrolepis_cordifolia" TargetMode="External"/><Relationship Id="rId131" Type="http://schemas.openxmlformats.org/officeDocument/2006/relationships/hyperlink" Target="https://en.wikipedia.org/wiki/Rose" TargetMode="External"/><Relationship Id="rId327" Type="http://schemas.openxmlformats.org/officeDocument/2006/relationships/hyperlink" Target="https://en.wikipedia.org/wiki/Wheat" TargetMode="External"/><Relationship Id="rId369" Type="http://schemas.openxmlformats.org/officeDocument/2006/relationships/hyperlink" Target="https://en.wikipedia.org/wiki/Tilia_cordata" TargetMode="External"/><Relationship Id="rId534" Type="http://schemas.openxmlformats.org/officeDocument/2006/relationships/hyperlink" Target="https://doi.org/10.3389/fpls.2022.835571" TargetMode="External"/><Relationship Id="rId576" Type="http://schemas.openxmlformats.org/officeDocument/2006/relationships/hyperlink" Target="https://doi.org/10.1111/ppl.13825" TargetMode="External"/><Relationship Id="rId173" Type="http://schemas.openxmlformats.org/officeDocument/2006/relationships/hyperlink" Target="https://phytozome-next.jgi.doe.gov/info/Macuminata_v1" TargetMode="External"/><Relationship Id="rId229" Type="http://schemas.openxmlformats.org/officeDocument/2006/relationships/hyperlink" Target="https://phytozome-next.jgi.doe.gov/info/Ghirsutum_v3_1" TargetMode="External"/><Relationship Id="rId380" Type="http://schemas.openxmlformats.org/officeDocument/2006/relationships/hyperlink" Target="https://doi.org/10.1093/treephys/27.8.1207" TargetMode="External"/><Relationship Id="rId436" Type="http://schemas.openxmlformats.org/officeDocument/2006/relationships/hyperlink" Target="https://doi.org/10.1093/jxb/erz267" TargetMode="External"/><Relationship Id="rId601" Type="http://schemas.openxmlformats.org/officeDocument/2006/relationships/hyperlink" Target="https://doi.org/10.1093/jxb/erae082" TargetMode="External"/><Relationship Id="rId643" Type="http://schemas.openxmlformats.org/officeDocument/2006/relationships/hyperlink" Target="https://doi.org/10.1016/j.pld.2023.04.001" TargetMode="External"/><Relationship Id="rId240" Type="http://schemas.openxmlformats.org/officeDocument/2006/relationships/hyperlink" Target="https://phytozome-next.jgi.doe.gov/info/Osativa_v7_0" TargetMode="External"/><Relationship Id="rId478" Type="http://schemas.openxmlformats.org/officeDocument/2006/relationships/hyperlink" Target="https://en.wikipedia.org/wiki/Cucumber" TargetMode="External"/><Relationship Id="rId685" Type="http://schemas.openxmlformats.org/officeDocument/2006/relationships/hyperlink" Target="https://en.wikipedia.org/wiki/Fagus_sylvatica" TargetMode="External"/><Relationship Id="rId35" Type="http://schemas.openxmlformats.org/officeDocument/2006/relationships/hyperlink" Target="https://en.wikipedia.org/wiki/Maize" TargetMode="External"/><Relationship Id="rId77" Type="http://schemas.openxmlformats.org/officeDocument/2006/relationships/hyperlink" Target="https://en.wikipedia.org/wiki/Oryza_sativa" TargetMode="External"/><Relationship Id="rId100" Type="http://schemas.openxmlformats.org/officeDocument/2006/relationships/hyperlink" Target="https://en.wikipedia.org/wiki/Rapeseed" TargetMode="External"/><Relationship Id="rId282" Type="http://schemas.openxmlformats.org/officeDocument/2006/relationships/hyperlink" Target="https://doi.org/10.1093/jxb/erx072" TargetMode="External"/><Relationship Id="rId338" Type="http://schemas.openxmlformats.org/officeDocument/2006/relationships/hyperlink" Target="https://doi.org/10.1007/s004420050414" TargetMode="External"/><Relationship Id="rId503" Type="http://schemas.openxmlformats.org/officeDocument/2006/relationships/hyperlink" Target="https://phytozome-next.jgi.doe.gov/info/Slycopersicum_ITAG4_0" TargetMode="External"/><Relationship Id="rId545" Type="http://schemas.openxmlformats.org/officeDocument/2006/relationships/hyperlink" Target="https://doi.org/10.1111/ppl.13603" TargetMode="External"/><Relationship Id="rId587" Type="http://schemas.openxmlformats.org/officeDocument/2006/relationships/hyperlink" Target="https://en.wikipedia.org/wiki/Tomato" TargetMode="External"/><Relationship Id="rId710" Type="http://schemas.openxmlformats.org/officeDocument/2006/relationships/drawing" Target="../drawings/drawing1.xml"/><Relationship Id="rId8" Type="http://schemas.openxmlformats.org/officeDocument/2006/relationships/hyperlink" Target="https://en.wikipedia.org/wiki/Arabidopsis_thaliana" TargetMode="External"/><Relationship Id="rId142" Type="http://schemas.openxmlformats.org/officeDocument/2006/relationships/hyperlink" Target="https://doi.org/10.1007/s004420050414" TargetMode="External"/><Relationship Id="rId184" Type="http://schemas.openxmlformats.org/officeDocument/2006/relationships/hyperlink" Target="https://phytozome-next.jgi.doe.gov/info/Slycopersicum_ITAG4_0" TargetMode="External"/><Relationship Id="rId391" Type="http://schemas.openxmlformats.org/officeDocument/2006/relationships/hyperlink" Target="https://doi.org/10.1104/pp.15.00134" TargetMode="External"/><Relationship Id="rId405" Type="http://schemas.openxmlformats.org/officeDocument/2006/relationships/hyperlink" Target="https://phytozome-next.jgi.doe.gov/info/Osativa_v7_0" TargetMode="External"/><Relationship Id="rId447" Type="http://schemas.openxmlformats.org/officeDocument/2006/relationships/hyperlink" Target="https://en.wikipedia.org/wiki/Alloteropsis_semialata" TargetMode="External"/><Relationship Id="rId612" Type="http://schemas.openxmlformats.org/officeDocument/2006/relationships/hyperlink" Target="https://en.wikipedia.org/wiki/Tomato" TargetMode="External"/><Relationship Id="rId251" Type="http://schemas.openxmlformats.org/officeDocument/2006/relationships/hyperlink" Target="https://doi.org/10.1111/nph.13566" TargetMode="External"/><Relationship Id="rId489" Type="http://schemas.openxmlformats.org/officeDocument/2006/relationships/hyperlink" Target="https://en.wikipedia.org/wiki/Tomato" TargetMode="External"/><Relationship Id="rId654" Type="http://schemas.openxmlformats.org/officeDocument/2006/relationships/hyperlink" Target="https://doi.org/10.1093/jxb/erae389" TargetMode="External"/><Relationship Id="rId696" Type="http://schemas.openxmlformats.org/officeDocument/2006/relationships/hyperlink" Target="https://en.wikipedia.org/wiki/Fagus_sylvatica" TargetMode="External"/><Relationship Id="rId46" Type="http://schemas.openxmlformats.org/officeDocument/2006/relationships/hyperlink" Target="https://en.wikipedia.org/wiki/Brassica_oleracea" TargetMode="External"/><Relationship Id="rId293" Type="http://schemas.openxmlformats.org/officeDocument/2006/relationships/hyperlink" Target="https://phytozome-next.jgi.doe.gov/info/Hannuus_r1_2" TargetMode="External"/><Relationship Id="rId307" Type="http://schemas.openxmlformats.org/officeDocument/2006/relationships/hyperlink" Target="https://en.wikipedia.org/wiki/Ficus_auriculata" TargetMode="External"/><Relationship Id="rId349" Type="http://schemas.openxmlformats.org/officeDocument/2006/relationships/hyperlink" Target="https://doi.org/10.1007/s004420050264" TargetMode="External"/><Relationship Id="rId514" Type="http://schemas.openxmlformats.org/officeDocument/2006/relationships/hyperlink" Target="https://doi.org/10.1111/nph.16142" TargetMode="External"/><Relationship Id="rId556" Type="http://schemas.openxmlformats.org/officeDocument/2006/relationships/hyperlink" Target="https://doi.org/10.1111/ppl.13636" TargetMode="External"/><Relationship Id="rId88" Type="http://schemas.openxmlformats.org/officeDocument/2006/relationships/hyperlink" Target="https://en.wikipedia.org/wiki/Tomato" TargetMode="External"/><Relationship Id="rId111" Type="http://schemas.openxmlformats.org/officeDocument/2006/relationships/hyperlink" Target="https://en.wikipedia.org/wiki/Musa_(genus)" TargetMode="External"/><Relationship Id="rId153" Type="http://schemas.openxmlformats.org/officeDocument/2006/relationships/hyperlink" Target="https://doi.org/10.1007/s004420050264" TargetMode="External"/><Relationship Id="rId195" Type="http://schemas.openxmlformats.org/officeDocument/2006/relationships/hyperlink" Target="https://phytozome-next.jgi.doe.gov/info/Slycopersicum_ITAG4_0" TargetMode="External"/><Relationship Id="rId209" Type="http://schemas.openxmlformats.org/officeDocument/2006/relationships/hyperlink" Target="https://phytozome-next.jgi.doe.gov/info/Carabica_v0_5" TargetMode="External"/><Relationship Id="rId360" Type="http://schemas.openxmlformats.org/officeDocument/2006/relationships/hyperlink" Target="https://clevercarbon.io/ppm/" TargetMode="External"/><Relationship Id="rId416" Type="http://schemas.openxmlformats.org/officeDocument/2006/relationships/hyperlink" Target="https://en.wikipedia.org/wiki/Oryza_rufipogon" TargetMode="External"/><Relationship Id="rId598" Type="http://schemas.openxmlformats.org/officeDocument/2006/relationships/hyperlink" Target="https://powo.science.kew.org/taxon/urn:lsid:ipni.org:names:972122-1" TargetMode="External"/><Relationship Id="rId220" Type="http://schemas.openxmlformats.org/officeDocument/2006/relationships/hyperlink" Target="https://phytozome-next.jgi.doe.gov/info/HvulgareMorex_V3" TargetMode="External"/><Relationship Id="rId458" Type="http://schemas.openxmlformats.org/officeDocument/2006/relationships/hyperlink" Target="https://doi.org/10.1111/ppl.13390" TargetMode="External"/><Relationship Id="rId623" Type="http://schemas.openxmlformats.org/officeDocument/2006/relationships/hyperlink" Target="https://doi.org/10.3390/plants13121668" TargetMode="External"/><Relationship Id="rId665" Type="http://schemas.openxmlformats.org/officeDocument/2006/relationships/hyperlink" Target="https://doi.org/10.1007/s00468-017-1522-x" TargetMode="External"/><Relationship Id="rId15" Type="http://schemas.openxmlformats.org/officeDocument/2006/relationships/hyperlink" Target="https://en.wikipedia.org/wiki/Eucalyptus_pauciflora" TargetMode="External"/><Relationship Id="rId57" Type="http://schemas.openxmlformats.org/officeDocument/2006/relationships/hyperlink" Target="https://en.wikipedia.org/wiki/Common_sunflower" TargetMode="External"/><Relationship Id="rId262" Type="http://schemas.openxmlformats.org/officeDocument/2006/relationships/hyperlink" Target="https://en.wikipedia.org/wiki/Tomato" TargetMode="External"/><Relationship Id="rId318" Type="http://schemas.openxmlformats.org/officeDocument/2006/relationships/hyperlink" Target="https://phytozome-next.jgi.doe.gov/info/Taestivum_v2_2" TargetMode="External"/><Relationship Id="rId525" Type="http://schemas.openxmlformats.org/officeDocument/2006/relationships/hyperlink" Target="https://phytozome-next.jgi.doe.gov/info/Slycopersicum_ITAG4_0" TargetMode="External"/><Relationship Id="rId567" Type="http://schemas.openxmlformats.org/officeDocument/2006/relationships/hyperlink" Target="https://phytozome-next.jgi.doe.gov/info/Osativa_v7_0" TargetMode="External"/><Relationship Id="rId99" Type="http://schemas.openxmlformats.org/officeDocument/2006/relationships/hyperlink" Target="https://en.wikipedia.org/wiki/Rapeseed" TargetMode="External"/><Relationship Id="rId122" Type="http://schemas.openxmlformats.org/officeDocument/2006/relationships/hyperlink" Target="https://en.wikipedia.org/wiki/Basil" TargetMode="External"/><Relationship Id="rId164" Type="http://schemas.openxmlformats.org/officeDocument/2006/relationships/hyperlink" Target="https://phytozome-next.jgi.doe.gov/info/Lsativa_V8" TargetMode="External"/><Relationship Id="rId371" Type="http://schemas.openxmlformats.org/officeDocument/2006/relationships/hyperlink" Target="https://en.wikipedia.org/wiki/Abies_alba" TargetMode="External"/><Relationship Id="rId427" Type="http://schemas.openxmlformats.org/officeDocument/2006/relationships/hyperlink" Target="https://doi.org/10.1093/jxb/erz267" TargetMode="External"/><Relationship Id="rId469" Type="http://schemas.openxmlformats.org/officeDocument/2006/relationships/hyperlink" Target="https://en.wikipedia.org/wiki/Phaseolus_vulgaris" TargetMode="External"/><Relationship Id="rId634" Type="http://schemas.openxmlformats.org/officeDocument/2006/relationships/hyperlink" Target="https://phytozome-next.jgi.doe.gov/info/Slycopersicum_ITAG4_0" TargetMode="External"/><Relationship Id="rId676" Type="http://schemas.openxmlformats.org/officeDocument/2006/relationships/hyperlink" Target="https://phytozome-next.jgi.doe.gov/info/Sbicolor_v3_1_1" TargetMode="External"/><Relationship Id="rId26" Type="http://schemas.openxmlformats.org/officeDocument/2006/relationships/hyperlink" Target="https://en.wikipedia.org/wiki/Populus_nigra" TargetMode="External"/><Relationship Id="rId231" Type="http://schemas.openxmlformats.org/officeDocument/2006/relationships/hyperlink" Target="https://phytozome-next.jgi.doe.gov/info/Athaliana_TAIR10" TargetMode="External"/><Relationship Id="rId273" Type="http://schemas.openxmlformats.org/officeDocument/2006/relationships/hyperlink" Target="https://en.wikipedia.org/wiki/Betula_occidentalis" TargetMode="External"/><Relationship Id="rId329" Type="http://schemas.openxmlformats.org/officeDocument/2006/relationships/hyperlink" Target="https://doi.org/10.1111/j.1365-3040.1994.tb00282.x" TargetMode="External"/><Relationship Id="rId480" Type="http://schemas.openxmlformats.org/officeDocument/2006/relationships/hyperlink" Target="https://phytozome-next.jgi.doe.gov/info/Csativus_v1_0" TargetMode="External"/><Relationship Id="rId536" Type="http://schemas.openxmlformats.org/officeDocument/2006/relationships/hyperlink" Target="https://doi.org/10.3389/fpls.2022.835571" TargetMode="External"/><Relationship Id="rId701" Type="http://schemas.openxmlformats.org/officeDocument/2006/relationships/hyperlink" Target="https://phytozome-next.jgi.doe.gov/info/Osativa_v7_0" TargetMode="External"/><Relationship Id="rId68" Type="http://schemas.openxmlformats.org/officeDocument/2006/relationships/hyperlink" Target="https://www.wildflower.org/plants/result.php?id_plant=LETH6" TargetMode="External"/><Relationship Id="rId133" Type="http://schemas.openxmlformats.org/officeDocument/2006/relationships/hyperlink" Target="https://en.wikipedia.org/wiki/Chrysanthemum_%C3%97_morifolium" TargetMode="External"/><Relationship Id="rId175" Type="http://schemas.openxmlformats.org/officeDocument/2006/relationships/hyperlink" Target="https://phytozome-next.jgi.doe.gov/info/Macuminata_v1" TargetMode="External"/><Relationship Id="rId340" Type="http://schemas.openxmlformats.org/officeDocument/2006/relationships/hyperlink" Target="https://doi.org/10.1093/aob/mcw226" TargetMode="External"/><Relationship Id="rId578" Type="http://schemas.openxmlformats.org/officeDocument/2006/relationships/hyperlink" Target="https://phytozome-next.jgi.doe.gov/info/Slycopersicum_ITAG4_0" TargetMode="External"/><Relationship Id="rId200" Type="http://schemas.openxmlformats.org/officeDocument/2006/relationships/hyperlink" Target="https://phytozome-next.jgi.doe.gov/info/Osativa_v7_0" TargetMode="External"/><Relationship Id="rId382" Type="http://schemas.openxmlformats.org/officeDocument/2006/relationships/hyperlink" Target="https://doi.org/10.1093/treephys/27.8.1207" TargetMode="External"/><Relationship Id="rId438" Type="http://schemas.openxmlformats.org/officeDocument/2006/relationships/hyperlink" Target="https://phytozome-next.jgi.doe.gov/info/Osativa_v7_0" TargetMode="External"/><Relationship Id="rId603" Type="http://schemas.openxmlformats.org/officeDocument/2006/relationships/hyperlink" Target="https://doi.org/10.1093/jxb/erae082" TargetMode="External"/><Relationship Id="rId645" Type="http://schemas.openxmlformats.org/officeDocument/2006/relationships/hyperlink" Target="https://doi.org/10.1016/j.pld.2023.04.001" TargetMode="External"/><Relationship Id="rId687" Type="http://schemas.openxmlformats.org/officeDocument/2006/relationships/hyperlink" Target="https://doi.org/10.1111/nph.18222" TargetMode="External"/><Relationship Id="rId242" Type="http://schemas.openxmlformats.org/officeDocument/2006/relationships/hyperlink" Target="https://powo.science.kew.org/taxon/urn:lsid:ipni.org:names:762666-1" TargetMode="External"/><Relationship Id="rId284" Type="http://schemas.openxmlformats.org/officeDocument/2006/relationships/hyperlink" Target="https://en.wikipedia.org/wiki/Begonia_coccinea" TargetMode="External"/><Relationship Id="rId491" Type="http://schemas.openxmlformats.org/officeDocument/2006/relationships/hyperlink" Target="https://doi.org/10.3389/fpls.2022.860229" TargetMode="External"/><Relationship Id="rId505" Type="http://schemas.openxmlformats.org/officeDocument/2006/relationships/hyperlink" Target="https://en.wikipedia.org/wiki/Tomato" TargetMode="External"/><Relationship Id="rId712" Type="http://schemas.openxmlformats.org/officeDocument/2006/relationships/image" Target="../media/image1.emf"/><Relationship Id="rId37" Type="http://schemas.openxmlformats.org/officeDocument/2006/relationships/hyperlink" Target="https://en.wikipedia.org/wiki/Nicotiana_tabacum" TargetMode="External"/><Relationship Id="rId79" Type="http://schemas.openxmlformats.org/officeDocument/2006/relationships/hyperlink" Target="https://en.wikipedia.org/wiki/Oryza_sativa" TargetMode="External"/><Relationship Id="rId102" Type="http://schemas.openxmlformats.org/officeDocument/2006/relationships/hyperlink" Target="https://en.wikipedia.org/wiki/Soybean" TargetMode="External"/><Relationship Id="rId144" Type="http://schemas.openxmlformats.org/officeDocument/2006/relationships/hyperlink" Target="https://en.wikipedia.org/wiki/Microstegium_vimineum" TargetMode="External"/><Relationship Id="rId547" Type="http://schemas.openxmlformats.org/officeDocument/2006/relationships/hyperlink" Target="https://en.wikipedia.org/wiki/Rose" TargetMode="External"/><Relationship Id="rId589" Type="http://schemas.openxmlformats.org/officeDocument/2006/relationships/hyperlink" Target="https://doi.org/10.1111/pce.15043" TargetMode="External"/><Relationship Id="rId90" Type="http://schemas.openxmlformats.org/officeDocument/2006/relationships/hyperlink" Target="https://en.wikipedia.org/wiki/Tomato" TargetMode="External"/><Relationship Id="rId186" Type="http://schemas.openxmlformats.org/officeDocument/2006/relationships/hyperlink" Target="https://phytozome-next.jgi.doe.gov/info/Slycopersicum_ITAG4_0" TargetMode="External"/><Relationship Id="rId351" Type="http://schemas.openxmlformats.org/officeDocument/2006/relationships/hyperlink" Target="https://doi.org/10.1007/s00468-017-1522-x" TargetMode="External"/><Relationship Id="rId393" Type="http://schemas.openxmlformats.org/officeDocument/2006/relationships/hyperlink" Target="https://phytozome-next.jgi.doe.gov/info/Osativa_v7_0" TargetMode="External"/><Relationship Id="rId407" Type="http://schemas.openxmlformats.org/officeDocument/2006/relationships/hyperlink" Target="https://en.wikipedia.org/wiki/Oryza_sativa" TargetMode="External"/><Relationship Id="rId449" Type="http://schemas.openxmlformats.org/officeDocument/2006/relationships/hyperlink" Target="https://en.wikipedia.org/wiki/Alloteropsis_semialata" TargetMode="External"/><Relationship Id="rId614" Type="http://schemas.openxmlformats.org/officeDocument/2006/relationships/hyperlink" Target="https://doi.org/10.1093/jxb/erae082" TargetMode="External"/><Relationship Id="rId656" Type="http://schemas.openxmlformats.org/officeDocument/2006/relationships/hyperlink" Target="https://doi.org/10.1007/s00468-017-1522-x" TargetMode="External"/><Relationship Id="rId211" Type="http://schemas.openxmlformats.org/officeDocument/2006/relationships/hyperlink" Target="file:///\\Users\Zhang\Library\CloudStorage\OneDrive-Personal\Academics\vi%20ETH\Salix%20purpurea%20v5.1" TargetMode="External"/><Relationship Id="rId253" Type="http://schemas.openxmlformats.org/officeDocument/2006/relationships/hyperlink" Target="https://doi.org/10.1093/aob/mcw226" TargetMode="External"/><Relationship Id="rId295" Type="http://schemas.openxmlformats.org/officeDocument/2006/relationships/hyperlink" Target="https://en.wikipedia.org/wiki/Alnus_glutinosa" TargetMode="External"/><Relationship Id="rId309" Type="http://schemas.openxmlformats.org/officeDocument/2006/relationships/hyperlink" Target="Ficus%20hookeriana" TargetMode="External"/><Relationship Id="rId460" Type="http://schemas.openxmlformats.org/officeDocument/2006/relationships/hyperlink" Target="https://doi.org/10.1093/plphys/kiaa011" TargetMode="External"/><Relationship Id="rId516" Type="http://schemas.openxmlformats.org/officeDocument/2006/relationships/hyperlink" Target="https://en.wikipedia.org/wiki/Cassava" TargetMode="External"/><Relationship Id="rId698" Type="http://schemas.openxmlformats.org/officeDocument/2006/relationships/hyperlink" Target="https://phytozome-next.jgi.doe.gov/info/Osativa_v7_0" TargetMode="External"/><Relationship Id="rId48" Type="http://schemas.openxmlformats.org/officeDocument/2006/relationships/hyperlink" Target="https://en.wikipedia.org/wiki/Brassica_rapa" TargetMode="External"/><Relationship Id="rId113" Type="http://schemas.openxmlformats.org/officeDocument/2006/relationships/hyperlink" Target="https://en.wikipedia.org/wiki/Musa_(genus)" TargetMode="External"/><Relationship Id="rId320" Type="http://schemas.openxmlformats.org/officeDocument/2006/relationships/hyperlink" Target="https://phytozome-next.jgi.doe.gov/info/Taestivum_v2_2" TargetMode="External"/><Relationship Id="rId558" Type="http://schemas.openxmlformats.org/officeDocument/2006/relationships/hyperlink" Target="https://en.wikipedia.org/wiki/Oryza_sativa" TargetMode="External"/><Relationship Id="rId155" Type="http://schemas.openxmlformats.org/officeDocument/2006/relationships/hyperlink" Target="https://phytozome-next.jgi.doe.gov/info/Vfaba_v1_1" TargetMode="External"/><Relationship Id="rId197" Type="http://schemas.openxmlformats.org/officeDocument/2006/relationships/hyperlink" Target="https://phytozome-next.jgi.doe.gov/info/Slycopersicum_ITAG4_0" TargetMode="External"/><Relationship Id="rId362" Type="http://schemas.openxmlformats.org/officeDocument/2006/relationships/hyperlink" Target="https://clevercarbon.io/ppm/" TargetMode="External"/><Relationship Id="rId418" Type="http://schemas.openxmlformats.org/officeDocument/2006/relationships/hyperlink" Target="https://doi.org/10.1093/jxb/erz267" TargetMode="External"/><Relationship Id="rId625" Type="http://schemas.openxmlformats.org/officeDocument/2006/relationships/hyperlink" Target="https://phytozome-next.jgi.doe.gov/info/Slycopersicum_ITAG4_0" TargetMode="External"/><Relationship Id="rId222" Type="http://schemas.openxmlformats.org/officeDocument/2006/relationships/hyperlink" Target="https://phytozome-next.jgi.doe.gov/info/Hannuus_r1_2" TargetMode="External"/><Relationship Id="rId264" Type="http://schemas.openxmlformats.org/officeDocument/2006/relationships/hyperlink" Target="https://en.wikipedia.org/wiki/Tomato" TargetMode="External"/><Relationship Id="rId471" Type="http://schemas.openxmlformats.org/officeDocument/2006/relationships/hyperlink" Target="https://doi.org/10.1007/s11738-014-1648-z" TargetMode="External"/><Relationship Id="rId667" Type="http://schemas.openxmlformats.org/officeDocument/2006/relationships/hyperlink" Target="https://phytozome-next.jgi.doe.gov/info/Sbicolor_v3_1_1" TargetMode="External"/><Relationship Id="rId17" Type="http://schemas.openxmlformats.org/officeDocument/2006/relationships/hyperlink" Target="https://en.wikipedia.org/wiki/Nothofagus_cunninghamii" TargetMode="External"/><Relationship Id="rId59" Type="http://schemas.openxmlformats.org/officeDocument/2006/relationships/hyperlink" Target="https://en.wikipedia.org/wiki/Alnus_glutinosa" TargetMode="External"/><Relationship Id="rId124" Type="http://schemas.openxmlformats.org/officeDocument/2006/relationships/hyperlink" Target="https://en.wikipedia.org/wiki/Chrysanthemum_%C3%97_morifolium" TargetMode="External"/><Relationship Id="rId527" Type="http://schemas.openxmlformats.org/officeDocument/2006/relationships/hyperlink" Target="https://en.wikipedia.org/wiki/Tomato" TargetMode="External"/><Relationship Id="rId569" Type="http://schemas.openxmlformats.org/officeDocument/2006/relationships/hyperlink" Target="https://doi.org/10.1002/fes3.286" TargetMode="External"/><Relationship Id="rId70" Type="http://schemas.openxmlformats.org/officeDocument/2006/relationships/hyperlink" Target="https://en.wikipedia.org/wiki/Wheat" TargetMode="External"/><Relationship Id="rId166" Type="http://schemas.openxmlformats.org/officeDocument/2006/relationships/hyperlink" Target="https://phytozome-next.jgi.doe.gov/info/Csativus_v1_0" TargetMode="External"/><Relationship Id="rId331" Type="http://schemas.openxmlformats.org/officeDocument/2006/relationships/hyperlink" Target="https://en.wikipedia.org/wiki/Andropogon_gerardi" TargetMode="External"/><Relationship Id="rId373" Type="http://schemas.openxmlformats.org/officeDocument/2006/relationships/hyperlink" Target="https://en.wikipedia.org/wiki/Picea_abies" TargetMode="External"/><Relationship Id="rId429" Type="http://schemas.openxmlformats.org/officeDocument/2006/relationships/hyperlink" Target="https://phytozome-next.jgi.doe.gov/info/Osativa_v7_0" TargetMode="External"/><Relationship Id="rId580" Type="http://schemas.openxmlformats.org/officeDocument/2006/relationships/hyperlink" Target="https://en.wikipedia.org/wiki/Cucumber" TargetMode="External"/><Relationship Id="rId636" Type="http://schemas.openxmlformats.org/officeDocument/2006/relationships/hyperlink" Target="https://en.wikipedia.org/wiki/Tithonia_diversifolia" TargetMode="External"/><Relationship Id="rId1" Type="http://schemas.openxmlformats.org/officeDocument/2006/relationships/hyperlink" Target="https://en.wikipedia.org/wiki/Alocasia_macrorrhizos" TargetMode="External"/><Relationship Id="rId233" Type="http://schemas.openxmlformats.org/officeDocument/2006/relationships/hyperlink" Target="https://phytozome-next.jgi.doe.gov/info/Taestivum_v2_2" TargetMode="External"/><Relationship Id="rId440" Type="http://schemas.openxmlformats.org/officeDocument/2006/relationships/hyperlink" Target="https://en.wikipedia.org/wiki/Alloteropsis_semialata" TargetMode="External"/><Relationship Id="rId678" Type="http://schemas.openxmlformats.org/officeDocument/2006/relationships/hyperlink" Target="https://doi.org/10.1093/jxb/erae389" TargetMode="External"/><Relationship Id="rId28" Type="http://schemas.openxmlformats.org/officeDocument/2006/relationships/hyperlink" Target="https://en.wikipedia.org/wiki/Common_sunflower" TargetMode="External"/><Relationship Id="rId275" Type="http://schemas.openxmlformats.org/officeDocument/2006/relationships/hyperlink" Target="https://en.wikipedia.org/wiki/Heteromeles" TargetMode="External"/><Relationship Id="rId300" Type="http://schemas.openxmlformats.org/officeDocument/2006/relationships/hyperlink" Target="https://powo.science.kew.org/taxon/urn:lsid:ipni.org:names:17043520-1" TargetMode="External"/><Relationship Id="rId482" Type="http://schemas.openxmlformats.org/officeDocument/2006/relationships/hyperlink" Target="https://phytozome-next.jgi.doe.gov/info/Csativus_v1_0" TargetMode="External"/><Relationship Id="rId538" Type="http://schemas.openxmlformats.org/officeDocument/2006/relationships/hyperlink" Target="https://en.wikipedia.org/wiki/Tomato" TargetMode="External"/><Relationship Id="rId703" Type="http://schemas.openxmlformats.org/officeDocument/2006/relationships/hyperlink" Target="https://en.wikipedia.org/wiki/Oryza_sativa" TargetMode="External"/><Relationship Id="rId81" Type="http://schemas.openxmlformats.org/officeDocument/2006/relationships/hyperlink" Target="https://en.wikipedia.org/wiki/Tomato" TargetMode="External"/><Relationship Id="rId135" Type="http://schemas.openxmlformats.org/officeDocument/2006/relationships/hyperlink" Target="https://en.wikipedia.org/wiki/Cucumber" TargetMode="External"/><Relationship Id="rId177" Type="http://schemas.openxmlformats.org/officeDocument/2006/relationships/hyperlink" Target="https://phytozome-next.jgi.doe.gov/info/Gmax_Wm82_a4_v1" TargetMode="External"/><Relationship Id="rId342" Type="http://schemas.openxmlformats.org/officeDocument/2006/relationships/hyperlink" Target="https://doi.org/10.1104/pp.17.01250" TargetMode="External"/><Relationship Id="rId384" Type="http://schemas.openxmlformats.org/officeDocument/2006/relationships/hyperlink" Target="https://doi.org/10.1139/b97-062" TargetMode="External"/><Relationship Id="rId591" Type="http://schemas.openxmlformats.org/officeDocument/2006/relationships/hyperlink" Target="https://phytozome-next.jgi.doe.gov/info/Csativus_v1_0" TargetMode="External"/><Relationship Id="rId605" Type="http://schemas.openxmlformats.org/officeDocument/2006/relationships/hyperlink" Target="https://doi.org/10.1093/jxb/erae082" TargetMode="External"/><Relationship Id="rId202" Type="http://schemas.openxmlformats.org/officeDocument/2006/relationships/hyperlink" Target="https://phytozome-next.jgi.doe.gov/info/Osativa_v7_0" TargetMode="External"/><Relationship Id="rId244" Type="http://schemas.openxmlformats.org/officeDocument/2006/relationships/hyperlink" Target="https://en.wikipedia.org/wiki/Quercus_robur" TargetMode="External"/><Relationship Id="rId647" Type="http://schemas.openxmlformats.org/officeDocument/2006/relationships/hyperlink" Target="https://en.wikipedia.org/wiki/Blumea_balsamifera" TargetMode="External"/><Relationship Id="rId689" Type="http://schemas.openxmlformats.org/officeDocument/2006/relationships/hyperlink" Target="https://doi.org/10.1111/nph.18222" TargetMode="External"/><Relationship Id="rId39" Type="http://schemas.openxmlformats.org/officeDocument/2006/relationships/hyperlink" Target="https://en.wikipedia.org/wiki/Arabidopsis_thaliana" TargetMode="External"/><Relationship Id="rId286" Type="http://schemas.openxmlformats.org/officeDocument/2006/relationships/hyperlink" Target="https://en.wikipedia.org/wiki/Brachypodium_distachyon" TargetMode="External"/><Relationship Id="rId451" Type="http://schemas.openxmlformats.org/officeDocument/2006/relationships/hyperlink" Target="https://doi.org/10.1093/aobpla/plaa067" TargetMode="External"/><Relationship Id="rId493" Type="http://schemas.openxmlformats.org/officeDocument/2006/relationships/hyperlink" Target="https://en.wikipedia.org/wiki/Chrysanthemum_%C3%97_morifolium" TargetMode="External"/><Relationship Id="rId507" Type="http://schemas.openxmlformats.org/officeDocument/2006/relationships/hyperlink" Target="https://doi.org/10.1111/ppl.12876" TargetMode="External"/><Relationship Id="rId549" Type="http://schemas.openxmlformats.org/officeDocument/2006/relationships/hyperlink" Target="https://en.wikipedia.org/wiki/Rose" TargetMode="External"/><Relationship Id="rId50" Type="http://schemas.openxmlformats.org/officeDocument/2006/relationships/hyperlink" Target="https://en.wikipedia.org/wiki/Cassava" TargetMode="External"/><Relationship Id="rId104" Type="http://schemas.openxmlformats.org/officeDocument/2006/relationships/hyperlink" Target="https://en.wikipedia.org/wiki/Soybean" TargetMode="External"/><Relationship Id="rId146" Type="http://schemas.openxmlformats.org/officeDocument/2006/relationships/hyperlink" Target="https://doi.org/10.1007/s11738-012-1051-6" TargetMode="External"/><Relationship Id="rId188" Type="http://schemas.openxmlformats.org/officeDocument/2006/relationships/hyperlink" Target="https://phytozome-next.jgi.doe.gov/info/Slycopersicum_ITAG4_0" TargetMode="External"/><Relationship Id="rId311" Type="http://schemas.openxmlformats.org/officeDocument/2006/relationships/hyperlink" Target="https://doi.org/10.1111/pce.13111" TargetMode="External"/><Relationship Id="rId353" Type="http://schemas.openxmlformats.org/officeDocument/2006/relationships/hyperlink" Target="https://doi.org/10.1017/S026646740900618X" TargetMode="External"/><Relationship Id="rId395" Type="http://schemas.openxmlformats.org/officeDocument/2006/relationships/hyperlink" Target="https://en.wikipedia.org/wiki/Oryza_sativa" TargetMode="External"/><Relationship Id="rId409" Type="http://schemas.openxmlformats.org/officeDocument/2006/relationships/hyperlink" Target="https://doi.org/10.1093/jxb/erz267" TargetMode="External"/><Relationship Id="rId560" Type="http://schemas.openxmlformats.org/officeDocument/2006/relationships/hyperlink" Target="https://doi.org/10.1111/ppl.13636" TargetMode="External"/><Relationship Id="rId92" Type="http://schemas.openxmlformats.org/officeDocument/2006/relationships/hyperlink" Target="https://en.wikipedia.org/wiki/Tomato" TargetMode="External"/><Relationship Id="rId213" Type="http://schemas.openxmlformats.org/officeDocument/2006/relationships/hyperlink" Target="https://phytozome-next.jgi.doe.gov/info/Gmax_Wm82_a4_v1" TargetMode="External"/><Relationship Id="rId420" Type="http://schemas.openxmlformats.org/officeDocument/2006/relationships/hyperlink" Target="https://phytozome-next.jgi.doe.gov/info/Osativa_v7_0" TargetMode="External"/><Relationship Id="rId616" Type="http://schemas.openxmlformats.org/officeDocument/2006/relationships/hyperlink" Target="https://phytozome-next.jgi.doe.gov/info/Csativus_v1_0" TargetMode="External"/><Relationship Id="rId658" Type="http://schemas.openxmlformats.org/officeDocument/2006/relationships/hyperlink" Target="https://phytozome-next.jgi.doe.gov/info/Sbicolor_v3_1_1" TargetMode="External"/><Relationship Id="rId255" Type="http://schemas.openxmlformats.org/officeDocument/2006/relationships/hyperlink" Target="https://phytozome-next.jgi.doe.gov/info/Slycopersicum_ITAG4_0" TargetMode="External"/><Relationship Id="rId297" Type="http://schemas.openxmlformats.org/officeDocument/2006/relationships/hyperlink" Target="https://en.wikipedia.org/wiki/Asplenium_nidus" TargetMode="External"/><Relationship Id="rId462" Type="http://schemas.openxmlformats.org/officeDocument/2006/relationships/hyperlink" Target="https://doi.org/10.1111/pce.13862" TargetMode="External"/><Relationship Id="rId518" Type="http://schemas.openxmlformats.org/officeDocument/2006/relationships/hyperlink" Target="https://doi.org/10.1111/nph.16142" TargetMode="External"/><Relationship Id="rId115" Type="http://schemas.openxmlformats.org/officeDocument/2006/relationships/hyperlink" Target="https://en.wikipedia.org/wiki/Chrysanthemum_%C3%97_morifolium" TargetMode="External"/><Relationship Id="rId157" Type="http://schemas.openxmlformats.org/officeDocument/2006/relationships/hyperlink" Target="https://phytozome-next.jgi.doe.gov/info/Bvulgarisssp_vulgaris_EL10_2_2" TargetMode="External"/><Relationship Id="rId322" Type="http://schemas.openxmlformats.org/officeDocument/2006/relationships/hyperlink" Target="https://phytozome-next.jgi.doe.gov/info/Taestivum_v2_2" TargetMode="External"/><Relationship Id="rId364" Type="http://schemas.openxmlformats.org/officeDocument/2006/relationships/hyperlink" Target="https://doi.org/10.1093/treephys/27.8.1207" TargetMode="External"/><Relationship Id="rId61" Type="http://schemas.openxmlformats.org/officeDocument/2006/relationships/hyperlink" Target="https://en.wikipedia.org/wiki/Arabidopsis_thaliana" TargetMode="External"/><Relationship Id="rId199" Type="http://schemas.openxmlformats.org/officeDocument/2006/relationships/hyperlink" Target="https://phytozome-next.jgi.doe.gov/info/Osativa_v7_0" TargetMode="External"/><Relationship Id="rId571" Type="http://schemas.openxmlformats.org/officeDocument/2006/relationships/hyperlink" Target="https://en.wikipedia.org/wiki/Oryza_rufipogon" TargetMode="External"/><Relationship Id="rId627" Type="http://schemas.openxmlformats.org/officeDocument/2006/relationships/hyperlink" Target="https://en.wikipedia.org/wiki/Tomato" TargetMode="External"/><Relationship Id="rId669" Type="http://schemas.openxmlformats.org/officeDocument/2006/relationships/hyperlink" Target="https://doi.org/10.1093/jxb/erae389" TargetMode="External"/><Relationship Id="rId19" Type="http://schemas.openxmlformats.org/officeDocument/2006/relationships/hyperlink" Target="https://en.wikipedia.org/wiki/Vicia_faba" TargetMode="External"/><Relationship Id="rId224" Type="http://schemas.openxmlformats.org/officeDocument/2006/relationships/hyperlink" Target="https://phytozome-next.jgi.doe.gov/info/Hannuus_r1_2" TargetMode="External"/><Relationship Id="rId266" Type="http://schemas.openxmlformats.org/officeDocument/2006/relationships/hyperlink" Target="https://en.wikipedia.org/wiki/Tomato" TargetMode="External"/><Relationship Id="rId431" Type="http://schemas.openxmlformats.org/officeDocument/2006/relationships/hyperlink" Target="https://keys.lucidcentral.org/keys/v3/AusGrass/key/AusGrass/Media/Html/ORYZA/ORYMIN.HTML" TargetMode="External"/><Relationship Id="rId473" Type="http://schemas.openxmlformats.org/officeDocument/2006/relationships/hyperlink" Target="https://doi.org/10.1007/s11738-014-1648-z" TargetMode="External"/><Relationship Id="rId529" Type="http://schemas.openxmlformats.org/officeDocument/2006/relationships/hyperlink" Target="https://doi.org/10.1093/jxb/erac078" TargetMode="External"/><Relationship Id="rId680" Type="http://schemas.openxmlformats.org/officeDocument/2006/relationships/hyperlink" Target="https://doi.org/10.1007/s00468-017-1522-x" TargetMode="External"/><Relationship Id="rId30" Type="http://schemas.openxmlformats.org/officeDocument/2006/relationships/hyperlink" Target="https://en.wikipedia.org/wiki/Oryza_sativa" TargetMode="External"/><Relationship Id="rId126" Type="http://schemas.openxmlformats.org/officeDocument/2006/relationships/hyperlink" Target="https://en.wikipedia.org/wiki/Cucumber" TargetMode="External"/><Relationship Id="rId168" Type="http://schemas.openxmlformats.org/officeDocument/2006/relationships/hyperlink" Target="https://phytozome-next.jgi.doe.gov/info/Slycopersicum_ITAG4_0" TargetMode="External"/><Relationship Id="rId333" Type="http://schemas.openxmlformats.org/officeDocument/2006/relationships/hyperlink" Target="https://doi.org/10.1111/j.1365-3040.1994.tb00282.x" TargetMode="External"/><Relationship Id="rId540" Type="http://schemas.openxmlformats.org/officeDocument/2006/relationships/hyperlink" Target="https://doi.org/10.3389/fpls.2020.01317" TargetMode="External"/><Relationship Id="rId72" Type="http://schemas.openxmlformats.org/officeDocument/2006/relationships/hyperlink" Target="https://en.wikipedia.org/wiki/Oryza_sativa" TargetMode="External"/><Relationship Id="rId375" Type="http://schemas.openxmlformats.org/officeDocument/2006/relationships/hyperlink" Target="https://en.wikipedia.org/wiki/Fagus_sylvatica" TargetMode="External"/><Relationship Id="rId582" Type="http://schemas.openxmlformats.org/officeDocument/2006/relationships/hyperlink" Target="https://doi.org/10.1111/pce.15043" TargetMode="External"/><Relationship Id="rId638" Type="http://schemas.openxmlformats.org/officeDocument/2006/relationships/hyperlink" Target="https://en.wikipedia.org/wiki/Tithonia_diversifolia" TargetMode="External"/><Relationship Id="rId3" Type="http://schemas.openxmlformats.org/officeDocument/2006/relationships/hyperlink" Target="https://en.wikipedia.org/wiki/Maize" TargetMode="External"/><Relationship Id="rId235" Type="http://schemas.openxmlformats.org/officeDocument/2006/relationships/hyperlink" Target="https://phytozome-next.jgi.doe.gov/info/Slycopersicum_ITAG4_0" TargetMode="External"/><Relationship Id="rId277" Type="http://schemas.openxmlformats.org/officeDocument/2006/relationships/hyperlink" Target="https://en.wikipedia.org/wiki/Rhamnus_crocea_subsp._ilicifolia" TargetMode="External"/><Relationship Id="rId400" Type="http://schemas.openxmlformats.org/officeDocument/2006/relationships/hyperlink" Target="https://doi.org/10.1093/jxb/erz267" TargetMode="External"/><Relationship Id="rId442" Type="http://schemas.openxmlformats.org/officeDocument/2006/relationships/hyperlink" Target="https://doi.org/10.1093/pcp/pcj048" TargetMode="External"/><Relationship Id="rId484" Type="http://schemas.openxmlformats.org/officeDocument/2006/relationships/hyperlink" Target="https://doi.org/10.1007/s11738-014-1648-z" TargetMode="External"/><Relationship Id="rId705" Type="http://schemas.openxmlformats.org/officeDocument/2006/relationships/hyperlink" Target="https://doi.org/10.1080/1343943X.2020.1777878" TargetMode="External"/><Relationship Id="rId137" Type="http://schemas.openxmlformats.org/officeDocument/2006/relationships/hyperlink" Target="https://en.wikipedia.org/wiki/Cucumber" TargetMode="External"/><Relationship Id="rId302" Type="http://schemas.openxmlformats.org/officeDocument/2006/relationships/hyperlink" Target="http://www.efloras.org/florataxon.aspx?flora_id=3&amp;taxon_id=200004739" TargetMode="External"/><Relationship Id="rId344" Type="http://schemas.openxmlformats.org/officeDocument/2006/relationships/hyperlink" Target="https://doi.org/10.1111/pce.12970" TargetMode="External"/><Relationship Id="rId691" Type="http://schemas.openxmlformats.org/officeDocument/2006/relationships/hyperlink" Target="https://doi.org/10.1111/nph.18222" TargetMode="External"/><Relationship Id="rId41" Type="http://schemas.openxmlformats.org/officeDocument/2006/relationships/hyperlink" Target="https://en.wikipedia.org/wiki/Phaseolus_vulgaris" TargetMode="External"/><Relationship Id="rId83" Type="http://schemas.openxmlformats.org/officeDocument/2006/relationships/hyperlink" Target="https://en.wikipedia.org/wiki/Tomato" TargetMode="External"/><Relationship Id="rId179" Type="http://schemas.openxmlformats.org/officeDocument/2006/relationships/hyperlink" Target="https://phytozome-next.jgi.doe.gov/info/Gmax_Wm82_a4_v1" TargetMode="External"/><Relationship Id="rId386" Type="http://schemas.openxmlformats.org/officeDocument/2006/relationships/hyperlink" Target="https://clevercarbon.io/ppm/" TargetMode="External"/><Relationship Id="rId551" Type="http://schemas.openxmlformats.org/officeDocument/2006/relationships/hyperlink" Target="https://doi.org/10.3390/plants12051186" TargetMode="External"/><Relationship Id="rId593" Type="http://schemas.openxmlformats.org/officeDocument/2006/relationships/hyperlink" Target="https://en.wikipedia.org/wiki/Tomato" TargetMode="External"/><Relationship Id="rId607" Type="http://schemas.openxmlformats.org/officeDocument/2006/relationships/hyperlink" Target="https://doi.org/10.1093/jxb/erae082" TargetMode="External"/><Relationship Id="rId649" Type="http://schemas.openxmlformats.org/officeDocument/2006/relationships/hyperlink" Target="https://doi.org/10.1093/jxb/erae286" TargetMode="External"/><Relationship Id="rId190" Type="http://schemas.openxmlformats.org/officeDocument/2006/relationships/hyperlink" Target="https://phytozome-next.jgi.doe.gov/info/Slycopersicum_ITAG4_0" TargetMode="External"/><Relationship Id="rId204" Type="http://schemas.openxmlformats.org/officeDocument/2006/relationships/hyperlink" Target="https://phytozome-next.jgi.doe.gov/info/Osativa_v7_0" TargetMode="External"/><Relationship Id="rId246" Type="http://schemas.openxmlformats.org/officeDocument/2006/relationships/hyperlink" Target="https://en.wikipedia.org/wiki/Quercus_suber" TargetMode="External"/><Relationship Id="rId288" Type="http://schemas.openxmlformats.org/officeDocument/2006/relationships/hyperlink" Target="https://doi.org/10.1104/pp.94.2.628" TargetMode="External"/><Relationship Id="rId411" Type="http://schemas.openxmlformats.org/officeDocument/2006/relationships/hyperlink" Target="https://phytozome-next.jgi.doe.gov/info/Osativa_v7_0" TargetMode="External"/><Relationship Id="rId453" Type="http://schemas.openxmlformats.org/officeDocument/2006/relationships/hyperlink" Target="https://clevercarbon.io/ppm/" TargetMode="External"/><Relationship Id="rId509" Type="http://schemas.openxmlformats.org/officeDocument/2006/relationships/hyperlink" Target="https://phytozome-next.jgi.doe.gov/info/Slycopersicum_ITAG4_0" TargetMode="External"/><Relationship Id="rId660" Type="http://schemas.openxmlformats.org/officeDocument/2006/relationships/hyperlink" Target="https://doi.org/10.1093/jxb/erae389" TargetMode="External"/><Relationship Id="rId106" Type="http://schemas.openxmlformats.org/officeDocument/2006/relationships/hyperlink" Target="https://en.wikipedia.org/wiki/Soybean" TargetMode="External"/><Relationship Id="rId313" Type="http://schemas.openxmlformats.org/officeDocument/2006/relationships/hyperlink" Target="https://en.wikipedia.org/wiki/Hypolepis_rugosula" TargetMode="External"/><Relationship Id="rId495" Type="http://schemas.openxmlformats.org/officeDocument/2006/relationships/hyperlink" Target="https://www.publish.csiro.au/fp/FP21363" TargetMode="External"/><Relationship Id="rId10" Type="http://schemas.openxmlformats.org/officeDocument/2006/relationships/hyperlink" Target="https://en.wikipedia.org/wiki/Histiopteris_incisa" TargetMode="External"/><Relationship Id="rId52" Type="http://schemas.openxmlformats.org/officeDocument/2006/relationships/hyperlink" Target="https://en.wikipedia.org/wiki/Willow" TargetMode="External"/><Relationship Id="rId94" Type="http://schemas.openxmlformats.org/officeDocument/2006/relationships/hyperlink" Target="https://en.wikipedia.org/wiki/Rapeseed" TargetMode="External"/><Relationship Id="rId148" Type="http://schemas.openxmlformats.org/officeDocument/2006/relationships/hyperlink" Target="https://en.wikipedia.org/wiki/Arabidopsis_thaliana" TargetMode="External"/><Relationship Id="rId355" Type="http://schemas.openxmlformats.org/officeDocument/2006/relationships/hyperlink" Target="https://doi.org/10.1007/BF00334403" TargetMode="External"/><Relationship Id="rId397" Type="http://schemas.openxmlformats.org/officeDocument/2006/relationships/hyperlink" Target="https://doi.org/10.1093/jxb/erz267" TargetMode="External"/><Relationship Id="rId520" Type="http://schemas.openxmlformats.org/officeDocument/2006/relationships/hyperlink" Target="https://doi.org/10.1093/jxb/erac078" TargetMode="External"/><Relationship Id="rId562" Type="http://schemas.openxmlformats.org/officeDocument/2006/relationships/hyperlink" Target="https://doi.org/10.1002/fes3.286" TargetMode="External"/><Relationship Id="rId618" Type="http://schemas.openxmlformats.org/officeDocument/2006/relationships/hyperlink" Target="https://en.wikipedia.org/wiki/Cucumber" TargetMode="External"/><Relationship Id="rId215" Type="http://schemas.openxmlformats.org/officeDocument/2006/relationships/hyperlink" Target="https://phytozome-next.jgi.doe.gov/info/Mesculenta_v6_1" TargetMode="External"/><Relationship Id="rId257" Type="http://schemas.openxmlformats.org/officeDocument/2006/relationships/hyperlink" Target="https://phytozome-next.jgi.doe.gov/info/Slycopersicum_ITAG4_0" TargetMode="External"/><Relationship Id="rId422" Type="http://schemas.openxmlformats.org/officeDocument/2006/relationships/hyperlink" Target="https://www.gbif.org/species/4110327" TargetMode="External"/><Relationship Id="rId464" Type="http://schemas.openxmlformats.org/officeDocument/2006/relationships/hyperlink" Target="https://doi.org/10.1093/jxb/47.5.639" TargetMode="External"/><Relationship Id="rId299" Type="http://schemas.openxmlformats.org/officeDocument/2006/relationships/hyperlink" Target="https://en.wikipedia.org/wiki/Aglaomorpha_coronans" TargetMode="External"/><Relationship Id="rId63" Type="http://schemas.openxmlformats.org/officeDocument/2006/relationships/hyperlink" Target="https://en.wikipedia.org/wiki/Adiantum_capillus-veneris" TargetMode="External"/><Relationship Id="rId159" Type="http://schemas.openxmlformats.org/officeDocument/2006/relationships/hyperlink" Target="https://phytozome-next.jgi.doe.gov/info/Csativus_v1_0" TargetMode="External"/><Relationship Id="rId366" Type="http://schemas.openxmlformats.org/officeDocument/2006/relationships/hyperlink" Target="https://doi.org/10.1093/treephys/27.8.1207" TargetMode="External"/><Relationship Id="rId573" Type="http://schemas.openxmlformats.org/officeDocument/2006/relationships/hyperlink" Target="https://powo.science.kew.org/taxon/urn:lsid:ipni.org:names:410090-1" TargetMode="External"/><Relationship Id="rId226" Type="http://schemas.openxmlformats.org/officeDocument/2006/relationships/hyperlink" Target="https://phytozome-next.jgi.doe.gov/info/Vvinifera_v2_1" TargetMode="External"/><Relationship Id="rId433" Type="http://schemas.openxmlformats.org/officeDocument/2006/relationships/hyperlink" Target="https://doi.org/10.1093/jxb/erz267" TargetMode="External"/><Relationship Id="rId640" Type="http://schemas.openxmlformats.org/officeDocument/2006/relationships/hyperlink" Target="https://en.wikipedia.org/wiki/Clerodendrum_bungei" TargetMode="External"/><Relationship Id="rId74" Type="http://schemas.openxmlformats.org/officeDocument/2006/relationships/hyperlink" Target="https://en.wikipedia.org/wiki/Oryza_sativa" TargetMode="External"/><Relationship Id="rId377" Type="http://schemas.openxmlformats.org/officeDocument/2006/relationships/hyperlink" Target="https://en.wikipedia.org/wiki/Acer_pseudoplatanus" TargetMode="External"/><Relationship Id="rId500" Type="http://schemas.openxmlformats.org/officeDocument/2006/relationships/hyperlink" Target="https://doi.org/10.1093/plphys/kiab114" TargetMode="External"/><Relationship Id="rId584" Type="http://schemas.openxmlformats.org/officeDocument/2006/relationships/hyperlink" Target="https://doi.org/10.1111/pce.15043" TargetMode="External"/><Relationship Id="rId5" Type="http://schemas.openxmlformats.org/officeDocument/2006/relationships/hyperlink" Target="https://en.wikipedia.org/wiki/Wheat" TargetMode="External"/><Relationship Id="rId237" Type="http://schemas.openxmlformats.org/officeDocument/2006/relationships/hyperlink" Target="https://phytozome-next.jgi.doe.gov/info/Zmays_RefGen_V4" TargetMode="External"/><Relationship Id="rId444" Type="http://schemas.openxmlformats.org/officeDocument/2006/relationships/hyperlink" Target="https://doi.org/10.1111/pce.15047" TargetMode="External"/><Relationship Id="rId651" Type="http://schemas.openxmlformats.org/officeDocument/2006/relationships/hyperlink" Target="https://en.wikipedia.org/wiki/Maize" TargetMode="External"/><Relationship Id="rId290" Type="http://schemas.openxmlformats.org/officeDocument/2006/relationships/hyperlink" Target="https://doi.org/10.1098/rstb.2016.0543" TargetMode="External"/><Relationship Id="rId304" Type="http://schemas.openxmlformats.org/officeDocument/2006/relationships/hyperlink" Target="https://en.wikipedia.org/wiki/Ficus_tinctoria" TargetMode="External"/><Relationship Id="rId388" Type="http://schemas.openxmlformats.org/officeDocument/2006/relationships/hyperlink" Target="https://doi.org/10.1104/pp.15.00134" TargetMode="External"/><Relationship Id="rId511" Type="http://schemas.openxmlformats.org/officeDocument/2006/relationships/hyperlink" Target="https://en.wikipedia.org/wiki/Tomato" TargetMode="External"/><Relationship Id="rId609" Type="http://schemas.openxmlformats.org/officeDocument/2006/relationships/hyperlink" Target="https://doi.org/10.1093/jxb/erae082" TargetMode="External"/><Relationship Id="rId85" Type="http://schemas.openxmlformats.org/officeDocument/2006/relationships/hyperlink" Target="https://en.wikipedia.org/wiki/Tomato" TargetMode="External"/><Relationship Id="rId150" Type="http://schemas.openxmlformats.org/officeDocument/2006/relationships/hyperlink" Target="https://www.itis.gov/servlet/SingleRpt/SingleRpt?search_topic=TSN&amp;search_value=914959" TargetMode="External"/><Relationship Id="rId595" Type="http://schemas.openxmlformats.org/officeDocument/2006/relationships/hyperlink" Target="https://doi.org/10.1093/jxb/erae082" TargetMode="External"/><Relationship Id="rId248" Type="http://schemas.openxmlformats.org/officeDocument/2006/relationships/hyperlink" Target="https://doi.org/10.1111/nph.14000" TargetMode="External"/><Relationship Id="rId455" Type="http://schemas.openxmlformats.org/officeDocument/2006/relationships/hyperlink" Target="https://clevercarbon.io/ppm/" TargetMode="External"/><Relationship Id="rId662" Type="http://schemas.openxmlformats.org/officeDocument/2006/relationships/hyperlink" Target="https://doi.org/10.1007/s00468-017-1522-x" TargetMode="External"/><Relationship Id="rId12" Type="http://schemas.openxmlformats.org/officeDocument/2006/relationships/hyperlink" Target="https://en.wikipedia.org/wiki/Austrocedrus" TargetMode="External"/><Relationship Id="rId108" Type="http://schemas.openxmlformats.org/officeDocument/2006/relationships/hyperlink" Target="https://en.wikipedia.org/wiki/Soybean" TargetMode="External"/><Relationship Id="rId315" Type="http://schemas.openxmlformats.org/officeDocument/2006/relationships/hyperlink" Target="https://en.wikipedia.org/wiki/Callitris_preissii" TargetMode="External"/><Relationship Id="rId522" Type="http://schemas.openxmlformats.org/officeDocument/2006/relationships/hyperlink" Target="https://phytozome-next.jgi.doe.gov/info/Slycopersicum_ITAG4_0" TargetMode="External"/><Relationship Id="rId96" Type="http://schemas.openxmlformats.org/officeDocument/2006/relationships/hyperlink" Target="https://en.wikipedia.org/wiki/Rapeseed" TargetMode="External"/><Relationship Id="rId161" Type="http://schemas.openxmlformats.org/officeDocument/2006/relationships/hyperlink" Target="https://phytozome-next.jgi.doe.gov/info/Csativus_v1_0" TargetMode="External"/><Relationship Id="rId399" Type="http://schemas.openxmlformats.org/officeDocument/2006/relationships/hyperlink" Target="https://phytozome-next.jgi.doe.gov/info/Osativa_v7_0" TargetMode="External"/><Relationship Id="rId259" Type="http://schemas.openxmlformats.org/officeDocument/2006/relationships/hyperlink" Target="https://phytozome-next.jgi.doe.gov/info/Slycopersicum_ITAG4_0" TargetMode="External"/><Relationship Id="rId466" Type="http://schemas.openxmlformats.org/officeDocument/2006/relationships/hyperlink" Target="https://clevercarbon.io/ppm/" TargetMode="External"/><Relationship Id="rId673" Type="http://schemas.openxmlformats.org/officeDocument/2006/relationships/hyperlink" Target="https://phytozome-next.jgi.doe.gov/info/Sbicolor_v3_1_1" TargetMode="External"/><Relationship Id="rId23" Type="http://schemas.openxmlformats.org/officeDocument/2006/relationships/hyperlink" Target="https://en.wikipedia.org/wiki/Taxus_baccata" TargetMode="External"/><Relationship Id="rId119" Type="http://schemas.openxmlformats.org/officeDocument/2006/relationships/hyperlink" Target="https://en.wikipedia.org/wiki/Rose" TargetMode="External"/><Relationship Id="rId326" Type="http://schemas.openxmlformats.org/officeDocument/2006/relationships/hyperlink" Target="https://phytozome-next.jgi.doe.gov/info/Taestivum_v2_2" TargetMode="External"/><Relationship Id="rId533" Type="http://schemas.openxmlformats.org/officeDocument/2006/relationships/hyperlink" Target="https://doi.org/10.1111/pce.13810" TargetMode="External"/><Relationship Id="rId172" Type="http://schemas.openxmlformats.org/officeDocument/2006/relationships/hyperlink" Target="https://phytozome-next.jgi.doe.gov/info/Macuminata_v1" TargetMode="External"/><Relationship Id="rId477" Type="http://schemas.openxmlformats.org/officeDocument/2006/relationships/hyperlink" Target="https://en.wikipedia.org/wiki/Cucumber" TargetMode="External"/><Relationship Id="rId600" Type="http://schemas.openxmlformats.org/officeDocument/2006/relationships/hyperlink" Target="https://en.wikipedia.org/wiki/Solanum_chilense" TargetMode="External"/><Relationship Id="rId684" Type="http://schemas.openxmlformats.org/officeDocument/2006/relationships/hyperlink" Target="https://doi.org/10.1111/nph.18222" TargetMode="External"/><Relationship Id="rId337" Type="http://schemas.openxmlformats.org/officeDocument/2006/relationships/hyperlink" Target="https://doi.org/10.3389/fpls.2019.00492" TargetMode="External"/><Relationship Id="rId34" Type="http://schemas.openxmlformats.org/officeDocument/2006/relationships/hyperlink" Target="https://en.wikipedia.org/wiki/Barley" TargetMode="External"/><Relationship Id="rId544" Type="http://schemas.openxmlformats.org/officeDocument/2006/relationships/hyperlink" Target="https://doi.org/10.1111/ppl.13603" TargetMode="External"/><Relationship Id="rId183" Type="http://schemas.openxmlformats.org/officeDocument/2006/relationships/hyperlink" Target="https://phytozome-next.jgi.doe.gov/info/Gmax_Wm82_a4_v1" TargetMode="External"/><Relationship Id="rId390" Type="http://schemas.openxmlformats.org/officeDocument/2006/relationships/hyperlink" Target="https://doi.org/10.1104/pp.15.00134" TargetMode="External"/><Relationship Id="rId404" Type="http://schemas.openxmlformats.org/officeDocument/2006/relationships/hyperlink" Target="https://en.wikipedia.org/wiki/Oryza_sativa" TargetMode="External"/><Relationship Id="rId611" Type="http://schemas.openxmlformats.org/officeDocument/2006/relationships/hyperlink" Target="https://doi.org/10.1093/jxb/erae082" TargetMode="External"/><Relationship Id="rId250" Type="http://schemas.openxmlformats.org/officeDocument/2006/relationships/hyperlink" Target="https://en.wikipedia.org/wiki/Arabidopsis_thaliana" TargetMode="External"/><Relationship Id="rId488" Type="http://schemas.openxmlformats.org/officeDocument/2006/relationships/hyperlink" Target="https://doi.org/10.3389/fpls.2022.860229" TargetMode="External"/><Relationship Id="rId695" Type="http://schemas.openxmlformats.org/officeDocument/2006/relationships/hyperlink" Target="https://doi.org/10.1111/nph.18222" TargetMode="External"/><Relationship Id="rId709" Type="http://schemas.openxmlformats.org/officeDocument/2006/relationships/printerSettings" Target="../printerSettings/printerSettings1.bin"/><Relationship Id="rId45" Type="http://schemas.openxmlformats.org/officeDocument/2006/relationships/hyperlink" Target="https://en.wikipedia.org/wiki/Vicia_faba" TargetMode="External"/><Relationship Id="rId110" Type="http://schemas.openxmlformats.org/officeDocument/2006/relationships/hyperlink" Target="https://en.wikipedia.org/wiki/Musa_(genus)" TargetMode="External"/><Relationship Id="rId348" Type="http://schemas.openxmlformats.org/officeDocument/2006/relationships/hyperlink" Target="https://doi.org/10.1007/BF00317115" TargetMode="External"/><Relationship Id="rId555" Type="http://schemas.openxmlformats.org/officeDocument/2006/relationships/hyperlink" Target="https://doi.org/10.1111/pce.13725" TargetMode="External"/><Relationship Id="rId194" Type="http://schemas.openxmlformats.org/officeDocument/2006/relationships/hyperlink" Target="https://phytozome-next.jgi.doe.gov/info/Slycopersicum_ITAG4_0" TargetMode="External"/><Relationship Id="rId208" Type="http://schemas.openxmlformats.org/officeDocument/2006/relationships/hyperlink" Target="https://phytozome-next.jgi.doe.gov/info/Taestivum_v2_2" TargetMode="External"/><Relationship Id="rId415" Type="http://schemas.openxmlformats.org/officeDocument/2006/relationships/hyperlink" Target="https://doi.org/10.1093/jxb/erz267" TargetMode="External"/><Relationship Id="rId622" Type="http://schemas.openxmlformats.org/officeDocument/2006/relationships/hyperlink" Target="https://phytozome-next.jgi.doe.gov/info/Csativus_v1_0" TargetMode="External"/><Relationship Id="rId261" Type="http://schemas.openxmlformats.org/officeDocument/2006/relationships/hyperlink" Target="https://phytozome-next.jgi.doe.gov/info/Slycopersicum_ITAG4_0" TargetMode="External"/><Relationship Id="rId499" Type="http://schemas.openxmlformats.org/officeDocument/2006/relationships/hyperlink" Target="https://en.wikipedia.org/wiki/Amaranthus_tricolor" TargetMode="External"/><Relationship Id="rId56" Type="http://schemas.openxmlformats.org/officeDocument/2006/relationships/hyperlink" Target="https://en.wikipedia.org/wiki/Coffea_arabica" TargetMode="External"/><Relationship Id="rId359" Type="http://schemas.openxmlformats.org/officeDocument/2006/relationships/hyperlink" Target="https://clevercarbon.io/ppm/" TargetMode="External"/><Relationship Id="rId566" Type="http://schemas.openxmlformats.org/officeDocument/2006/relationships/hyperlink" Target="https://phytozome-next.jgi.doe.gov/info/Osativa_v7_0" TargetMode="External"/><Relationship Id="rId121" Type="http://schemas.openxmlformats.org/officeDocument/2006/relationships/hyperlink" Target="https://en.wikipedia.org/wiki/Basil" TargetMode="External"/><Relationship Id="rId219" Type="http://schemas.openxmlformats.org/officeDocument/2006/relationships/hyperlink" Target="https://phytozome-next.jgi.doe.gov/info/HvulgareMorex_V3" TargetMode="External"/><Relationship Id="rId426" Type="http://schemas.openxmlformats.org/officeDocument/2006/relationships/hyperlink" Target="https://phytozome-next.jgi.doe.gov/info/Osativa_v7_0" TargetMode="External"/><Relationship Id="rId633" Type="http://schemas.openxmlformats.org/officeDocument/2006/relationships/hyperlink" Target="https://en.wikipedia.org/wiki/Tomato" TargetMode="External"/><Relationship Id="rId67" Type="http://schemas.openxmlformats.org/officeDocument/2006/relationships/hyperlink" Target="https://powo.science.kew.org/taxon/urn:lsid:ipni.org:names:17421260-1" TargetMode="External"/><Relationship Id="rId272" Type="http://schemas.openxmlformats.org/officeDocument/2006/relationships/hyperlink" Target="https://en.wikipedia.org/wiki/Osmunda_japonica" TargetMode="External"/><Relationship Id="rId577" Type="http://schemas.openxmlformats.org/officeDocument/2006/relationships/hyperlink" Target="https://en.wikipedia.org/wiki/Tomato" TargetMode="External"/><Relationship Id="rId700" Type="http://schemas.openxmlformats.org/officeDocument/2006/relationships/hyperlink" Target="https://en.wikipedia.org/wiki/Oryza_sativa" TargetMode="External"/><Relationship Id="rId132" Type="http://schemas.openxmlformats.org/officeDocument/2006/relationships/hyperlink" Target="https://en.wikipedia.org/wiki/Tomato" TargetMode="External"/><Relationship Id="rId437" Type="http://schemas.openxmlformats.org/officeDocument/2006/relationships/hyperlink" Target="https://keys.lucidcentral.org/keys/v3/AusGrass/key/AusGrass/Media/Html/ORYZA/ORYMIN.HTML" TargetMode="External"/><Relationship Id="rId644" Type="http://schemas.openxmlformats.org/officeDocument/2006/relationships/hyperlink" Target="https://en.wikipedia.org/wiki/Blumea_balsamifera" TargetMode="External"/><Relationship Id="rId283" Type="http://schemas.openxmlformats.org/officeDocument/2006/relationships/hyperlink" Target="https://powo.science.kew.org/taxon/urn:lsid:ipni.org:names:273185-2" TargetMode="External"/><Relationship Id="rId490" Type="http://schemas.openxmlformats.org/officeDocument/2006/relationships/hyperlink" Target="https://phytozome-next.jgi.doe.gov/info/Slycopersicum_ITAG4_0" TargetMode="External"/><Relationship Id="rId504" Type="http://schemas.openxmlformats.org/officeDocument/2006/relationships/hyperlink" Target="https://doi.org/10.1111/ppl.12876" TargetMode="External"/><Relationship Id="rId711" Type="http://schemas.openxmlformats.org/officeDocument/2006/relationships/vmlDrawing" Target="../drawings/vmlDrawing1.vml"/><Relationship Id="rId78" Type="http://schemas.openxmlformats.org/officeDocument/2006/relationships/hyperlink" Target="https://en.wikipedia.org/wiki/Oryza_sativa" TargetMode="External"/><Relationship Id="rId143" Type="http://schemas.openxmlformats.org/officeDocument/2006/relationships/hyperlink" Target="https://en.wikipedia.org/wiki/Microstegium_vimineum" TargetMode="External"/><Relationship Id="rId350" Type="http://schemas.openxmlformats.org/officeDocument/2006/relationships/hyperlink" Target="https://doi.org/10.1111/pce.12086" TargetMode="External"/><Relationship Id="rId588" Type="http://schemas.openxmlformats.org/officeDocument/2006/relationships/hyperlink" Target="https://phytozome-next.jgi.doe.gov/info/Slycopersicum_ITAG4_0" TargetMode="External"/><Relationship Id="rId9" Type="http://schemas.openxmlformats.org/officeDocument/2006/relationships/hyperlink" Target="https://en.wikipedia.org/wiki/Dicksonia_antarctica" TargetMode="External"/><Relationship Id="rId210" Type="http://schemas.openxmlformats.org/officeDocument/2006/relationships/hyperlink" Target="https://phytozome-next.jgi.doe.gov/info/Carabica_v0_5" TargetMode="External"/><Relationship Id="rId448" Type="http://schemas.openxmlformats.org/officeDocument/2006/relationships/hyperlink" Target="https://doi.org/10.1111/pce.15047" TargetMode="External"/><Relationship Id="rId655" Type="http://schemas.openxmlformats.org/officeDocument/2006/relationships/hyperlink" Target="https://phytozome-next.jgi.doe.gov/info/Sbicolor_v3_1_1" TargetMode="External"/><Relationship Id="rId294" Type="http://schemas.openxmlformats.org/officeDocument/2006/relationships/hyperlink" Target="https://en.wikipedia.org/wiki/Betula_pubescens" TargetMode="External"/><Relationship Id="rId308" Type="http://schemas.openxmlformats.org/officeDocument/2006/relationships/hyperlink" Target="https://en.wikipedia.org/wiki/Ficus_auriculata" TargetMode="External"/><Relationship Id="rId515" Type="http://schemas.openxmlformats.org/officeDocument/2006/relationships/hyperlink" Target="https://doi.org/10.1111/nph.16142" TargetMode="External"/><Relationship Id="rId89" Type="http://schemas.openxmlformats.org/officeDocument/2006/relationships/hyperlink" Target="https://en.wikipedia.org/wiki/Tomato" TargetMode="External"/><Relationship Id="rId154" Type="http://schemas.openxmlformats.org/officeDocument/2006/relationships/hyperlink" Target="https://phytozome-next.jgi.doe.gov/info/Athaliana_TAIR10" TargetMode="External"/><Relationship Id="rId361" Type="http://schemas.openxmlformats.org/officeDocument/2006/relationships/hyperlink" Target="https://clevercarbon.io/ppm/" TargetMode="External"/><Relationship Id="rId599" Type="http://schemas.openxmlformats.org/officeDocument/2006/relationships/hyperlink" Target="https://doi.org/10.1093/jxb/erae082" TargetMode="External"/><Relationship Id="rId459" Type="http://schemas.openxmlformats.org/officeDocument/2006/relationships/hyperlink" Target="https://doi.org/10.1093/plphys/kiaa011" TargetMode="External"/><Relationship Id="rId666" Type="http://schemas.openxmlformats.org/officeDocument/2006/relationships/hyperlink" Target="https://doi.org/10.1093/jxb/erae389" TargetMode="External"/><Relationship Id="rId16" Type="http://schemas.openxmlformats.org/officeDocument/2006/relationships/hyperlink" Target="https://en.wikipedia.org/wiki/Gossypium_hirsutum" TargetMode="External"/><Relationship Id="rId221" Type="http://schemas.openxmlformats.org/officeDocument/2006/relationships/hyperlink" Target="https://phytozome-next.jgi.doe.gov/info/Sbicolor_v3_1_1" TargetMode="External"/><Relationship Id="rId319" Type="http://schemas.openxmlformats.org/officeDocument/2006/relationships/hyperlink" Target="https://en.wikipedia.org/wiki/Wheat" TargetMode="External"/><Relationship Id="rId526" Type="http://schemas.openxmlformats.org/officeDocument/2006/relationships/hyperlink" Target="https://doi.org/10.1093/jxb/erac078" TargetMode="External"/><Relationship Id="rId165" Type="http://schemas.openxmlformats.org/officeDocument/2006/relationships/hyperlink" Target="https://phytozome-next.jgi.doe.gov/info/Lsativa_V8" TargetMode="External"/><Relationship Id="rId372" Type="http://schemas.openxmlformats.org/officeDocument/2006/relationships/hyperlink" Target="https://doi.org/10.1093/treephys/27.8.1207" TargetMode="External"/><Relationship Id="rId677" Type="http://schemas.openxmlformats.org/officeDocument/2006/relationships/hyperlink" Target="https://doi.org/10.1007/s00468-017-1522-x" TargetMode="External"/><Relationship Id="rId232" Type="http://schemas.openxmlformats.org/officeDocument/2006/relationships/hyperlink" Target="https://phytozome-next.jgi.doe.gov/info/Athaliana_TAIR10" TargetMode="External"/><Relationship Id="rId27" Type="http://schemas.openxmlformats.org/officeDocument/2006/relationships/hyperlink" Target="https://en.wikipedia.org/wiki/Gossypium_hirsutum" TargetMode="External"/><Relationship Id="rId537" Type="http://schemas.openxmlformats.org/officeDocument/2006/relationships/hyperlink" Target="https://doi.org/10.3389/fpls.2020.01317" TargetMode="External"/><Relationship Id="rId80" Type="http://schemas.openxmlformats.org/officeDocument/2006/relationships/hyperlink" Target="https://en.wikipedia.org/wiki/Tomato" TargetMode="External"/><Relationship Id="rId176" Type="http://schemas.openxmlformats.org/officeDocument/2006/relationships/hyperlink" Target="https://phytozome-next.jgi.doe.gov/info/Pvulgaris_v2_1" TargetMode="External"/><Relationship Id="rId383" Type="http://schemas.openxmlformats.org/officeDocument/2006/relationships/hyperlink" Target="https://en.wikipedia.org/wiki/Picea_abies" TargetMode="External"/><Relationship Id="rId590" Type="http://schemas.openxmlformats.org/officeDocument/2006/relationships/hyperlink" Target="https://en.wikipedia.org/wiki/Cucumber" TargetMode="External"/><Relationship Id="rId604" Type="http://schemas.openxmlformats.org/officeDocument/2006/relationships/hyperlink" Target="https://en.wikipedia.org/wiki/Solanum_pennellii" TargetMode="External"/><Relationship Id="rId243" Type="http://schemas.openxmlformats.org/officeDocument/2006/relationships/hyperlink" Target="https://doi.org/10.1111/pce.12086" TargetMode="External"/><Relationship Id="rId450" Type="http://schemas.openxmlformats.org/officeDocument/2006/relationships/hyperlink" Target="https://doi.org/10.1111/pce.15047" TargetMode="External"/><Relationship Id="rId688" Type="http://schemas.openxmlformats.org/officeDocument/2006/relationships/hyperlink" Target="https://en.wikipedia.org/wiki/Fagus_sylvatica" TargetMode="External"/><Relationship Id="rId38" Type="http://schemas.openxmlformats.org/officeDocument/2006/relationships/hyperlink" Target="https://en.wikipedia.org/wiki/Tomato" TargetMode="External"/><Relationship Id="rId103" Type="http://schemas.openxmlformats.org/officeDocument/2006/relationships/hyperlink" Target="https://en.wikipedia.org/wiki/Soybean" TargetMode="External"/><Relationship Id="rId310" Type="http://schemas.openxmlformats.org/officeDocument/2006/relationships/hyperlink" Target="https://doi.org/10.1104/pp.17.01250" TargetMode="External"/><Relationship Id="rId548" Type="http://schemas.openxmlformats.org/officeDocument/2006/relationships/hyperlink" Target="https://en.wikipedia.org/wiki/Rose" TargetMode="External"/><Relationship Id="rId91" Type="http://schemas.openxmlformats.org/officeDocument/2006/relationships/hyperlink" Target="https://en.wikipedia.org/wiki/Tomato" TargetMode="External"/><Relationship Id="rId187" Type="http://schemas.openxmlformats.org/officeDocument/2006/relationships/hyperlink" Target="https://phytozome-next.jgi.doe.gov/info/Slycopersicum_ITAG4_0" TargetMode="External"/><Relationship Id="rId394" Type="http://schemas.openxmlformats.org/officeDocument/2006/relationships/hyperlink" Target="https://doi.org/10.1093/jxb/erz267" TargetMode="External"/><Relationship Id="rId408" Type="http://schemas.openxmlformats.org/officeDocument/2006/relationships/hyperlink" Target="https://phytozome-next.jgi.doe.gov/info/Osativa_v7_0" TargetMode="External"/><Relationship Id="rId615" Type="http://schemas.openxmlformats.org/officeDocument/2006/relationships/hyperlink" Target="https://en.wikipedia.org/wiki/Cucumber" TargetMode="External"/><Relationship Id="rId254" Type="http://schemas.openxmlformats.org/officeDocument/2006/relationships/hyperlink" Target="https://en.wikipedia.org/wiki/Tomato" TargetMode="External"/><Relationship Id="rId699" Type="http://schemas.openxmlformats.org/officeDocument/2006/relationships/hyperlink" Target="https://doi.org/10.1080/1343943X.2020.1777878" TargetMode="External"/><Relationship Id="rId49" Type="http://schemas.openxmlformats.org/officeDocument/2006/relationships/hyperlink" Target="https://en.wikipedia.org/wiki/Cassava" TargetMode="External"/><Relationship Id="rId114" Type="http://schemas.openxmlformats.org/officeDocument/2006/relationships/hyperlink" Target="https://en.wikipedia.org/wiki/Musa_(genus)" TargetMode="External"/><Relationship Id="rId461" Type="http://schemas.openxmlformats.org/officeDocument/2006/relationships/hyperlink" Target="https://doi.org/10.1111/pce.13862" TargetMode="External"/><Relationship Id="rId559" Type="http://schemas.openxmlformats.org/officeDocument/2006/relationships/hyperlink" Target="https://phytozome-next.jgi.doe.gov/info/Osativa_v7_0" TargetMode="External"/><Relationship Id="rId198" Type="http://schemas.openxmlformats.org/officeDocument/2006/relationships/hyperlink" Target="https://phytozome-next.jgi.doe.gov/info/Osativa_v7_0" TargetMode="External"/><Relationship Id="rId321" Type="http://schemas.openxmlformats.org/officeDocument/2006/relationships/hyperlink" Target="https://en.wikipedia.org/wiki/Wheat" TargetMode="External"/><Relationship Id="rId419" Type="http://schemas.openxmlformats.org/officeDocument/2006/relationships/hyperlink" Target="https://en.wikipedia.org/wiki/Oryza_latifolia" TargetMode="External"/><Relationship Id="rId626" Type="http://schemas.openxmlformats.org/officeDocument/2006/relationships/hyperlink" Target="https://doi.org/10.1093/jxb/erae357" TargetMode="External"/><Relationship Id="rId265" Type="http://schemas.openxmlformats.org/officeDocument/2006/relationships/hyperlink" Target="https://phytozome-next.jgi.doe.gov/info/Slycopersicum_ITAG4_0" TargetMode="External"/><Relationship Id="rId472" Type="http://schemas.openxmlformats.org/officeDocument/2006/relationships/hyperlink" Target="https://doi.org/10.1007/s11738-014-1648-z" TargetMode="External"/><Relationship Id="rId125" Type="http://schemas.openxmlformats.org/officeDocument/2006/relationships/hyperlink" Target="https://en.wikipedia.org/wiki/Chrysanthemum_%C3%97_morifolium" TargetMode="External"/><Relationship Id="rId332" Type="http://schemas.openxmlformats.org/officeDocument/2006/relationships/hyperlink" Target="https://clevercarbon.io/ppm/" TargetMode="External"/><Relationship Id="rId637" Type="http://schemas.openxmlformats.org/officeDocument/2006/relationships/hyperlink" Target="https://doi.org/10.1016/j.pld.2023.04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5B56-53CA-43CB-B466-4FB0890DCEE6}">
  <dimension ref="A1:AF322"/>
  <sheetViews>
    <sheetView tabSelected="1" zoomScaleNormal="100" workbookViewId="0">
      <pane xSplit="6" ySplit="10" topLeftCell="G35" activePane="bottomRight" state="frozen"/>
      <selection pane="topRight" activeCell="F1" sqref="F1"/>
      <selection pane="bottomLeft" activeCell="A13" sqref="A13"/>
      <selection pane="bottomRight" activeCell="C58" sqref="C58"/>
    </sheetView>
  </sheetViews>
  <sheetFormatPr defaultColWidth="9.140625" defaultRowHeight="15" x14ac:dyDescent="0.25"/>
  <cols>
    <col min="1" max="1" width="9.140625" style="1"/>
    <col min="2" max="2" width="33.28515625" style="1" customWidth="1"/>
    <col min="3" max="4" width="27.140625" style="1" customWidth="1"/>
    <col min="5" max="5" width="15.140625" style="1" customWidth="1"/>
    <col min="6" max="6" width="74" style="1" bestFit="1" customWidth="1"/>
    <col min="7" max="7" width="16" style="1" bestFit="1" customWidth="1"/>
    <col min="8" max="8" width="25.28515625" style="1" customWidth="1"/>
    <col min="9" max="9" width="20" style="1" customWidth="1"/>
    <col min="10" max="10" width="28" style="2" customWidth="1"/>
    <col min="11" max="11" width="21.42578125" style="1" customWidth="1"/>
    <col min="12" max="13" width="21.42578125" style="2" customWidth="1"/>
    <col min="14" max="14" width="24.85546875" style="2" bestFit="1" customWidth="1"/>
    <col min="15" max="15" width="22.5703125" style="2" customWidth="1"/>
    <col min="16" max="16" width="21.42578125" style="2" customWidth="1"/>
    <col min="17" max="17" width="22.5703125" style="2" customWidth="1"/>
    <col min="18" max="18" width="23.28515625" style="3" customWidth="1"/>
    <col min="19" max="19" width="19.5703125" style="3" customWidth="1"/>
    <col min="20" max="20" width="20.7109375" style="1" customWidth="1"/>
    <col min="21" max="21" width="22.5703125" style="1" customWidth="1"/>
    <col min="22" max="27" width="24.42578125" style="1" customWidth="1"/>
    <col min="28" max="28" width="13.42578125" style="3" customWidth="1"/>
    <col min="29" max="29" width="15.42578125" style="1" customWidth="1"/>
    <col min="30" max="30" width="24.85546875" style="1" customWidth="1"/>
    <col min="31" max="31" width="13.140625" style="1" customWidth="1"/>
    <col min="32" max="32" width="150.140625" style="1" bestFit="1" customWidth="1"/>
    <col min="33" max="16384" width="9.140625" style="1"/>
  </cols>
  <sheetData>
    <row r="1" spans="1:32" x14ac:dyDescent="0.25">
      <c r="C1" s="15" t="s">
        <v>4</v>
      </c>
      <c r="D1" s="15"/>
      <c r="E1" s="15"/>
      <c r="F1" s="15"/>
      <c r="G1" s="16" t="s">
        <v>1</v>
      </c>
      <c r="H1" s="17"/>
      <c r="I1" s="18"/>
      <c r="J1" s="16" t="s">
        <v>389</v>
      </c>
      <c r="K1" s="17"/>
      <c r="L1" s="17"/>
      <c r="M1" s="17"/>
      <c r="N1" s="17"/>
      <c r="O1" s="17"/>
      <c r="P1" s="17"/>
      <c r="Q1" s="17"/>
      <c r="R1" s="17"/>
      <c r="S1" s="17"/>
      <c r="T1" s="18"/>
      <c r="U1" s="15" t="s">
        <v>2</v>
      </c>
      <c r="V1" s="15"/>
      <c r="W1" s="16" t="s">
        <v>223</v>
      </c>
      <c r="X1" s="17"/>
      <c r="Y1" s="17"/>
      <c r="Z1" s="17"/>
      <c r="AA1" s="18"/>
      <c r="AB1" s="15" t="s">
        <v>21</v>
      </c>
      <c r="AC1" s="15"/>
      <c r="AD1" s="15"/>
    </row>
    <row r="2" spans="1:32" x14ac:dyDescent="0.25">
      <c r="A2" s="1" t="s">
        <v>7</v>
      </c>
      <c r="B2" s="1" t="s">
        <v>222</v>
      </c>
      <c r="C2" s="1" t="s">
        <v>11</v>
      </c>
      <c r="D2" s="1" t="s">
        <v>12</v>
      </c>
      <c r="E2" s="1" t="s">
        <v>329</v>
      </c>
      <c r="F2" s="1" t="s">
        <v>230</v>
      </c>
      <c r="G2" s="1" t="s">
        <v>15</v>
      </c>
      <c r="H2" s="1" t="s">
        <v>20</v>
      </c>
      <c r="I2" s="1" t="s">
        <v>330</v>
      </c>
      <c r="J2" s="2" t="s">
        <v>307</v>
      </c>
      <c r="K2" s="1" t="s">
        <v>28</v>
      </c>
      <c r="L2" s="2" t="s">
        <v>387</v>
      </c>
      <c r="M2" s="2" t="s">
        <v>235</v>
      </c>
      <c r="N2" s="2" t="s">
        <v>488</v>
      </c>
      <c r="O2" s="2" t="s">
        <v>386</v>
      </c>
      <c r="P2" s="2" t="s">
        <v>308</v>
      </c>
      <c r="Q2" s="2" t="s">
        <v>388</v>
      </c>
      <c r="R2" s="3" t="s">
        <v>524</v>
      </c>
      <c r="S2" s="3" t="s">
        <v>525</v>
      </c>
      <c r="T2" s="1" t="s">
        <v>0</v>
      </c>
      <c r="U2" s="1" t="s">
        <v>16</v>
      </c>
      <c r="V2" s="1" t="s">
        <v>625</v>
      </c>
      <c r="W2" s="1" t="s">
        <v>317</v>
      </c>
      <c r="X2" s="1" t="s">
        <v>624</v>
      </c>
      <c r="Y2" s="1" t="s">
        <v>383</v>
      </c>
      <c r="Z2" s="1" t="s">
        <v>384</v>
      </c>
      <c r="AA2" s="1" t="s">
        <v>226</v>
      </c>
      <c r="AB2" s="3" t="s">
        <v>17</v>
      </c>
      <c r="AC2" s="1" t="s">
        <v>18</v>
      </c>
      <c r="AD2" s="1" t="s">
        <v>19</v>
      </c>
      <c r="AE2" s="1" t="s">
        <v>184</v>
      </c>
      <c r="AF2" s="1" t="s">
        <v>3</v>
      </c>
    </row>
    <row r="3" spans="1:32" s="4" customFormat="1" x14ac:dyDescent="0.25">
      <c r="A3" s="4">
        <v>1</v>
      </c>
      <c r="B3" s="5" t="s">
        <v>634</v>
      </c>
      <c r="C3" s="6" t="s">
        <v>506</v>
      </c>
      <c r="D3" s="4" t="s">
        <v>507</v>
      </c>
      <c r="E3" s="4" t="s">
        <v>183</v>
      </c>
      <c r="F3" s="10" t="s">
        <v>637</v>
      </c>
      <c r="G3" s="4" t="s">
        <v>9</v>
      </c>
      <c r="H3" s="4" t="s">
        <v>233</v>
      </c>
      <c r="I3" s="4" t="s">
        <v>331</v>
      </c>
      <c r="J3" s="7">
        <f t="shared" ref="J3:J66" si="0">L3/(O3/1000)</f>
        <v>46.170498084291182</v>
      </c>
      <c r="K3" s="4" t="str">
        <f t="shared" ref="K3:K33" si="1">IF(J3&gt;=80, "More Conserved", IF(J3&gt;=70, "Conserved", "Less Conserved"))</f>
        <v>Less Conserved</v>
      </c>
      <c r="L3" s="7">
        <v>24.100999999999999</v>
      </c>
      <c r="M3" s="7">
        <f t="shared" ref="M3:M33" si="2">L3*0.9</f>
        <v>21.690899999999999</v>
      </c>
      <c r="N3" s="7">
        <v>196.5</v>
      </c>
      <c r="O3" s="7">
        <v>522</v>
      </c>
      <c r="P3" s="7">
        <f t="shared" ref="P3:P34" si="3">O3*0.9</f>
        <v>469.8</v>
      </c>
      <c r="Q3" s="7">
        <f t="shared" ref="Q3:Q46" si="4">N3/O3</f>
        <v>0.37643678160919541</v>
      </c>
      <c r="R3" s="8">
        <v>3.7469999999999999</v>
      </c>
      <c r="S3" s="8">
        <v>3.46</v>
      </c>
      <c r="T3" s="4" t="str">
        <f t="shared" ref="T3:T46" si="5">IF(S3&gt;=45, "Slow", IF(S3&gt;=20, "Intermediate", "Fast"))</f>
        <v>Fast</v>
      </c>
      <c r="U3" s="4" t="s">
        <v>10</v>
      </c>
      <c r="V3" s="4" t="s">
        <v>32</v>
      </c>
      <c r="W3" s="4">
        <v>50</v>
      </c>
      <c r="X3" s="4">
        <v>1500</v>
      </c>
      <c r="Y3" s="4">
        <v>400</v>
      </c>
      <c r="Z3" s="4">
        <v>28</v>
      </c>
      <c r="AA3" s="4" t="s">
        <v>642</v>
      </c>
      <c r="AB3" s="8" t="s">
        <v>37</v>
      </c>
      <c r="AC3" s="4" t="s">
        <v>187</v>
      </c>
      <c r="AD3" s="11" t="s">
        <v>641</v>
      </c>
      <c r="AE3" s="4" t="s">
        <v>183</v>
      </c>
      <c r="AF3" s="4" t="s">
        <v>635</v>
      </c>
    </row>
    <row r="4" spans="1:32" s="4" customFormat="1" x14ac:dyDescent="0.25">
      <c r="A4" s="4">
        <f>IF(C4=C3, A3, A3+1)</f>
        <v>1</v>
      </c>
      <c r="B4" s="5" t="s">
        <v>634</v>
      </c>
      <c r="C4" s="6" t="s">
        <v>506</v>
      </c>
      <c r="D4" s="4" t="s">
        <v>507</v>
      </c>
      <c r="E4" s="4" t="s">
        <v>183</v>
      </c>
      <c r="F4" s="10" t="s">
        <v>638</v>
      </c>
      <c r="G4" s="4" t="s">
        <v>9</v>
      </c>
      <c r="H4" s="4" t="s">
        <v>233</v>
      </c>
      <c r="I4" s="4" t="s">
        <v>331</v>
      </c>
      <c r="J4" s="7">
        <f t="shared" si="0"/>
        <v>43.674023154848051</v>
      </c>
      <c r="K4" s="4" t="str">
        <f t="shared" si="1"/>
        <v>Less Conserved</v>
      </c>
      <c r="L4" s="7">
        <v>24.143000000000001</v>
      </c>
      <c r="M4" s="7">
        <f t="shared" si="2"/>
        <v>21.7287</v>
      </c>
      <c r="N4" s="7">
        <v>245.9</v>
      </c>
      <c r="O4" s="7">
        <v>552.79999999999995</v>
      </c>
      <c r="P4" s="7">
        <f t="shared" si="3"/>
        <v>497.52</v>
      </c>
      <c r="Q4" s="7">
        <f t="shared" si="4"/>
        <v>0.44482633863965271</v>
      </c>
      <c r="R4" s="8">
        <v>2.6419999999999999</v>
      </c>
      <c r="S4" s="8">
        <v>2.7370000000000001</v>
      </c>
      <c r="T4" s="4" t="str">
        <f t="shared" si="5"/>
        <v>Fast</v>
      </c>
      <c r="U4" s="4" t="s">
        <v>10</v>
      </c>
      <c r="V4" s="4" t="s">
        <v>32</v>
      </c>
      <c r="W4" s="4">
        <v>50</v>
      </c>
      <c r="X4" s="4">
        <v>1500</v>
      </c>
      <c r="Y4" s="4">
        <v>400</v>
      </c>
      <c r="Z4" s="4">
        <v>28</v>
      </c>
      <c r="AA4" s="4" t="s">
        <v>642</v>
      </c>
      <c r="AB4" s="8" t="s">
        <v>37</v>
      </c>
      <c r="AC4" s="4" t="s">
        <v>187</v>
      </c>
      <c r="AD4" s="11" t="s">
        <v>641</v>
      </c>
      <c r="AE4" s="4" t="s">
        <v>183</v>
      </c>
      <c r="AF4" s="4" t="s">
        <v>635</v>
      </c>
    </row>
    <row r="5" spans="1:32" s="4" customFormat="1" x14ac:dyDescent="0.25">
      <c r="A5" s="4">
        <f t="shared" ref="A5:A68" si="6">IF(C5=C4, A4, A4+1)</f>
        <v>2</v>
      </c>
      <c r="B5" s="5" t="s">
        <v>634</v>
      </c>
      <c r="C5" s="6" t="s">
        <v>636</v>
      </c>
      <c r="D5" s="4" t="s">
        <v>507</v>
      </c>
      <c r="E5" s="4" t="s">
        <v>183</v>
      </c>
      <c r="F5" s="10" t="s">
        <v>639</v>
      </c>
      <c r="G5" s="4" t="s">
        <v>9</v>
      </c>
      <c r="H5" s="4" t="s">
        <v>233</v>
      </c>
      <c r="I5" s="4" t="s">
        <v>331</v>
      </c>
      <c r="J5" s="7">
        <f t="shared" si="0"/>
        <v>51.726679897930246</v>
      </c>
      <c r="K5" s="4" t="str">
        <f t="shared" si="1"/>
        <v>Less Conserved</v>
      </c>
      <c r="L5" s="7">
        <v>18.244</v>
      </c>
      <c r="M5" s="7">
        <f t="shared" si="2"/>
        <v>16.419599999999999</v>
      </c>
      <c r="N5" s="7">
        <v>56.8</v>
      </c>
      <c r="O5" s="7">
        <v>352.7</v>
      </c>
      <c r="P5" s="7">
        <f t="shared" si="3"/>
        <v>317.43</v>
      </c>
      <c r="Q5" s="7">
        <f t="shared" si="4"/>
        <v>0.16104337964275589</v>
      </c>
      <c r="R5" s="8">
        <v>6.1459999999999999</v>
      </c>
      <c r="S5" s="8">
        <v>7.8330000000000002</v>
      </c>
      <c r="T5" s="4" t="str">
        <f t="shared" si="5"/>
        <v>Fast</v>
      </c>
      <c r="U5" s="4" t="s">
        <v>10</v>
      </c>
      <c r="V5" s="4" t="s">
        <v>32</v>
      </c>
      <c r="W5" s="4">
        <v>50</v>
      </c>
      <c r="X5" s="4">
        <v>1500</v>
      </c>
      <c r="Y5" s="4">
        <v>400</v>
      </c>
      <c r="Z5" s="4">
        <v>28</v>
      </c>
      <c r="AA5" s="4" t="s">
        <v>642</v>
      </c>
      <c r="AB5" s="8" t="s">
        <v>37</v>
      </c>
      <c r="AC5" s="4" t="s">
        <v>187</v>
      </c>
      <c r="AD5" s="11" t="s">
        <v>641</v>
      </c>
      <c r="AE5" s="4" t="s">
        <v>183</v>
      </c>
      <c r="AF5" s="4" t="s">
        <v>635</v>
      </c>
    </row>
    <row r="6" spans="1:32" s="4" customFormat="1" x14ac:dyDescent="0.25">
      <c r="A6" s="4">
        <f t="shared" si="6"/>
        <v>2</v>
      </c>
      <c r="B6" s="5" t="s">
        <v>634</v>
      </c>
      <c r="C6" s="6" t="s">
        <v>636</v>
      </c>
      <c r="D6" s="4" t="s">
        <v>507</v>
      </c>
      <c r="E6" s="4" t="s">
        <v>183</v>
      </c>
      <c r="F6" s="10" t="s">
        <v>640</v>
      </c>
      <c r="G6" s="4" t="s">
        <v>9</v>
      </c>
      <c r="H6" s="4" t="s">
        <v>233</v>
      </c>
      <c r="I6" s="4" t="s">
        <v>331</v>
      </c>
      <c r="J6" s="7">
        <f t="shared" si="0"/>
        <v>46.812095032397401</v>
      </c>
      <c r="K6" s="4" t="str">
        <f t="shared" si="1"/>
        <v>Less Conserved</v>
      </c>
      <c r="L6" s="7">
        <v>21.673999999999999</v>
      </c>
      <c r="M6" s="7">
        <f t="shared" si="2"/>
        <v>19.506599999999999</v>
      </c>
      <c r="N6" s="7">
        <v>107.8</v>
      </c>
      <c r="O6" s="7">
        <v>463</v>
      </c>
      <c r="P6" s="7">
        <f t="shared" si="3"/>
        <v>416.7</v>
      </c>
      <c r="Q6" s="7">
        <f t="shared" si="4"/>
        <v>0.23282937365010797</v>
      </c>
      <c r="R6" s="8">
        <v>3.81</v>
      </c>
      <c r="S6" s="8">
        <v>3.6360000000000001</v>
      </c>
      <c r="T6" s="4" t="str">
        <f t="shared" si="5"/>
        <v>Fast</v>
      </c>
      <c r="U6" s="4" t="s">
        <v>10</v>
      </c>
      <c r="V6" s="4" t="s">
        <v>32</v>
      </c>
      <c r="W6" s="4">
        <v>50</v>
      </c>
      <c r="X6" s="4">
        <v>1500</v>
      </c>
      <c r="Y6" s="4">
        <v>400</v>
      </c>
      <c r="Z6" s="4">
        <v>28</v>
      </c>
      <c r="AA6" s="4" t="s">
        <v>642</v>
      </c>
      <c r="AB6" s="8" t="s">
        <v>37</v>
      </c>
      <c r="AC6" s="4" t="s">
        <v>187</v>
      </c>
      <c r="AD6" s="11" t="s">
        <v>641</v>
      </c>
      <c r="AE6" s="4" t="s">
        <v>183</v>
      </c>
      <c r="AF6" s="4" t="s">
        <v>635</v>
      </c>
    </row>
    <row r="7" spans="1:32" s="4" customFormat="1" x14ac:dyDescent="0.25">
      <c r="A7" s="4">
        <f t="shared" si="6"/>
        <v>3</v>
      </c>
      <c r="B7" s="5" t="s">
        <v>634</v>
      </c>
      <c r="C7" s="6" t="s">
        <v>14</v>
      </c>
      <c r="D7" s="4" t="s">
        <v>13</v>
      </c>
      <c r="E7" s="4" t="s">
        <v>182</v>
      </c>
      <c r="F7" s="10" t="s">
        <v>190</v>
      </c>
      <c r="G7" s="4" t="s">
        <v>9</v>
      </c>
      <c r="H7" s="4" t="s">
        <v>233</v>
      </c>
      <c r="I7" s="4" t="s">
        <v>331</v>
      </c>
      <c r="J7" s="7">
        <f t="shared" si="0"/>
        <v>46.6291783817557</v>
      </c>
      <c r="K7" s="4" t="str">
        <f t="shared" si="1"/>
        <v>Less Conserved</v>
      </c>
      <c r="L7" s="7">
        <v>14.926</v>
      </c>
      <c r="M7" s="7">
        <f t="shared" si="2"/>
        <v>13.433400000000001</v>
      </c>
      <c r="N7" s="7">
        <v>75.400000000000006</v>
      </c>
      <c r="O7" s="7">
        <v>320.10000000000002</v>
      </c>
      <c r="P7" s="7">
        <f t="shared" si="3"/>
        <v>288.09000000000003</v>
      </c>
      <c r="Q7" s="7">
        <f t="shared" si="4"/>
        <v>0.23555139019056545</v>
      </c>
      <c r="R7" s="8">
        <v>6.2439999999999998</v>
      </c>
      <c r="S7" s="8">
        <v>3.629</v>
      </c>
      <c r="T7" s="4" t="str">
        <f t="shared" si="5"/>
        <v>Fast</v>
      </c>
      <c r="U7" s="4" t="s">
        <v>10</v>
      </c>
      <c r="V7" s="4" t="s">
        <v>32</v>
      </c>
      <c r="W7" s="4">
        <v>50</v>
      </c>
      <c r="X7" s="4">
        <v>1500</v>
      </c>
      <c r="Y7" s="4">
        <v>400</v>
      </c>
      <c r="Z7" s="4">
        <v>28</v>
      </c>
      <c r="AA7" s="4" t="s">
        <v>642</v>
      </c>
      <c r="AB7" s="8" t="s">
        <v>37</v>
      </c>
      <c r="AC7" s="4" t="s">
        <v>187</v>
      </c>
      <c r="AD7" s="11" t="s">
        <v>641</v>
      </c>
      <c r="AE7" s="5" t="s">
        <v>182</v>
      </c>
      <c r="AF7" s="4" t="s">
        <v>635</v>
      </c>
    </row>
    <row r="8" spans="1:32" s="4" customFormat="1" x14ac:dyDescent="0.25">
      <c r="A8" s="4">
        <f t="shared" si="6"/>
        <v>3</v>
      </c>
      <c r="B8" s="5" t="s">
        <v>634</v>
      </c>
      <c r="C8" s="6" t="s">
        <v>14</v>
      </c>
      <c r="D8" s="4" t="s">
        <v>13</v>
      </c>
      <c r="E8" s="4" t="s">
        <v>182</v>
      </c>
      <c r="F8" s="10" t="s">
        <v>189</v>
      </c>
      <c r="G8" s="4" t="s">
        <v>9</v>
      </c>
      <c r="H8" s="4" t="s">
        <v>233</v>
      </c>
      <c r="I8" s="4" t="s">
        <v>331</v>
      </c>
      <c r="J8" s="7">
        <f t="shared" si="0"/>
        <v>52.316355259790122</v>
      </c>
      <c r="K8" s="4" t="str">
        <f t="shared" si="1"/>
        <v>Less Conserved</v>
      </c>
      <c r="L8" s="7">
        <v>20.440000000000001</v>
      </c>
      <c r="M8" s="7">
        <f t="shared" si="2"/>
        <v>18.396000000000001</v>
      </c>
      <c r="N8" s="7">
        <v>106.7</v>
      </c>
      <c r="O8" s="7">
        <v>390.7</v>
      </c>
      <c r="P8" s="7">
        <f t="shared" si="3"/>
        <v>351.63</v>
      </c>
      <c r="Q8" s="7">
        <f t="shared" si="4"/>
        <v>0.27309956488354237</v>
      </c>
      <c r="R8" s="8">
        <v>5.5170000000000003</v>
      </c>
      <c r="S8" s="8">
        <v>4.3010000000000002</v>
      </c>
      <c r="T8" s="4" t="str">
        <f t="shared" si="5"/>
        <v>Fast</v>
      </c>
      <c r="U8" s="4" t="s">
        <v>10</v>
      </c>
      <c r="V8" s="4" t="s">
        <v>32</v>
      </c>
      <c r="W8" s="4">
        <v>50</v>
      </c>
      <c r="X8" s="4">
        <v>1500</v>
      </c>
      <c r="Y8" s="4">
        <v>400</v>
      </c>
      <c r="Z8" s="4">
        <v>28</v>
      </c>
      <c r="AA8" s="4" t="s">
        <v>642</v>
      </c>
      <c r="AB8" s="8" t="s">
        <v>37</v>
      </c>
      <c r="AC8" s="4" t="s">
        <v>187</v>
      </c>
      <c r="AD8" s="11" t="s">
        <v>641</v>
      </c>
      <c r="AE8" s="5" t="s">
        <v>182</v>
      </c>
      <c r="AF8" s="4" t="s">
        <v>635</v>
      </c>
    </row>
    <row r="9" spans="1:32" s="4" customFormat="1" x14ac:dyDescent="0.25">
      <c r="A9" s="4">
        <f t="shared" si="6"/>
        <v>4</v>
      </c>
      <c r="B9" s="5" t="s">
        <v>554</v>
      </c>
      <c r="C9" s="6" t="s">
        <v>117</v>
      </c>
      <c r="D9" s="4" t="s">
        <v>118</v>
      </c>
      <c r="E9" s="4" t="s">
        <v>182</v>
      </c>
      <c r="F9" s="10" t="s">
        <v>271</v>
      </c>
      <c r="G9" s="4" t="s">
        <v>9</v>
      </c>
      <c r="H9" s="4" t="s">
        <v>232</v>
      </c>
      <c r="I9" s="4" t="s">
        <v>345</v>
      </c>
      <c r="J9" s="7">
        <f t="shared" si="0"/>
        <v>81.809740862665663</v>
      </c>
      <c r="K9" s="4" t="str">
        <f t="shared" si="1"/>
        <v>More Conserved</v>
      </c>
      <c r="L9" s="7">
        <v>9.6920000000000002</v>
      </c>
      <c r="M9" s="7">
        <f t="shared" si="2"/>
        <v>8.7228000000000012</v>
      </c>
      <c r="N9" s="7">
        <v>28.39</v>
      </c>
      <c r="O9" s="7">
        <v>118.47</v>
      </c>
      <c r="P9" s="7">
        <f t="shared" si="3"/>
        <v>106.623</v>
      </c>
      <c r="Q9" s="7">
        <f t="shared" si="4"/>
        <v>0.23963872710390816</v>
      </c>
      <c r="R9" s="8">
        <f>13.24-5</f>
        <v>8.24</v>
      </c>
      <c r="S9" s="8">
        <f>25.99-5</f>
        <v>20.99</v>
      </c>
      <c r="T9" s="4" t="str">
        <f t="shared" si="5"/>
        <v>Intermediate</v>
      </c>
      <c r="U9" s="4" t="s">
        <v>10</v>
      </c>
      <c r="V9" s="4" t="s">
        <v>41</v>
      </c>
      <c r="W9" s="4">
        <v>50</v>
      </c>
      <c r="X9" s="4">
        <v>350</v>
      </c>
      <c r="Y9" s="5">
        <v>362</v>
      </c>
      <c r="Z9" s="4">
        <v>20</v>
      </c>
      <c r="AA9" s="4" t="s">
        <v>555</v>
      </c>
      <c r="AB9" s="8" t="s">
        <v>37</v>
      </c>
      <c r="AC9" s="14" t="s">
        <v>26</v>
      </c>
      <c r="AD9" s="11" t="s">
        <v>26</v>
      </c>
      <c r="AE9" s="5" t="s">
        <v>182</v>
      </c>
      <c r="AF9" s="4" t="s">
        <v>701</v>
      </c>
    </row>
    <row r="10" spans="1:32" s="4" customFormat="1" x14ac:dyDescent="0.25">
      <c r="A10" s="4">
        <f t="shared" si="6"/>
        <v>4</v>
      </c>
      <c r="B10" s="5" t="s">
        <v>554</v>
      </c>
      <c r="C10" s="6" t="s">
        <v>117</v>
      </c>
      <c r="D10" s="4" t="s">
        <v>118</v>
      </c>
      <c r="E10" s="4" t="s">
        <v>182</v>
      </c>
      <c r="F10" s="10" t="s">
        <v>271</v>
      </c>
      <c r="G10" s="4" t="s">
        <v>9</v>
      </c>
      <c r="H10" s="4" t="s">
        <v>232</v>
      </c>
      <c r="I10" s="4" t="s">
        <v>345</v>
      </c>
      <c r="J10" s="7">
        <f t="shared" si="0"/>
        <v>13.863419942864917</v>
      </c>
      <c r="K10" s="4" t="str">
        <f t="shared" si="1"/>
        <v>Less Conserved</v>
      </c>
      <c r="L10" s="7">
        <v>10.191000000000001</v>
      </c>
      <c r="M10" s="7">
        <f t="shared" si="2"/>
        <v>9.1719000000000008</v>
      </c>
      <c r="N10" s="7">
        <v>550.79999999999995</v>
      </c>
      <c r="O10" s="7">
        <v>735.1</v>
      </c>
      <c r="P10" s="7">
        <f t="shared" si="3"/>
        <v>661.59</v>
      </c>
      <c r="Q10" s="7">
        <f t="shared" si="4"/>
        <v>0.74928581145422379</v>
      </c>
      <c r="R10" s="8">
        <f>4.775-2</f>
        <v>2.7750000000000004</v>
      </c>
      <c r="S10" s="8">
        <f>9.698 -2</f>
        <v>7.6980000000000004</v>
      </c>
      <c r="T10" s="4" t="str">
        <f t="shared" si="5"/>
        <v>Fast</v>
      </c>
      <c r="U10" s="4" t="s">
        <v>10</v>
      </c>
      <c r="V10" s="4" t="s">
        <v>41</v>
      </c>
      <c r="W10" s="4">
        <v>400</v>
      </c>
      <c r="X10" s="4">
        <v>1200</v>
      </c>
      <c r="Y10" s="5">
        <v>362</v>
      </c>
      <c r="Z10" s="4">
        <v>20</v>
      </c>
      <c r="AA10" s="4" t="s">
        <v>555</v>
      </c>
      <c r="AB10" s="8" t="s">
        <v>37</v>
      </c>
      <c r="AC10" s="14" t="s">
        <v>26</v>
      </c>
      <c r="AD10" s="11" t="s">
        <v>26</v>
      </c>
      <c r="AE10" s="5" t="s">
        <v>182</v>
      </c>
      <c r="AF10" s="4" t="s">
        <v>701</v>
      </c>
    </row>
    <row r="11" spans="1:32" s="4" customFormat="1" x14ac:dyDescent="0.25">
      <c r="A11" s="4">
        <f t="shared" si="6"/>
        <v>5</v>
      </c>
      <c r="B11" s="5" t="s">
        <v>539</v>
      </c>
      <c r="C11" s="6" t="s">
        <v>220</v>
      </c>
      <c r="D11" s="4" t="s">
        <v>221</v>
      </c>
      <c r="E11" s="4" t="s">
        <v>182</v>
      </c>
      <c r="F11" s="10" t="s">
        <v>540</v>
      </c>
      <c r="G11" s="4" t="s">
        <v>9</v>
      </c>
      <c r="H11" s="4" t="s">
        <v>232</v>
      </c>
      <c r="I11" s="4" t="s">
        <v>430</v>
      </c>
      <c r="J11" s="7">
        <f t="shared" si="0"/>
        <v>63.548032534622998</v>
      </c>
      <c r="K11" s="4" t="str">
        <f t="shared" si="1"/>
        <v>Less Conserved</v>
      </c>
      <c r="L11" s="7">
        <v>28.908000000000001</v>
      </c>
      <c r="M11" s="7">
        <f t="shared" si="2"/>
        <v>26.017200000000003</v>
      </c>
      <c r="N11" s="7">
        <v>105.6</v>
      </c>
      <c r="O11" s="7">
        <v>454.9</v>
      </c>
      <c r="P11" s="7">
        <f t="shared" si="3"/>
        <v>409.40999999999997</v>
      </c>
      <c r="Q11" s="7">
        <f t="shared" si="4"/>
        <v>0.232138931633326</v>
      </c>
      <c r="R11" s="4">
        <f>28.28-15</f>
        <v>13.280000000000001</v>
      </c>
      <c r="S11" s="7">
        <f>31.92-15</f>
        <v>16.920000000000002</v>
      </c>
      <c r="T11" s="4" t="str">
        <f t="shared" si="5"/>
        <v>Fast</v>
      </c>
      <c r="U11" s="4" t="s">
        <v>10</v>
      </c>
      <c r="V11" s="4" t="s">
        <v>41</v>
      </c>
      <c r="W11" s="4">
        <v>250</v>
      </c>
      <c r="X11" s="4">
        <v>2500</v>
      </c>
      <c r="Y11" s="4">
        <v>400</v>
      </c>
      <c r="Z11" s="4">
        <v>20</v>
      </c>
      <c r="AA11" s="11">
        <v>0.5</v>
      </c>
      <c r="AB11" s="8" t="s">
        <v>26</v>
      </c>
      <c r="AC11" s="14" t="s">
        <v>541</v>
      </c>
      <c r="AD11" s="11" t="s">
        <v>542</v>
      </c>
      <c r="AE11" s="5" t="s">
        <v>182</v>
      </c>
    </row>
    <row r="12" spans="1:32" s="4" customFormat="1" x14ac:dyDescent="0.25">
      <c r="A12" s="4">
        <f t="shared" si="6"/>
        <v>6</v>
      </c>
      <c r="B12" s="5" t="s">
        <v>539</v>
      </c>
      <c r="C12" s="6" t="s">
        <v>82</v>
      </c>
      <c r="D12" s="4" t="s">
        <v>83</v>
      </c>
      <c r="E12" s="4" t="s">
        <v>182</v>
      </c>
      <c r="F12" s="10" t="s">
        <v>280</v>
      </c>
      <c r="G12" s="4" t="s">
        <v>9</v>
      </c>
      <c r="H12" s="4" t="s">
        <v>232</v>
      </c>
      <c r="I12" s="4" t="s">
        <v>430</v>
      </c>
      <c r="J12" s="7">
        <f t="shared" si="0"/>
        <v>61.23356643356643</v>
      </c>
      <c r="K12" s="4" t="str">
        <f t="shared" si="1"/>
        <v>Less Conserved</v>
      </c>
      <c r="L12" s="7">
        <v>21.890999999999998</v>
      </c>
      <c r="M12" s="7">
        <f t="shared" si="2"/>
        <v>19.701899999999998</v>
      </c>
      <c r="N12" s="7">
        <v>125.7</v>
      </c>
      <c r="O12" s="7">
        <v>357.5</v>
      </c>
      <c r="P12" s="7">
        <f t="shared" si="3"/>
        <v>321.75</v>
      </c>
      <c r="Q12" s="7">
        <f t="shared" si="4"/>
        <v>0.35160839160839163</v>
      </c>
      <c r="R12" s="8">
        <f>30.73-15</f>
        <v>15.73</v>
      </c>
      <c r="S12" s="8">
        <f>36.09-15</f>
        <v>21.090000000000003</v>
      </c>
      <c r="T12" s="4" t="str">
        <f t="shared" si="5"/>
        <v>Intermediate</v>
      </c>
      <c r="U12" s="4" t="s">
        <v>10</v>
      </c>
      <c r="V12" s="4" t="s">
        <v>41</v>
      </c>
      <c r="W12" s="4">
        <v>250</v>
      </c>
      <c r="X12" s="4">
        <v>2500</v>
      </c>
      <c r="Y12" s="4">
        <v>400</v>
      </c>
      <c r="Z12" s="4">
        <v>20</v>
      </c>
      <c r="AA12" s="11">
        <v>0.5</v>
      </c>
      <c r="AB12" s="8" t="s">
        <v>26</v>
      </c>
      <c r="AC12" s="14" t="s">
        <v>541</v>
      </c>
      <c r="AD12" s="11" t="s">
        <v>542</v>
      </c>
      <c r="AE12" s="5" t="s">
        <v>182</v>
      </c>
    </row>
    <row r="13" spans="1:32" s="4" customFormat="1" x14ac:dyDescent="0.25">
      <c r="A13" s="4">
        <f t="shared" si="6"/>
        <v>7</v>
      </c>
      <c r="B13" s="5" t="s">
        <v>445</v>
      </c>
      <c r="C13" s="6" t="s">
        <v>36</v>
      </c>
      <c r="D13" s="4" t="s">
        <v>35</v>
      </c>
      <c r="E13" s="4" t="s">
        <v>182</v>
      </c>
      <c r="F13" s="4" t="s">
        <v>282</v>
      </c>
      <c r="G13" s="4" t="s">
        <v>9</v>
      </c>
      <c r="H13" s="4" t="s">
        <v>233</v>
      </c>
      <c r="I13" s="4" t="s">
        <v>331</v>
      </c>
      <c r="J13" s="7">
        <f t="shared" si="0"/>
        <v>78.869565217391298</v>
      </c>
      <c r="K13" s="4" t="str">
        <f t="shared" si="1"/>
        <v>Conserved</v>
      </c>
      <c r="L13" s="7">
        <v>36.28</v>
      </c>
      <c r="M13" s="7">
        <f t="shared" si="2"/>
        <v>32.652000000000001</v>
      </c>
      <c r="N13" s="7">
        <v>60</v>
      </c>
      <c r="O13" s="7">
        <v>460</v>
      </c>
      <c r="P13" s="7">
        <f t="shared" si="3"/>
        <v>414</v>
      </c>
      <c r="Q13" s="7">
        <f t="shared" si="4"/>
        <v>0.13043478260869565</v>
      </c>
      <c r="R13" s="8">
        <f>539.8/60</f>
        <v>8.9966666666666661</v>
      </c>
      <c r="S13" s="8">
        <f>777.1/60</f>
        <v>12.951666666666666</v>
      </c>
      <c r="T13" s="4" t="str">
        <f t="shared" si="5"/>
        <v>Fast</v>
      </c>
      <c r="U13" s="4" t="s">
        <v>30</v>
      </c>
      <c r="V13" s="4" t="s">
        <v>32</v>
      </c>
      <c r="W13" s="4">
        <v>50</v>
      </c>
      <c r="X13" s="4">
        <v>1500</v>
      </c>
      <c r="Y13" s="4">
        <v>380</v>
      </c>
      <c r="Z13" s="4">
        <v>25</v>
      </c>
      <c r="AA13" s="4" t="s">
        <v>234</v>
      </c>
      <c r="AB13" s="8" t="s">
        <v>37</v>
      </c>
      <c r="AC13" s="4" t="s">
        <v>37</v>
      </c>
      <c r="AD13" s="4" t="s">
        <v>37</v>
      </c>
      <c r="AE13" s="5" t="s">
        <v>182</v>
      </c>
      <c r="AF13" s="4" t="s">
        <v>702</v>
      </c>
    </row>
    <row r="14" spans="1:32" s="4" customFormat="1" x14ac:dyDescent="0.25">
      <c r="A14" s="4">
        <f t="shared" si="6"/>
        <v>7</v>
      </c>
      <c r="B14" s="5" t="s">
        <v>445</v>
      </c>
      <c r="C14" s="6" t="s">
        <v>36</v>
      </c>
      <c r="D14" s="4" t="s">
        <v>35</v>
      </c>
      <c r="E14" s="4" t="s">
        <v>182</v>
      </c>
      <c r="F14" s="4" t="s">
        <v>283</v>
      </c>
      <c r="G14" s="4" t="s">
        <v>9</v>
      </c>
      <c r="H14" s="4" t="s">
        <v>233</v>
      </c>
      <c r="I14" s="4" t="s">
        <v>331</v>
      </c>
      <c r="J14" s="7">
        <f t="shared" si="0"/>
        <v>95.115384615384613</v>
      </c>
      <c r="K14" s="4" t="str">
        <f t="shared" si="1"/>
        <v>More Conserved</v>
      </c>
      <c r="L14" s="7">
        <v>24.73</v>
      </c>
      <c r="M14" s="7">
        <f t="shared" si="2"/>
        <v>22.257000000000001</v>
      </c>
      <c r="N14" s="7">
        <v>16</v>
      </c>
      <c r="O14" s="7">
        <v>260</v>
      </c>
      <c r="P14" s="7">
        <f t="shared" si="3"/>
        <v>234</v>
      </c>
      <c r="Q14" s="7">
        <f t="shared" si="4"/>
        <v>6.1538461538461542E-2</v>
      </c>
      <c r="R14" s="8">
        <f>580.4/60</f>
        <v>9.6733333333333338</v>
      </c>
      <c r="S14" s="8">
        <f>916/60</f>
        <v>15.266666666666667</v>
      </c>
      <c r="T14" s="4" t="str">
        <f t="shared" si="5"/>
        <v>Fast</v>
      </c>
      <c r="U14" s="4" t="s">
        <v>30</v>
      </c>
      <c r="V14" s="4" t="s">
        <v>32</v>
      </c>
      <c r="W14" s="4">
        <v>50</v>
      </c>
      <c r="X14" s="4">
        <v>1500</v>
      </c>
      <c r="Y14" s="4">
        <v>380</v>
      </c>
      <c r="Z14" s="4">
        <v>25</v>
      </c>
      <c r="AA14" s="4" t="s">
        <v>234</v>
      </c>
      <c r="AB14" s="8" t="s">
        <v>37</v>
      </c>
      <c r="AC14" s="4" t="s">
        <v>37</v>
      </c>
      <c r="AD14" s="4" t="s">
        <v>37</v>
      </c>
      <c r="AE14" s="5" t="s">
        <v>182</v>
      </c>
      <c r="AF14" s="4" t="s">
        <v>702</v>
      </c>
    </row>
    <row r="15" spans="1:32" s="4" customFormat="1" x14ac:dyDescent="0.25">
      <c r="A15" s="4">
        <f t="shared" si="6"/>
        <v>8</v>
      </c>
      <c r="B15" s="5" t="s">
        <v>446</v>
      </c>
      <c r="C15" s="6" t="s">
        <v>63</v>
      </c>
      <c r="D15" s="4" t="s">
        <v>64</v>
      </c>
      <c r="E15" s="4" t="s">
        <v>183</v>
      </c>
      <c r="F15" s="10" t="s">
        <v>26</v>
      </c>
      <c r="G15" s="4" t="s">
        <v>9</v>
      </c>
      <c r="H15" s="4" t="s">
        <v>65</v>
      </c>
      <c r="I15" s="4" t="s">
        <v>422</v>
      </c>
      <c r="J15" s="7">
        <f t="shared" si="0"/>
        <v>119.15497163332338</v>
      </c>
      <c r="K15" s="4" t="str">
        <f t="shared" si="1"/>
        <v>More Conserved</v>
      </c>
      <c r="L15" s="7">
        <v>7.9809999999999999</v>
      </c>
      <c r="M15" s="7">
        <f t="shared" si="2"/>
        <v>7.1829000000000001</v>
      </c>
      <c r="N15" s="7">
        <v>33.85</v>
      </c>
      <c r="O15" s="7">
        <v>66.98</v>
      </c>
      <c r="P15" s="7">
        <f t="shared" si="3"/>
        <v>60.282000000000004</v>
      </c>
      <c r="Q15" s="7">
        <f t="shared" si="4"/>
        <v>0.50537473872797845</v>
      </c>
      <c r="R15" s="8">
        <v>26.29</v>
      </c>
      <c r="S15" s="8">
        <v>20.59</v>
      </c>
      <c r="T15" s="4" t="str">
        <f t="shared" si="5"/>
        <v>Intermediate</v>
      </c>
      <c r="U15" s="4" t="s">
        <v>10</v>
      </c>
      <c r="V15" s="4" t="s">
        <v>41</v>
      </c>
      <c r="W15" s="4">
        <v>50</v>
      </c>
      <c r="X15" s="4">
        <v>1000</v>
      </c>
      <c r="Y15" s="4">
        <v>400</v>
      </c>
      <c r="Z15" s="4">
        <v>25</v>
      </c>
      <c r="AA15" s="4" t="s">
        <v>309</v>
      </c>
      <c r="AB15" s="8" t="s">
        <v>37</v>
      </c>
      <c r="AC15" s="4" t="s">
        <v>37</v>
      </c>
      <c r="AD15" s="11" t="s">
        <v>37</v>
      </c>
      <c r="AE15" s="9" t="s">
        <v>183</v>
      </c>
      <c r="AF15" s="4" t="s">
        <v>72</v>
      </c>
    </row>
    <row r="16" spans="1:32" s="4" customFormat="1" x14ac:dyDescent="0.25">
      <c r="A16" s="4">
        <f t="shared" si="6"/>
        <v>9</v>
      </c>
      <c r="B16" s="5" t="s">
        <v>446</v>
      </c>
      <c r="C16" s="6" t="s">
        <v>423</v>
      </c>
      <c r="D16" s="4" t="s">
        <v>424</v>
      </c>
      <c r="E16" s="4" t="s">
        <v>183</v>
      </c>
      <c r="F16" s="10" t="s">
        <v>26</v>
      </c>
      <c r="G16" s="4" t="s">
        <v>9</v>
      </c>
      <c r="H16" s="4" t="s">
        <v>65</v>
      </c>
      <c r="I16" s="4" t="s">
        <v>422</v>
      </c>
      <c r="J16" s="7">
        <f t="shared" si="0"/>
        <v>83.810210787849655</v>
      </c>
      <c r="K16" s="4" t="str">
        <f t="shared" si="1"/>
        <v>More Conserved</v>
      </c>
      <c r="L16" s="7">
        <v>10.457000000000001</v>
      </c>
      <c r="M16" s="7">
        <f t="shared" si="2"/>
        <v>9.4113000000000007</v>
      </c>
      <c r="N16" s="7">
        <v>55.19</v>
      </c>
      <c r="O16" s="7">
        <v>124.77</v>
      </c>
      <c r="P16" s="7">
        <f t="shared" si="3"/>
        <v>112.29299999999999</v>
      </c>
      <c r="Q16" s="7">
        <f t="shared" si="4"/>
        <v>0.44233389436563275</v>
      </c>
      <c r="R16" s="8">
        <v>11</v>
      </c>
      <c r="S16" s="8">
        <v>19.13</v>
      </c>
      <c r="T16" s="4" t="str">
        <f t="shared" si="5"/>
        <v>Fast</v>
      </c>
      <c r="U16" s="4" t="s">
        <v>10</v>
      </c>
      <c r="V16" s="4" t="s">
        <v>41</v>
      </c>
      <c r="W16" s="4">
        <v>50</v>
      </c>
      <c r="X16" s="4">
        <v>1000</v>
      </c>
      <c r="Y16" s="4">
        <v>400</v>
      </c>
      <c r="Z16" s="4">
        <v>25</v>
      </c>
      <c r="AA16" s="4" t="s">
        <v>309</v>
      </c>
      <c r="AB16" s="8" t="s">
        <v>37</v>
      </c>
      <c r="AC16" s="4" t="s">
        <v>37</v>
      </c>
      <c r="AD16" s="11" t="s">
        <v>37</v>
      </c>
      <c r="AE16" s="9" t="s">
        <v>183</v>
      </c>
      <c r="AF16" s="4" t="s">
        <v>72</v>
      </c>
    </row>
    <row r="17" spans="1:32" s="4" customFormat="1" x14ac:dyDescent="0.25">
      <c r="A17" s="4">
        <f t="shared" si="6"/>
        <v>10</v>
      </c>
      <c r="B17" s="5" t="s">
        <v>446</v>
      </c>
      <c r="C17" s="6" t="s">
        <v>73</v>
      </c>
      <c r="D17" s="4" t="s">
        <v>74</v>
      </c>
      <c r="E17" s="4" t="s">
        <v>183</v>
      </c>
      <c r="F17" s="10" t="s">
        <v>26</v>
      </c>
      <c r="G17" s="4" t="s">
        <v>9</v>
      </c>
      <c r="H17" s="4" t="s">
        <v>232</v>
      </c>
      <c r="I17" s="4" t="s">
        <v>427</v>
      </c>
      <c r="J17" s="7">
        <f t="shared" si="0"/>
        <v>54.334451901565991</v>
      </c>
      <c r="K17" s="4" t="str">
        <f t="shared" si="1"/>
        <v>Less Conserved</v>
      </c>
      <c r="L17" s="7">
        <v>19.43</v>
      </c>
      <c r="M17" s="7">
        <f t="shared" si="2"/>
        <v>17.487000000000002</v>
      </c>
      <c r="N17" s="7">
        <v>134.46</v>
      </c>
      <c r="O17" s="7">
        <v>357.6</v>
      </c>
      <c r="P17" s="7">
        <f t="shared" si="3"/>
        <v>321.84000000000003</v>
      </c>
      <c r="Q17" s="7">
        <f t="shared" si="4"/>
        <v>0.37600671140939596</v>
      </c>
      <c r="R17" s="8">
        <v>27.52</v>
      </c>
      <c r="S17" s="8">
        <v>99.4</v>
      </c>
      <c r="T17" s="4" t="str">
        <f t="shared" si="5"/>
        <v>Slow</v>
      </c>
      <c r="U17" s="4" t="s">
        <v>10</v>
      </c>
      <c r="V17" s="4" t="s">
        <v>41</v>
      </c>
      <c r="W17" s="4">
        <v>50</v>
      </c>
      <c r="X17" s="4">
        <v>1000</v>
      </c>
      <c r="Y17" s="4">
        <v>400</v>
      </c>
      <c r="Z17" s="4">
        <v>25</v>
      </c>
      <c r="AA17" s="4" t="s">
        <v>309</v>
      </c>
      <c r="AB17" s="8" t="s">
        <v>37</v>
      </c>
      <c r="AC17" s="4" t="s">
        <v>54</v>
      </c>
      <c r="AD17" s="11" t="s">
        <v>37</v>
      </c>
      <c r="AE17" s="9" t="s">
        <v>183</v>
      </c>
      <c r="AF17" s="4" t="s">
        <v>75</v>
      </c>
    </row>
    <row r="18" spans="1:32" s="4" customFormat="1" x14ac:dyDescent="0.25">
      <c r="A18" s="4">
        <f t="shared" si="6"/>
        <v>11</v>
      </c>
      <c r="B18" s="5" t="s">
        <v>446</v>
      </c>
      <c r="C18" s="6" t="s">
        <v>76</v>
      </c>
      <c r="D18" s="4" t="s">
        <v>77</v>
      </c>
      <c r="E18" s="4" t="s">
        <v>182</v>
      </c>
      <c r="F18" s="10" t="s">
        <v>26</v>
      </c>
      <c r="G18" s="4" t="s">
        <v>9</v>
      </c>
      <c r="H18" s="4" t="s">
        <v>232</v>
      </c>
      <c r="I18" s="4" t="s">
        <v>415</v>
      </c>
      <c r="J18" s="7">
        <f t="shared" si="0"/>
        <v>54.408549914986637</v>
      </c>
      <c r="K18" s="4" t="str">
        <f t="shared" si="1"/>
        <v>Less Conserved</v>
      </c>
      <c r="L18" s="7">
        <v>22.4</v>
      </c>
      <c r="M18" s="7">
        <f t="shared" si="2"/>
        <v>20.16</v>
      </c>
      <c r="N18" s="7">
        <v>108</v>
      </c>
      <c r="O18" s="7">
        <v>411.7</v>
      </c>
      <c r="P18" s="7">
        <f t="shared" si="3"/>
        <v>370.53</v>
      </c>
      <c r="Q18" s="7">
        <f t="shared" si="4"/>
        <v>0.26232693709011418</v>
      </c>
      <c r="R18" s="8">
        <v>21.23</v>
      </c>
      <c r="S18" s="8">
        <v>107.39</v>
      </c>
      <c r="T18" s="4" t="str">
        <f t="shared" si="5"/>
        <v>Slow</v>
      </c>
      <c r="U18" s="4" t="s">
        <v>10</v>
      </c>
      <c r="V18" s="4" t="s">
        <v>32</v>
      </c>
      <c r="W18" s="4">
        <v>50</v>
      </c>
      <c r="X18" s="4">
        <v>1000</v>
      </c>
      <c r="Y18" s="4">
        <v>400</v>
      </c>
      <c r="Z18" s="4">
        <v>25</v>
      </c>
      <c r="AA18" s="4" t="s">
        <v>309</v>
      </c>
      <c r="AB18" s="8" t="s">
        <v>37</v>
      </c>
      <c r="AC18" s="4" t="s">
        <v>54</v>
      </c>
      <c r="AD18" s="11" t="s">
        <v>37</v>
      </c>
      <c r="AE18" s="5" t="s">
        <v>182</v>
      </c>
      <c r="AF18" s="4" t="s">
        <v>78</v>
      </c>
    </row>
    <row r="19" spans="1:32" s="4" customFormat="1" x14ac:dyDescent="0.25">
      <c r="A19" s="4">
        <f t="shared" si="6"/>
        <v>12</v>
      </c>
      <c r="B19" s="5" t="s">
        <v>446</v>
      </c>
      <c r="C19" s="6" t="s">
        <v>79</v>
      </c>
      <c r="D19" s="4" t="s">
        <v>80</v>
      </c>
      <c r="E19" s="4" t="s">
        <v>183</v>
      </c>
      <c r="F19" s="10" t="s">
        <v>26</v>
      </c>
      <c r="G19" s="4" t="s">
        <v>9</v>
      </c>
      <c r="H19" s="4" t="s">
        <v>232</v>
      </c>
      <c r="I19" s="4" t="s">
        <v>428</v>
      </c>
      <c r="J19" s="7">
        <f t="shared" si="0"/>
        <v>53.364435671989952</v>
      </c>
      <c r="K19" s="4" t="str">
        <f t="shared" si="1"/>
        <v>Less Conserved</v>
      </c>
      <c r="L19" s="7">
        <v>8.9220000000000006</v>
      </c>
      <c r="M19" s="7">
        <f t="shared" si="2"/>
        <v>8.0298000000000016</v>
      </c>
      <c r="N19" s="7">
        <v>89.77</v>
      </c>
      <c r="O19" s="7">
        <v>167.19</v>
      </c>
      <c r="P19" s="7">
        <f t="shared" si="3"/>
        <v>150.471</v>
      </c>
      <c r="Q19" s="7">
        <f t="shared" si="4"/>
        <v>0.53693402715473415</v>
      </c>
      <c r="R19" s="8">
        <v>13.87</v>
      </c>
      <c r="S19" s="8">
        <v>32.770000000000003</v>
      </c>
      <c r="T19" s="4" t="str">
        <f t="shared" si="5"/>
        <v>Intermediate</v>
      </c>
      <c r="U19" s="4" t="s">
        <v>10</v>
      </c>
      <c r="V19" s="4" t="s">
        <v>51</v>
      </c>
      <c r="W19" s="4">
        <v>50</v>
      </c>
      <c r="X19" s="4">
        <v>1000</v>
      </c>
      <c r="Y19" s="4">
        <v>400</v>
      </c>
      <c r="Z19" s="4">
        <v>25</v>
      </c>
      <c r="AA19" s="4" t="s">
        <v>309</v>
      </c>
      <c r="AB19" s="8" t="s">
        <v>37</v>
      </c>
      <c r="AC19" s="4" t="s">
        <v>54</v>
      </c>
      <c r="AD19" s="11" t="s">
        <v>37</v>
      </c>
      <c r="AE19" s="9" t="s">
        <v>183</v>
      </c>
      <c r="AF19" s="4" t="s">
        <v>81</v>
      </c>
    </row>
    <row r="20" spans="1:32" s="4" customFormat="1" x14ac:dyDescent="0.25">
      <c r="A20" s="4">
        <f t="shared" si="6"/>
        <v>13</v>
      </c>
      <c r="B20" s="5" t="s">
        <v>446</v>
      </c>
      <c r="C20" s="6" t="s">
        <v>66</v>
      </c>
      <c r="D20" s="4" t="s">
        <v>67</v>
      </c>
      <c r="E20" s="4" t="s">
        <v>183</v>
      </c>
      <c r="F20" s="10" t="s">
        <v>26</v>
      </c>
      <c r="G20" s="4" t="s">
        <v>9</v>
      </c>
      <c r="H20" s="4" t="s">
        <v>65</v>
      </c>
      <c r="I20" s="4" t="s">
        <v>425</v>
      </c>
      <c r="J20" s="7">
        <f t="shared" si="0"/>
        <v>52.171008684034732</v>
      </c>
      <c r="K20" s="4" t="str">
        <f t="shared" si="1"/>
        <v>Less Conserved</v>
      </c>
      <c r="L20" s="7">
        <v>15.62</v>
      </c>
      <c r="M20" s="7">
        <f t="shared" si="2"/>
        <v>14.058</v>
      </c>
      <c r="N20" s="7">
        <v>80.2</v>
      </c>
      <c r="O20" s="7">
        <v>299.39999999999998</v>
      </c>
      <c r="P20" s="7">
        <f t="shared" si="3"/>
        <v>269.45999999999998</v>
      </c>
      <c r="Q20" s="7">
        <f t="shared" si="4"/>
        <v>0.26786907147628591</v>
      </c>
      <c r="R20" s="8">
        <v>11.33</v>
      </c>
      <c r="S20" s="8">
        <v>65.459999999999994</v>
      </c>
      <c r="T20" s="4" t="str">
        <f t="shared" si="5"/>
        <v>Slow</v>
      </c>
      <c r="U20" s="4" t="s">
        <v>10</v>
      </c>
      <c r="V20" s="4" t="s">
        <v>41</v>
      </c>
      <c r="W20" s="4">
        <v>50</v>
      </c>
      <c r="X20" s="4">
        <v>1000</v>
      </c>
      <c r="Y20" s="4">
        <v>400</v>
      </c>
      <c r="Z20" s="4">
        <v>25</v>
      </c>
      <c r="AA20" s="4" t="s">
        <v>309</v>
      </c>
      <c r="AB20" s="8" t="s">
        <v>37</v>
      </c>
      <c r="AC20" s="4" t="s">
        <v>37</v>
      </c>
      <c r="AD20" s="11" t="s">
        <v>37</v>
      </c>
      <c r="AE20" s="9" t="s">
        <v>183</v>
      </c>
      <c r="AF20" s="4" t="s">
        <v>71</v>
      </c>
    </row>
    <row r="21" spans="1:32" s="4" customFormat="1" x14ac:dyDescent="0.25">
      <c r="A21" s="4">
        <f t="shared" si="6"/>
        <v>14</v>
      </c>
      <c r="B21" s="5" t="s">
        <v>446</v>
      </c>
      <c r="C21" s="6" t="s">
        <v>68</v>
      </c>
      <c r="D21" s="4" t="s">
        <v>69</v>
      </c>
      <c r="E21" s="4" t="s">
        <v>183</v>
      </c>
      <c r="F21" s="10" t="s">
        <v>26</v>
      </c>
      <c r="G21" s="4" t="s">
        <v>9</v>
      </c>
      <c r="H21" s="4" t="s">
        <v>65</v>
      </c>
      <c r="I21" s="4" t="s">
        <v>426</v>
      </c>
      <c r="J21" s="7">
        <f t="shared" si="0"/>
        <v>127.78402699662543</v>
      </c>
      <c r="K21" s="4" t="str">
        <f t="shared" si="1"/>
        <v>More Conserved</v>
      </c>
      <c r="L21" s="7">
        <v>7.952</v>
      </c>
      <c r="M21" s="7">
        <f t="shared" si="2"/>
        <v>7.1568000000000005</v>
      </c>
      <c r="N21" s="7">
        <v>25.45</v>
      </c>
      <c r="O21" s="7">
        <v>62.23</v>
      </c>
      <c r="P21" s="7">
        <f t="shared" si="3"/>
        <v>56.006999999999998</v>
      </c>
      <c r="Q21" s="7">
        <f t="shared" si="4"/>
        <v>0.40896673630081953</v>
      </c>
      <c r="R21" s="8">
        <v>9.5299999999999994</v>
      </c>
      <c r="S21" s="8">
        <v>10.38</v>
      </c>
      <c r="T21" s="4" t="str">
        <f t="shared" si="5"/>
        <v>Fast</v>
      </c>
      <c r="U21" s="4" t="s">
        <v>10</v>
      </c>
      <c r="V21" s="4" t="s">
        <v>24</v>
      </c>
      <c r="W21" s="4">
        <v>50</v>
      </c>
      <c r="X21" s="4">
        <v>1000</v>
      </c>
      <c r="Y21" s="4">
        <v>400</v>
      </c>
      <c r="Z21" s="4">
        <v>25</v>
      </c>
      <c r="AA21" s="4" t="s">
        <v>309</v>
      </c>
      <c r="AB21" s="8" t="s">
        <v>37</v>
      </c>
      <c r="AC21" s="4" t="s">
        <v>54</v>
      </c>
      <c r="AD21" s="11" t="s">
        <v>37</v>
      </c>
      <c r="AE21" s="9" t="s">
        <v>183</v>
      </c>
      <c r="AF21" s="4" t="s">
        <v>70</v>
      </c>
    </row>
    <row r="22" spans="1:32" s="4" customFormat="1" x14ac:dyDescent="0.25">
      <c r="A22" s="4">
        <f t="shared" si="6"/>
        <v>15</v>
      </c>
      <c r="B22" s="5" t="s">
        <v>446</v>
      </c>
      <c r="C22" s="6" t="s">
        <v>82</v>
      </c>
      <c r="D22" s="4" t="s">
        <v>83</v>
      </c>
      <c r="E22" s="4" t="s">
        <v>182</v>
      </c>
      <c r="F22" s="10" t="s">
        <v>429</v>
      </c>
      <c r="G22" s="4" t="s">
        <v>9</v>
      </c>
      <c r="H22" s="4" t="s">
        <v>232</v>
      </c>
      <c r="I22" s="4" t="s">
        <v>430</v>
      </c>
      <c r="J22" s="7">
        <f t="shared" si="0"/>
        <v>36.867397507133205</v>
      </c>
      <c r="K22" s="4" t="str">
        <f t="shared" si="1"/>
        <v>Less Conserved</v>
      </c>
      <c r="L22" s="7">
        <v>24.55</v>
      </c>
      <c r="M22" s="7">
        <f t="shared" si="2"/>
        <v>22.095000000000002</v>
      </c>
      <c r="N22" s="7">
        <v>344.1</v>
      </c>
      <c r="O22" s="7">
        <v>665.9</v>
      </c>
      <c r="P22" s="7">
        <f t="shared" si="3"/>
        <v>599.30999999999995</v>
      </c>
      <c r="Q22" s="7">
        <f t="shared" si="4"/>
        <v>0.51674425589427853</v>
      </c>
      <c r="R22" s="8">
        <v>11.55</v>
      </c>
      <c r="S22" s="8">
        <v>44.81</v>
      </c>
      <c r="T22" s="4" t="str">
        <f t="shared" si="5"/>
        <v>Intermediate</v>
      </c>
      <c r="U22" s="4" t="s">
        <v>10</v>
      </c>
      <c r="V22" s="4" t="s">
        <v>41</v>
      </c>
      <c r="W22" s="4">
        <v>50</v>
      </c>
      <c r="X22" s="4">
        <v>1000</v>
      </c>
      <c r="Y22" s="4">
        <v>400</v>
      </c>
      <c r="Z22" s="4">
        <v>25</v>
      </c>
      <c r="AA22" s="4" t="s">
        <v>309</v>
      </c>
      <c r="AB22" s="8" t="s">
        <v>37</v>
      </c>
      <c r="AC22" s="4" t="s">
        <v>54</v>
      </c>
      <c r="AD22" s="11" t="s">
        <v>37</v>
      </c>
      <c r="AE22" s="5" t="s">
        <v>182</v>
      </c>
      <c r="AF22" s="4" t="s">
        <v>703</v>
      </c>
    </row>
    <row r="23" spans="1:32" s="4" customFormat="1" x14ac:dyDescent="0.25">
      <c r="A23" s="4">
        <f t="shared" si="6"/>
        <v>16</v>
      </c>
      <c r="B23" s="5" t="s">
        <v>446</v>
      </c>
      <c r="C23" s="6" t="s">
        <v>84</v>
      </c>
      <c r="D23" s="4" t="s">
        <v>85</v>
      </c>
      <c r="E23" s="4" t="s">
        <v>182</v>
      </c>
      <c r="F23" s="4" t="s">
        <v>26</v>
      </c>
      <c r="G23" s="4" t="s">
        <v>9</v>
      </c>
      <c r="H23" s="4" t="s">
        <v>232</v>
      </c>
      <c r="I23" s="4" t="s">
        <v>345</v>
      </c>
      <c r="J23" s="7">
        <f t="shared" si="0"/>
        <v>52.010796221322536</v>
      </c>
      <c r="K23" s="4" t="str">
        <f t="shared" si="1"/>
        <v>Less Conserved</v>
      </c>
      <c r="L23" s="7">
        <v>19.27</v>
      </c>
      <c r="M23" s="7">
        <f t="shared" si="2"/>
        <v>17.343</v>
      </c>
      <c r="N23" s="7">
        <v>162.80000000000001</v>
      </c>
      <c r="O23" s="7">
        <v>370.5</v>
      </c>
      <c r="P23" s="7">
        <f t="shared" si="3"/>
        <v>333.45</v>
      </c>
      <c r="Q23" s="7">
        <f t="shared" si="4"/>
        <v>0.43940620782726048</v>
      </c>
      <c r="R23" s="8">
        <v>15.78</v>
      </c>
      <c r="S23" s="8">
        <v>38.6</v>
      </c>
      <c r="T23" s="4" t="str">
        <f t="shared" si="5"/>
        <v>Intermediate</v>
      </c>
      <c r="U23" s="4" t="s">
        <v>10</v>
      </c>
      <c r="V23" s="4" t="s">
        <v>41</v>
      </c>
      <c r="W23" s="4">
        <v>50</v>
      </c>
      <c r="X23" s="4">
        <v>1000</v>
      </c>
      <c r="Y23" s="4">
        <v>400</v>
      </c>
      <c r="Z23" s="4">
        <v>25</v>
      </c>
      <c r="AA23" s="4" t="s">
        <v>309</v>
      </c>
      <c r="AB23" s="8" t="s">
        <v>37</v>
      </c>
      <c r="AC23" s="4" t="s">
        <v>54</v>
      </c>
      <c r="AD23" s="11" t="s">
        <v>37</v>
      </c>
      <c r="AE23" s="5" t="s">
        <v>182</v>
      </c>
      <c r="AF23" s="4" t="s">
        <v>703</v>
      </c>
    </row>
    <row r="24" spans="1:32" s="4" customFormat="1" x14ac:dyDescent="0.25">
      <c r="A24" s="4">
        <f t="shared" si="6"/>
        <v>17</v>
      </c>
      <c r="B24" s="5" t="s">
        <v>446</v>
      </c>
      <c r="C24" s="6" t="s">
        <v>86</v>
      </c>
      <c r="D24" s="4" t="s">
        <v>122</v>
      </c>
      <c r="E24" s="4" t="s">
        <v>182</v>
      </c>
      <c r="F24" s="10" t="s">
        <v>431</v>
      </c>
      <c r="G24" s="4" t="s">
        <v>9</v>
      </c>
      <c r="H24" s="4" t="s">
        <v>232</v>
      </c>
      <c r="I24" s="4" t="s">
        <v>432</v>
      </c>
      <c r="J24" s="7">
        <f t="shared" si="0"/>
        <v>52.980599647266317</v>
      </c>
      <c r="K24" s="4" t="str">
        <f t="shared" si="1"/>
        <v>Less Conserved</v>
      </c>
      <c r="L24" s="7">
        <v>15.02</v>
      </c>
      <c r="M24" s="7">
        <f t="shared" si="2"/>
        <v>13.518000000000001</v>
      </c>
      <c r="N24" s="7">
        <v>88.7</v>
      </c>
      <c r="O24" s="7">
        <v>283.5</v>
      </c>
      <c r="P24" s="7">
        <f t="shared" si="3"/>
        <v>255.15</v>
      </c>
      <c r="Q24" s="7">
        <f t="shared" si="4"/>
        <v>0.31287477954144621</v>
      </c>
      <c r="R24" s="8">
        <v>15.2</v>
      </c>
      <c r="S24" s="8">
        <v>64.400000000000006</v>
      </c>
      <c r="T24" s="4" t="str">
        <f t="shared" si="5"/>
        <v>Slow</v>
      </c>
      <c r="U24" s="4" t="s">
        <v>10</v>
      </c>
      <c r="V24" s="4" t="s">
        <v>41</v>
      </c>
      <c r="W24" s="4">
        <v>50</v>
      </c>
      <c r="X24" s="4">
        <v>1000</v>
      </c>
      <c r="Y24" s="4">
        <v>400</v>
      </c>
      <c r="Z24" s="4">
        <v>25</v>
      </c>
      <c r="AA24" s="4" t="s">
        <v>309</v>
      </c>
      <c r="AB24" s="8" t="s">
        <v>37</v>
      </c>
      <c r="AC24" s="4" t="s">
        <v>54</v>
      </c>
      <c r="AD24" s="11" t="s">
        <v>37</v>
      </c>
      <c r="AE24" s="5" t="s">
        <v>182</v>
      </c>
      <c r="AF24" s="4" t="s">
        <v>703</v>
      </c>
    </row>
    <row r="25" spans="1:32" s="4" customFormat="1" x14ac:dyDescent="0.25">
      <c r="A25" s="4">
        <f t="shared" si="6"/>
        <v>18</v>
      </c>
      <c r="B25" s="5" t="s">
        <v>446</v>
      </c>
      <c r="C25" s="6" t="s">
        <v>6</v>
      </c>
      <c r="D25" s="4" t="s">
        <v>53</v>
      </c>
      <c r="E25" s="4" t="s">
        <v>183</v>
      </c>
      <c r="F25" s="10" t="s">
        <v>26</v>
      </c>
      <c r="G25" s="4" t="s">
        <v>8</v>
      </c>
      <c r="H25" s="4" t="s">
        <v>231</v>
      </c>
      <c r="I25" s="4" t="s">
        <v>332</v>
      </c>
      <c r="J25" s="7">
        <f t="shared" si="0"/>
        <v>69.802596478748001</v>
      </c>
      <c r="K25" s="4" t="str">
        <f t="shared" si="1"/>
        <v>Less Conserved</v>
      </c>
      <c r="L25" s="7">
        <v>3.9249999999999998</v>
      </c>
      <c r="M25" s="7">
        <f t="shared" si="2"/>
        <v>3.5324999999999998</v>
      </c>
      <c r="N25" s="7">
        <v>31.99</v>
      </c>
      <c r="O25" s="7">
        <v>56.23</v>
      </c>
      <c r="P25" s="7">
        <f t="shared" si="3"/>
        <v>50.606999999999999</v>
      </c>
      <c r="Q25" s="7">
        <f t="shared" si="4"/>
        <v>0.5689133914280633</v>
      </c>
      <c r="R25" s="8">
        <v>4.49</v>
      </c>
      <c r="S25" s="8">
        <v>4.8</v>
      </c>
      <c r="T25" s="4" t="str">
        <f t="shared" si="5"/>
        <v>Fast</v>
      </c>
      <c r="U25" s="4" t="s">
        <v>10</v>
      </c>
      <c r="V25" s="4" t="s">
        <v>51</v>
      </c>
      <c r="W25" s="4">
        <v>50</v>
      </c>
      <c r="X25" s="4">
        <v>1000</v>
      </c>
      <c r="Y25" s="4">
        <v>400</v>
      </c>
      <c r="Z25" s="4">
        <v>25</v>
      </c>
      <c r="AA25" s="4" t="s">
        <v>309</v>
      </c>
      <c r="AB25" s="8" t="s">
        <v>37</v>
      </c>
      <c r="AC25" s="4" t="s">
        <v>54</v>
      </c>
      <c r="AD25" s="11" t="s">
        <v>37</v>
      </c>
      <c r="AE25" s="9" t="s">
        <v>183</v>
      </c>
      <c r="AF25" s="4" t="s">
        <v>704</v>
      </c>
    </row>
    <row r="26" spans="1:32" s="4" customFormat="1" x14ac:dyDescent="0.25">
      <c r="A26" s="4">
        <f t="shared" si="6"/>
        <v>19</v>
      </c>
      <c r="B26" s="5" t="s">
        <v>446</v>
      </c>
      <c r="C26" s="6" t="s">
        <v>55</v>
      </c>
      <c r="D26" s="4" t="s">
        <v>56</v>
      </c>
      <c r="E26" s="4" t="s">
        <v>183</v>
      </c>
      <c r="F26" s="10" t="s">
        <v>26</v>
      </c>
      <c r="G26" s="4" t="s">
        <v>8</v>
      </c>
      <c r="H26" s="4" t="s">
        <v>231</v>
      </c>
      <c r="I26" s="4" t="s">
        <v>419</v>
      </c>
      <c r="J26" s="7">
        <f t="shared" si="0"/>
        <v>62.183204893938182</v>
      </c>
      <c r="K26" s="4" t="str">
        <f t="shared" si="1"/>
        <v>Less Conserved</v>
      </c>
      <c r="L26" s="7">
        <v>7.827</v>
      </c>
      <c r="M26" s="7">
        <f t="shared" si="2"/>
        <v>7.0442999999999998</v>
      </c>
      <c r="N26" s="7">
        <v>44.08</v>
      </c>
      <c r="O26" s="7">
        <v>125.87</v>
      </c>
      <c r="P26" s="7">
        <f t="shared" si="3"/>
        <v>113.283</v>
      </c>
      <c r="Q26" s="7">
        <f t="shared" si="4"/>
        <v>0.35020258997378245</v>
      </c>
      <c r="R26" s="8">
        <v>17.079999999999998</v>
      </c>
      <c r="S26" s="8">
        <v>18.260000000000002</v>
      </c>
      <c r="T26" s="4" t="str">
        <f t="shared" si="5"/>
        <v>Fast</v>
      </c>
      <c r="U26" s="4" t="s">
        <v>10</v>
      </c>
      <c r="V26" s="4" t="s">
        <v>51</v>
      </c>
      <c r="W26" s="4">
        <v>50</v>
      </c>
      <c r="X26" s="4">
        <v>1000</v>
      </c>
      <c r="Y26" s="4">
        <v>400</v>
      </c>
      <c r="Z26" s="4">
        <v>25</v>
      </c>
      <c r="AA26" s="4" t="s">
        <v>309</v>
      </c>
      <c r="AB26" s="8" t="s">
        <v>37</v>
      </c>
      <c r="AC26" s="4" t="s">
        <v>54</v>
      </c>
      <c r="AD26" s="11" t="s">
        <v>37</v>
      </c>
      <c r="AE26" s="9" t="s">
        <v>183</v>
      </c>
      <c r="AF26" s="4" t="s">
        <v>128</v>
      </c>
    </row>
    <row r="27" spans="1:32" s="4" customFormat="1" x14ac:dyDescent="0.25">
      <c r="A27" s="4">
        <f t="shared" si="6"/>
        <v>20</v>
      </c>
      <c r="B27" s="5" t="s">
        <v>446</v>
      </c>
      <c r="C27" s="6" t="s">
        <v>57</v>
      </c>
      <c r="D27" s="4" t="s">
        <v>58</v>
      </c>
      <c r="E27" s="4" t="s">
        <v>183</v>
      </c>
      <c r="F27" s="10" t="s">
        <v>26</v>
      </c>
      <c r="G27" s="4" t="s">
        <v>8</v>
      </c>
      <c r="H27" s="4" t="s">
        <v>231</v>
      </c>
      <c r="I27" s="4" t="s">
        <v>420</v>
      </c>
      <c r="J27" s="7">
        <f t="shared" si="0"/>
        <v>69.980406311230269</v>
      </c>
      <c r="K27" s="4" t="str">
        <f t="shared" si="1"/>
        <v>Less Conserved</v>
      </c>
      <c r="L27" s="7">
        <v>6.7859999999999996</v>
      </c>
      <c r="M27" s="7">
        <f t="shared" si="2"/>
        <v>6.1074000000000002</v>
      </c>
      <c r="N27" s="7">
        <v>45.79</v>
      </c>
      <c r="O27" s="7">
        <v>96.97</v>
      </c>
      <c r="P27" s="7">
        <f t="shared" si="3"/>
        <v>87.272999999999996</v>
      </c>
      <c r="Q27" s="7">
        <f t="shared" si="4"/>
        <v>0.47220789935031454</v>
      </c>
      <c r="R27" s="8">
        <v>5.48</v>
      </c>
      <c r="S27" s="8">
        <v>6.17</v>
      </c>
      <c r="T27" s="4" t="str">
        <f t="shared" si="5"/>
        <v>Fast</v>
      </c>
      <c r="U27" s="4" t="s">
        <v>10</v>
      </c>
      <c r="V27" s="4" t="s">
        <v>51</v>
      </c>
      <c r="W27" s="4">
        <v>50</v>
      </c>
      <c r="X27" s="4">
        <v>1000</v>
      </c>
      <c r="Y27" s="4">
        <v>400</v>
      </c>
      <c r="Z27" s="4">
        <v>25</v>
      </c>
      <c r="AA27" s="4" t="s">
        <v>309</v>
      </c>
      <c r="AB27" s="8" t="s">
        <v>37</v>
      </c>
      <c r="AC27" s="4" t="s">
        <v>54</v>
      </c>
      <c r="AD27" s="11" t="s">
        <v>37</v>
      </c>
      <c r="AE27" s="9" t="s">
        <v>183</v>
      </c>
      <c r="AF27" s="4" t="s">
        <v>704</v>
      </c>
    </row>
    <row r="28" spans="1:32" s="4" customFormat="1" x14ac:dyDescent="0.25">
      <c r="A28" s="4">
        <f t="shared" si="6"/>
        <v>21</v>
      </c>
      <c r="B28" s="5" t="s">
        <v>446</v>
      </c>
      <c r="C28" s="12" t="s">
        <v>59</v>
      </c>
      <c r="D28" s="4" t="s">
        <v>60</v>
      </c>
      <c r="E28" s="4" t="s">
        <v>183</v>
      </c>
      <c r="F28" s="10" t="s">
        <v>26</v>
      </c>
      <c r="G28" s="4" t="s">
        <v>8</v>
      </c>
      <c r="H28" s="4" t="s">
        <v>231</v>
      </c>
      <c r="I28" s="4" t="s">
        <v>420</v>
      </c>
      <c r="J28" s="7">
        <f t="shared" si="0"/>
        <v>53.705486044273336</v>
      </c>
      <c r="K28" s="4" t="str">
        <f t="shared" si="1"/>
        <v>Less Conserved</v>
      </c>
      <c r="L28" s="7">
        <v>8.3699999999999992</v>
      </c>
      <c r="M28" s="7">
        <f t="shared" si="2"/>
        <v>7.5329999999999995</v>
      </c>
      <c r="N28" s="7">
        <v>79.02</v>
      </c>
      <c r="O28" s="7">
        <v>155.85</v>
      </c>
      <c r="P28" s="7">
        <f t="shared" si="3"/>
        <v>140.26499999999999</v>
      </c>
      <c r="Q28" s="7">
        <f t="shared" si="4"/>
        <v>0.50702598652550523</v>
      </c>
      <c r="R28" s="8">
        <v>3.67</v>
      </c>
      <c r="S28" s="8">
        <v>5.71</v>
      </c>
      <c r="T28" s="4" t="str">
        <f t="shared" si="5"/>
        <v>Fast</v>
      </c>
      <c r="U28" s="4" t="s">
        <v>10</v>
      </c>
      <c r="V28" s="4" t="s">
        <v>51</v>
      </c>
      <c r="W28" s="4">
        <v>50</v>
      </c>
      <c r="X28" s="4">
        <v>1000</v>
      </c>
      <c r="Y28" s="4">
        <v>400</v>
      </c>
      <c r="Z28" s="4">
        <v>25</v>
      </c>
      <c r="AA28" s="4" t="s">
        <v>309</v>
      </c>
      <c r="AB28" s="8" t="s">
        <v>37</v>
      </c>
      <c r="AC28" s="4" t="s">
        <v>54</v>
      </c>
      <c r="AD28" s="11" t="s">
        <v>37</v>
      </c>
      <c r="AE28" s="9" t="s">
        <v>183</v>
      </c>
      <c r="AF28" s="4" t="s">
        <v>704</v>
      </c>
    </row>
    <row r="29" spans="1:32" s="4" customFormat="1" x14ac:dyDescent="0.25">
      <c r="A29" s="4">
        <f t="shared" si="6"/>
        <v>22</v>
      </c>
      <c r="B29" s="5" t="s">
        <v>446</v>
      </c>
      <c r="C29" s="6" t="s">
        <v>61</v>
      </c>
      <c r="D29" s="4" t="s">
        <v>62</v>
      </c>
      <c r="E29" s="4" t="s">
        <v>183</v>
      </c>
      <c r="F29" s="10" t="s">
        <v>26</v>
      </c>
      <c r="G29" s="4" t="s">
        <v>8</v>
      </c>
      <c r="H29" s="4" t="s">
        <v>231</v>
      </c>
      <c r="I29" s="4" t="s">
        <v>421</v>
      </c>
      <c r="J29" s="7">
        <f t="shared" si="0"/>
        <v>69.059777711024338</v>
      </c>
      <c r="K29" s="4" t="str">
        <f t="shared" si="1"/>
        <v>Less Conserved</v>
      </c>
      <c r="L29" s="7">
        <v>22.99</v>
      </c>
      <c r="M29" s="7">
        <f t="shared" si="2"/>
        <v>20.690999999999999</v>
      </c>
      <c r="N29" s="7">
        <v>140.30000000000001</v>
      </c>
      <c r="O29" s="7">
        <v>332.9</v>
      </c>
      <c r="P29" s="7">
        <f t="shared" si="3"/>
        <v>299.61</v>
      </c>
      <c r="Q29" s="7">
        <f t="shared" si="4"/>
        <v>0.42144788224692104</v>
      </c>
      <c r="R29" s="8">
        <v>7.79</v>
      </c>
      <c r="S29" s="8">
        <v>15.28</v>
      </c>
      <c r="T29" s="4" t="str">
        <f t="shared" si="5"/>
        <v>Fast</v>
      </c>
      <c r="U29" s="4" t="s">
        <v>10</v>
      </c>
      <c r="V29" s="4" t="s">
        <v>32</v>
      </c>
      <c r="W29" s="4">
        <v>50</v>
      </c>
      <c r="X29" s="4">
        <v>1000</v>
      </c>
      <c r="Y29" s="4">
        <v>400</v>
      </c>
      <c r="Z29" s="4">
        <v>25</v>
      </c>
      <c r="AA29" s="4" t="s">
        <v>309</v>
      </c>
      <c r="AB29" s="8" t="s">
        <v>37</v>
      </c>
      <c r="AC29" s="4" t="s">
        <v>54</v>
      </c>
      <c r="AD29" s="11" t="s">
        <v>37</v>
      </c>
      <c r="AE29" s="9" t="s">
        <v>183</v>
      </c>
      <c r="AF29" s="4" t="s">
        <v>185</v>
      </c>
    </row>
    <row r="30" spans="1:32" s="4" customFormat="1" x14ac:dyDescent="0.25">
      <c r="A30" s="4">
        <f t="shared" si="6"/>
        <v>23</v>
      </c>
      <c r="B30" s="5" t="s">
        <v>590</v>
      </c>
      <c r="C30" s="6" t="s">
        <v>129</v>
      </c>
      <c r="D30" s="4" t="s">
        <v>130</v>
      </c>
      <c r="E30" s="4" t="s">
        <v>182</v>
      </c>
      <c r="F30" s="4" t="s">
        <v>593</v>
      </c>
      <c r="G30" s="4" t="s">
        <v>9</v>
      </c>
      <c r="H30" s="4" t="s">
        <v>232</v>
      </c>
      <c r="I30" s="4" t="s">
        <v>591</v>
      </c>
      <c r="J30" s="7">
        <f t="shared" si="0"/>
        <v>95.324768022840829</v>
      </c>
      <c r="K30" s="4" t="str">
        <f t="shared" si="1"/>
        <v>More Conserved</v>
      </c>
      <c r="L30" s="7">
        <v>26.71</v>
      </c>
      <c r="M30" s="7">
        <f t="shared" si="2"/>
        <v>24.039000000000001</v>
      </c>
      <c r="N30" s="7">
        <v>19</v>
      </c>
      <c r="O30" s="7">
        <v>280.2</v>
      </c>
      <c r="P30" s="7">
        <f t="shared" si="3"/>
        <v>252.18</v>
      </c>
      <c r="Q30" s="7">
        <f t="shared" si="4"/>
        <v>6.7808708065667384E-2</v>
      </c>
      <c r="R30" s="8">
        <v>17</v>
      </c>
      <c r="S30" s="8">
        <v>11.75</v>
      </c>
      <c r="T30" s="4" t="str">
        <f t="shared" si="5"/>
        <v>Fast</v>
      </c>
      <c r="U30" s="4" t="s">
        <v>198</v>
      </c>
      <c r="V30" s="4" t="s">
        <v>32</v>
      </c>
      <c r="W30" s="4">
        <v>50</v>
      </c>
      <c r="X30" s="4">
        <v>1500</v>
      </c>
      <c r="Y30" s="4">
        <v>400</v>
      </c>
      <c r="Z30" s="4">
        <v>28</v>
      </c>
      <c r="AA30" s="4" t="s">
        <v>592</v>
      </c>
      <c r="AB30" s="8">
        <v>1200</v>
      </c>
      <c r="AC30" s="4" t="s">
        <v>131</v>
      </c>
      <c r="AD30" s="4" t="s">
        <v>132</v>
      </c>
      <c r="AE30" s="5" t="s">
        <v>182</v>
      </c>
      <c r="AF30" s="4" t="s">
        <v>594</v>
      </c>
    </row>
    <row r="31" spans="1:32" s="4" customFormat="1" x14ac:dyDescent="0.25">
      <c r="A31" s="4">
        <f t="shared" si="6"/>
        <v>23</v>
      </c>
      <c r="B31" s="5" t="s">
        <v>590</v>
      </c>
      <c r="C31" s="6" t="s">
        <v>129</v>
      </c>
      <c r="D31" s="4" t="s">
        <v>130</v>
      </c>
      <c r="E31" s="4" t="s">
        <v>182</v>
      </c>
      <c r="F31" s="4" t="s">
        <v>134</v>
      </c>
      <c r="G31" s="4" t="s">
        <v>9</v>
      </c>
      <c r="H31" s="4" t="s">
        <v>232</v>
      </c>
      <c r="I31" s="4" t="s">
        <v>591</v>
      </c>
      <c r="J31" s="7">
        <f t="shared" si="0"/>
        <v>97.662018047579977</v>
      </c>
      <c r="K31" s="4" t="str">
        <f t="shared" si="1"/>
        <v>More Conserved</v>
      </c>
      <c r="L31" s="7">
        <v>23.81</v>
      </c>
      <c r="M31" s="7">
        <f t="shared" si="2"/>
        <v>21.428999999999998</v>
      </c>
      <c r="N31" s="7">
        <v>5</v>
      </c>
      <c r="O31" s="7">
        <v>243.8</v>
      </c>
      <c r="P31" s="7">
        <f t="shared" si="3"/>
        <v>219.42000000000002</v>
      </c>
      <c r="Q31" s="7">
        <f t="shared" si="4"/>
        <v>2.050861361771944E-2</v>
      </c>
      <c r="R31" s="8">
        <v>21.2</v>
      </c>
      <c r="S31" s="8">
        <v>7.67</v>
      </c>
      <c r="T31" s="4" t="str">
        <f t="shared" si="5"/>
        <v>Fast</v>
      </c>
      <c r="U31" s="4" t="s">
        <v>198</v>
      </c>
      <c r="V31" s="4" t="s">
        <v>32</v>
      </c>
      <c r="W31" s="4">
        <v>50</v>
      </c>
      <c r="X31" s="4">
        <v>1500</v>
      </c>
      <c r="Y31" s="4">
        <v>400</v>
      </c>
      <c r="Z31" s="4">
        <v>28</v>
      </c>
      <c r="AA31" s="4" t="s">
        <v>592</v>
      </c>
      <c r="AB31" s="8">
        <v>1200</v>
      </c>
      <c r="AC31" s="4" t="s">
        <v>131</v>
      </c>
      <c r="AD31" s="4" t="s">
        <v>132</v>
      </c>
      <c r="AE31" s="5" t="s">
        <v>182</v>
      </c>
      <c r="AF31" s="4" t="s">
        <v>135</v>
      </c>
    </row>
    <row r="32" spans="1:32" s="4" customFormat="1" x14ac:dyDescent="0.25">
      <c r="A32" s="4">
        <f t="shared" si="6"/>
        <v>23</v>
      </c>
      <c r="B32" s="5" t="s">
        <v>590</v>
      </c>
      <c r="C32" s="6" t="s">
        <v>129</v>
      </c>
      <c r="D32" s="4" t="s">
        <v>130</v>
      </c>
      <c r="E32" s="4" t="s">
        <v>182</v>
      </c>
      <c r="F32" s="4" t="s">
        <v>133</v>
      </c>
      <c r="G32" s="4" t="s">
        <v>9</v>
      </c>
      <c r="H32" s="4" t="s">
        <v>232</v>
      </c>
      <c r="I32" s="4" t="s">
        <v>591</v>
      </c>
      <c r="J32" s="7">
        <f t="shared" si="0"/>
        <v>71.633333333333326</v>
      </c>
      <c r="K32" s="4" t="str">
        <f t="shared" si="1"/>
        <v>Conserved</v>
      </c>
      <c r="L32" s="7">
        <v>21.49</v>
      </c>
      <c r="M32" s="7">
        <f t="shared" si="2"/>
        <v>19.340999999999998</v>
      </c>
      <c r="N32" s="7">
        <v>47</v>
      </c>
      <c r="O32" s="7">
        <v>300</v>
      </c>
      <c r="P32" s="7">
        <f t="shared" si="3"/>
        <v>270</v>
      </c>
      <c r="Q32" s="7">
        <f t="shared" si="4"/>
        <v>0.15666666666666668</v>
      </c>
      <c r="R32" s="8">
        <v>11.6</v>
      </c>
      <c r="S32" s="8">
        <f>7.18/5*9</f>
        <v>12.923999999999999</v>
      </c>
      <c r="T32" s="4" t="str">
        <f t="shared" si="5"/>
        <v>Fast</v>
      </c>
      <c r="U32" s="4" t="s">
        <v>198</v>
      </c>
      <c r="V32" s="4" t="s">
        <v>32</v>
      </c>
      <c r="W32" s="4">
        <v>50</v>
      </c>
      <c r="X32" s="4">
        <v>1500</v>
      </c>
      <c r="Y32" s="4">
        <v>400</v>
      </c>
      <c r="Z32" s="4">
        <v>28</v>
      </c>
      <c r="AA32" s="4" t="s">
        <v>592</v>
      </c>
      <c r="AB32" s="8">
        <v>1200</v>
      </c>
      <c r="AC32" s="4" t="s">
        <v>131</v>
      </c>
      <c r="AD32" s="4" t="s">
        <v>132</v>
      </c>
      <c r="AE32" s="5" t="s">
        <v>182</v>
      </c>
      <c r="AF32" s="4" t="s">
        <v>595</v>
      </c>
    </row>
    <row r="33" spans="1:32" s="4" customFormat="1" x14ac:dyDescent="0.25">
      <c r="A33" s="4">
        <f t="shared" si="6"/>
        <v>24</v>
      </c>
      <c r="B33" s="5" t="s">
        <v>447</v>
      </c>
      <c r="C33" s="6" t="s">
        <v>6</v>
      </c>
      <c r="D33" s="4" t="s">
        <v>53</v>
      </c>
      <c r="E33" s="4" t="s">
        <v>183</v>
      </c>
      <c r="F33" s="10" t="s">
        <v>26</v>
      </c>
      <c r="G33" s="4" t="s">
        <v>8</v>
      </c>
      <c r="H33" s="4" t="s">
        <v>231</v>
      </c>
      <c r="I33" s="4" t="s">
        <v>332</v>
      </c>
      <c r="J33" s="7">
        <f t="shared" si="0"/>
        <v>17.775752051048311</v>
      </c>
      <c r="K33" s="4" t="str">
        <f t="shared" si="1"/>
        <v>Less Conserved</v>
      </c>
      <c r="L33" s="7">
        <v>1.17</v>
      </c>
      <c r="M33" s="7">
        <f t="shared" si="2"/>
        <v>1.0529999999999999</v>
      </c>
      <c r="N33" s="7">
        <v>29.6</v>
      </c>
      <c r="O33" s="7">
        <f>0.06582*1000</f>
        <v>65.820000000000007</v>
      </c>
      <c r="P33" s="7">
        <f t="shared" si="3"/>
        <v>59.238000000000007</v>
      </c>
      <c r="Q33" s="7">
        <f t="shared" si="4"/>
        <v>0.44971133394105134</v>
      </c>
      <c r="R33" s="8">
        <f>6*0.9</f>
        <v>5.4</v>
      </c>
      <c r="S33" s="8">
        <f>15*0.9</f>
        <v>13.5</v>
      </c>
      <c r="T33" s="4" t="str">
        <f t="shared" si="5"/>
        <v>Fast</v>
      </c>
      <c r="U33" s="4" t="s">
        <v>10</v>
      </c>
      <c r="V33" s="4" t="s">
        <v>51</v>
      </c>
      <c r="W33" s="4">
        <v>0</v>
      </c>
      <c r="X33" s="4">
        <v>600</v>
      </c>
      <c r="Y33" s="4">
        <v>350</v>
      </c>
      <c r="Z33" s="4">
        <v>24</v>
      </c>
      <c r="AA33" s="4" t="s">
        <v>26</v>
      </c>
      <c r="AB33" s="8">
        <v>30</v>
      </c>
      <c r="AC33" s="4" t="s">
        <v>166</v>
      </c>
      <c r="AD33" s="11" t="s">
        <v>37</v>
      </c>
      <c r="AE33" s="9" t="s">
        <v>183</v>
      </c>
      <c r="AF33" s="4" t="s">
        <v>705</v>
      </c>
    </row>
    <row r="34" spans="1:32" s="4" customFormat="1" x14ac:dyDescent="0.25">
      <c r="A34" s="4">
        <f t="shared" si="6"/>
        <v>25</v>
      </c>
      <c r="B34" s="5" t="s">
        <v>447</v>
      </c>
      <c r="C34" s="6" t="s">
        <v>169</v>
      </c>
      <c r="D34" s="4" t="s">
        <v>170</v>
      </c>
      <c r="E34" s="4" t="s">
        <v>183</v>
      </c>
      <c r="F34" s="10" t="s">
        <v>26</v>
      </c>
      <c r="G34" s="4" t="s">
        <v>8</v>
      </c>
      <c r="H34" s="4" t="s">
        <v>231</v>
      </c>
      <c r="I34" s="4" t="s">
        <v>333</v>
      </c>
      <c r="J34" s="7" t="s">
        <v>26</v>
      </c>
      <c r="K34" s="4" t="s">
        <v>26</v>
      </c>
      <c r="L34" s="7" t="s">
        <v>26</v>
      </c>
      <c r="M34" s="7" t="s">
        <v>26</v>
      </c>
      <c r="N34" s="7">
        <v>45.3</v>
      </c>
      <c r="O34" s="7">
        <f>0.09529*1000</f>
        <v>95.29</v>
      </c>
      <c r="P34" s="7">
        <f t="shared" si="3"/>
        <v>85.76100000000001</v>
      </c>
      <c r="Q34" s="7">
        <f t="shared" si="4"/>
        <v>0.47539091195298555</v>
      </c>
      <c r="R34" s="8" t="s">
        <v>26</v>
      </c>
      <c r="S34" s="8">
        <f>50.41-30.24</f>
        <v>20.169999999999998</v>
      </c>
      <c r="T34" s="4" t="str">
        <f t="shared" si="5"/>
        <v>Intermediate</v>
      </c>
      <c r="U34" s="4" t="s">
        <v>10</v>
      </c>
      <c r="V34" s="4" t="s">
        <v>51</v>
      </c>
      <c r="W34" s="4">
        <v>0</v>
      </c>
      <c r="X34" s="4">
        <v>600</v>
      </c>
      <c r="Y34" s="4">
        <v>350</v>
      </c>
      <c r="Z34" s="4">
        <v>24</v>
      </c>
      <c r="AA34" s="4" t="s">
        <v>26</v>
      </c>
      <c r="AB34" s="8">
        <v>30</v>
      </c>
      <c r="AC34" s="4" t="s">
        <v>166</v>
      </c>
      <c r="AD34" s="11" t="s">
        <v>37</v>
      </c>
      <c r="AE34" s="9" t="s">
        <v>183</v>
      </c>
      <c r="AF34" s="4" t="s">
        <v>705</v>
      </c>
    </row>
    <row r="35" spans="1:32" s="4" customFormat="1" x14ac:dyDescent="0.25">
      <c r="A35" s="4">
        <f t="shared" si="6"/>
        <v>26</v>
      </c>
      <c r="B35" s="5" t="s">
        <v>447</v>
      </c>
      <c r="C35" s="6" t="s">
        <v>171</v>
      </c>
      <c r="D35" s="4" t="s">
        <v>172</v>
      </c>
      <c r="E35" s="4" t="s">
        <v>183</v>
      </c>
      <c r="F35" s="10" t="s">
        <v>26</v>
      </c>
      <c r="G35" s="4" t="s">
        <v>8</v>
      </c>
      <c r="H35" s="4" t="s">
        <v>231</v>
      </c>
      <c r="I35" s="4" t="s">
        <v>334</v>
      </c>
      <c r="J35" s="7" t="s">
        <v>26</v>
      </c>
      <c r="K35" s="4" t="s">
        <v>26</v>
      </c>
      <c r="L35" s="7" t="s">
        <v>26</v>
      </c>
      <c r="M35" s="7" t="s">
        <v>26</v>
      </c>
      <c r="N35" s="7">
        <v>12.4</v>
      </c>
      <c r="O35" s="7">
        <f>0.0321*1000</f>
        <v>32.099999999999994</v>
      </c>
      <c r="P35" s="7">
        <f t="shared" ref="P35:P66" si="7">O35*0.9</f>
        <v>28.889999999999997</v>
      </c>
      <c r="Q35" s="7">
        <f t="shared" si="4"/>
        <v>0.38629283489096583</v>
      </c>
      <c r="R35" s="8" t="s">
        <v>26</v>
      </c>
      <c r="S35" s="8">
        <f>41.7-32.12</f>
        <v>9.5800000000000054</v>
      </c>
      <c r="T35" s="4" t="str">
        <f t="shared" si="5"/>
        <v>Fast</v>
      </c>
      <c r="U35" s="4" t="s">
        <v>10</v>
      </c>
      <c r="V35" s="4" t="s">
        <v>24</v>
      </c>
      <c r="W35" s="4">
        <v>0</v>
      </c>
      <c r="X35" s="4">
        <v>600</v>
      </c>
      <c r="Y35" s="4">
        <v>350</v>
      </c>
      <c r="Z35" s="4">
        <v>24</v>
      </c>
      <c r="AA35" s="4" t="s">
        <v>26</v>
      </c>
      <c r="AB35" s="8">
        <v>30</v>
      </c>
      <c r="AC35" s="4" t="s">
        <v>166</v>
      </c>
      <c r="AD35" s="11" t="s">
        <v>37</v>
      </c>
      <c r="AE35" s="9" t="s">
        <v>183</v>
      </c>
      <c r="AF35" s="4" t="s">
        <v>705</v>
      </c>
    </row>
    <row r="36" spans="1:32" s="4" customFormat="1" x14ac:dyDescent="0.25">
      <c r="A36" s="4">
        <f t="shared" si="6"/>
        <v>27</v>
      </c>
      <c r="B36" s="5" t="s">
        <v>447</v>
      </c>
      <c r="C36" s="6" t="s">
        <v>167</v>
      </c>
      <c r="D36" s="4" t="s">
        <v>168</v>
      </c>
      <c r="E36" s="4" t="s">
        <v>183</v>
      </c>
      <c r="F36" s="10" t="s">
        <v>26</v>
      </c>
      <c r="G36" s="4" t="s">
        <v>8</v>
      </c>
      <c r="H36" s="4" t="s">
        <v>231</v>
      </c>
      <c r="I36" s="4" t="s">
        <v>332</v>
      </c>
      <c r="J36" s="7" t="s">
        <v>26</v>
      </c>
      <c r="K36" s="4" t="s">
        <v>26</v>
      </c>
      <c r="L36" s="7" t="s">
        <v>26</v>
      </c>
      <c r="M36" s="7" t="s">
        <v>26</v>
      </c>
      <c r="N36" s="7">
        <v>54.9</v>
      </c>
      <c r="O36" s="7">
        <f>0.1289*1000</f>
        <v>128.89999999999998</v>
      </c>
      <c r="P36" s="7">
        <f t="shared" si="7"/>
        <v>116.00999999999998</v>
      </c>
      <c r="Q36" s="7">
        <f t="shared" si="4"/>
        <v>0.42591155934833208</v>
      </c>
      <c r="R36" s="8" t="s">
        <v>26</v>
      </c>
      <c r="S36" s="8">
        <f>33.29-29.4</f>
        <v>3.8900000000000006</v>
      </c>
      <c r="T36" s="4" t="str">
        <f t="shared" si="5"/>
        <v>Fast</v>
      </c>
      <c r="U36" s="4" t="s">
        <v>10</v>
      </c>
      <c r="V36" s="4" t="s">
        <v>24</v>
      </c>
      <c r="W36" s="4">
        <v>0</v>
      </c>
      <c r="X36" s="4">
        <v>600</v>
      </c>
      <c r="Y36" s="4">
        <v>350</v>
      </c>
      <c r="Z36" s="4">
        <v>24</v>
      </c>
      <c r="AA36" s="4" t="s">
        <v>26</v>
      </c>
      <c r="AB36" s="8">
        <v>30</v>
      </c>
      <c r="AC36" s="4" t="s">
        <v>166</v>
      </c>
      <c r="AD36" s="11" t="s">
        <v>37</v>
      </c>
      <c r="AE36" s="9" t="s">
        <v>183</v>
      </c>
      <c r="AF36" s="4" t="s">
        <v>705</v>
      </c>
    </row>
    <row r="37" spans="1:32" s="4" customFormat="1" x14ac:dyDescent="0.25">
      <c r="A37" s="4">
        <f t="shared" si="6"/>
        <v>28</v>
      </c>
      <c r="B37" s="5" t="s">
        <v>496</v>
      </c>
      <c r="C37" s="6" t="s">
        <v>175</v>
      </c>
      <c r="D37" s="4" t="s">
        <v>26</v>
      </c>
      <c r="E37" s="4" t="s">
        <v>183</v>
      </c>
      <c r="F37" s="10" t="s">
        <v>26</v>
      </c>
      <c r="G37" s="4" t="s">
        <v>8</v>
      </c>
      <c r="H37" s="4" t="s">
        <v>231</v>
      </c>
      <c r="I37" s="4" t="s">
        <v>335</v>
      </c>
      <c r="J37" s="7">
        <f t="shared" si="0"/>
        <v>55.07050578400743</v>
      </c>
      <c r="K37" s="4" t="str">
        <f t="shared" ref="K37:K57" si="8">IF(J37&gt;=80, "More Conserved", IF(J37&gt;=70, "Conserved", "Less Conserved"))</f>
        <v>Less Conserved</v>
      </c>
      <c r="L37" s="7">
        <v>6.5220000000000002</v>
      </c>
      <c r="M37" s="7">
        <f t="shared" ref="M37:M57" si="9">L37*0.9</f>
        <v>5.8698000000000006</v>
      </c>
      <c r="N37" s="7">
        <v>21.6</v>
      </c>
      <c r="O37" s="7">
        <v>118.43</v>
      </c>
      <c r="P37" s="7">
        <f t="shared" si="7"/>
        <v>106.587</v>
      </c>
      <c r="Q37" s="7">
        <f t="shared" si="4"/>
        <v>0.1823862197078443</v>
      </c>
      <c r="R37" s="8">
        <f>88.8-55.7</f>
        <v>33.099999999999994</v>
      </c>
      <c r="S37" s="8">
        <f>98-57.5</f>
        <v>40.5</v>
      </c>
      <c r="T37" s="4" t="str">
        <f t="shared" si="5"/>
        <v>Intermediate</v>
      </c>
      <c r="U37" s="4" t="s">
        <v>10</v>
      </c>
      <c r="V37" s="4" t="s">
        <v>24</v>
      </c>
      <c r="W37" s="4">
        <v>0</v>
      </c>
      <c r="X37" s="4">
        <v>600</v>
      </c>
      <c r="Y37" s="4">
        <v>365</v>
      </c>
      <c r="Z37" s="4">
        <v>24</v>
      </c>
      <c r="AA37" s="11">
        <v>0.55000000000000004</v>
      </c>
      <c r="AB37" s="8" t="s">
        <v>26</v>
      </c>
      <c r="AC37" s="4" t="s">
        <v>26</v>
      </c>
      <c r="AD37" s="11" t="s">
        <v>26</v>
      </c>
      <c r="AE37" s="9" t="s">
        <v>183</v>
      </c>
      <c r="AF37" s="4" t="s">
        <v>706</v>
      </c>
    </row>
    <row r="38" spans="1:32" s="4" customFormat="1" x14ac:dyDescent="0.25">
      <c r="A38" s="4">
        <f t="shared" si="6"/>
        <v>29</v>
      </c>
      <c r="B38" s="5" t="s">
        <v>496</v>
      </c>
      <c r="C38" s="6" t="s">
        <v>284</v>
      </c>
      <c r="D38" s="4" t="s">
        <v>285</v>
      </c>
      <c r="E38" s="4" t="s">
        <v>183</v>
      </c>
      <c r="F38" s="10" t="s">
        <v>26</v>
      </c>
      <c r="G38" s="4" t="s">
        <v>8</v>
      </c>
      <c r="H38" s="4" t="s">
        <v>231</v>
      </c>
      <c r="I38" s="4" t="s">
        <v>336</v>
      </c>
      <c r="J38" s="7">
        <f t="shared" si="0"/>
        <v>41.062801932367151</v>
      </c>
      <c r="K38" s="4" t="str">
        <f t="shared" si="8"/>
        <v>Less Conserved</v>
      </c>
      <c r="L38" s="7">
        <v>1.53</v>
      </c>
      <c r="M38" s="7">
        <f t="shared" si="9"/>
        <v>1.377</v>
      </c>
      <c r="N38" s="7">
        <v>9.84</v>
      </c>
      <c r="O38" s="7">
        <v>37.26</v>
      </c>
      <c r="P38" s="7">
        <f t="shared" si="7"/>
        <v>33.533999999999999</v>
      </c>
      <c r="Q38" s="7">
        <f t="shared" si="4"/>
        <v>0.2640901771336554</v>
      </c>
      <c r="R38" s="8">
        <f>40.17-29.46</f>
        <v>10.71</v>
      </c>
      <c r="S38" s="8">
        <f>42.83-31.64</f>
        <v>11.189999999999998</v>
      </c>
      <c r="T38" s="4" t="str">
        <f t="shared" si="5"/>
        <v>Fast</v>
      </c>
      <c r="U38" s="4" t="s">
        <v>10</v>
      </c>
      <c r="V38" s="4" t="s">
        <v>32</v>
      </c>
      <c r="W38" s="4">
        <v>0</v>
      </c>
      <c r="X38" s="4">
        <v>600</v>
      </c>
      <c r="Y38" s="4">
        <v>365</v>
      </c>
      <c r="Z38" s="4">
        <v>24</v>
      </c>
      <c r="AA38" s="11">
        <v>0.55000000000000004</v>
      </c>
      <c r="AB38" s="8">
        <v>50</v>
      </c>
      <c r="AC38" s="4" t="s">
        <v>166</v>
      </c>
      <c r="AD38" s="11" t="s">
        <v>37</v>
      </c>
      <c r="AE38" s="9" t="s">
        <v>183</v>
      </c>
      <c r="AF38" s="4" t="s">
        <v>706</v>
      </c>
    </row>
    <row r="39" spans="1:32" s="4" customFormat="1" x14ac:dyDescent="0.25">
      <c r="A39" s="4">
        <f t="shared" si="6"/>
        <v>30</v>
      </c>
      <c r="B39" s="5" t="s">
        <v>496</v>
      </c>
      <c r="C39" s="6" t="s">
        <v>177</v>
      </c>
      <c r="D39" s="4" t="s">
        <v>178</v>
      </c>
      <c r="E39" s="4" t="s">
        <v>183</v>
      </c>
      <c r="F39" s="10" t="s">
        <v>26</v>
      </c>
      <c r="G39" s="4" t="s">
        <v>8</v>
      </c>
      <c r="H39" s="4" t="s">
        <v>231</v>
      </c>
      <c r="I39" s="4" t="s">
        <v>337</v>
      </c>
      <c r="J39" s="7">
        <f t="shared" si="0"/>
        <v>240.96385542168673</v>
      </c>
      <c r="K39" s="4" t="str">
        <f t="shared" si="8"/>
        <v>More Conserved</v>
      </c>
      <c r="L39" s="7">
        <v>9</v>
      </c>
      <c r="M39" s="7">
        <f t="shared" si="9"/>
        <v>8.1</v>
      </c>
      <c r="N39" s="7">
        <v>10.54</v>
      </c>
      <c r="O39" s="7">
        <v>37.35</v>
      </c>
      <c r="P39" s="7">
        <f t="shared" si="7"/>
        <v>33.615000000000002</v>
      </c>
      <c r="Q39" s="7">
        <f t="shared" si="4"/>
        <v>0.28219544846050865</v>
      </c>
      <c r="R39" s="8">
        <f>66.71-49.03</f>
        <v>17.679999999999993</v>
      </c>
      <c r="S39" s="8">
        <f>69.27-47.66</f>
        <v>21.61</v>
      </c>
      <c r="T39" s="4" t="str">
        <f t="shared" si="5"/>
        <v>Intermediate</v>
      </c>
      <c r="U39" s="4" t="s">
        <v>10</v>
      </c>
      <c r="V39" s="4" t="s">
        <v>24</v>
      </c>
      <c r="W39" s="4">
        <v>0</v>
      </c>
      <c r="X39" s="4">
        <v>600</v>
      </c>
      <c r="Y39" s="4">
        <v>365</v>
      </c>
      <c r="Z39" s="4">
        <v>24</v>
      </c>
      <c r="AA39" s="11">
        <v>0.55000000000000004</v>
      </c>
      <c r="AB39" s="8">
        <v>50</v>
      </c>
      <c r="AC39" s="4" t="s">
        <v>166</v>
      </c>
      <c r="AD39" s="11" t="s">
        <v>37</v>
      </c>
      <c r="AE39" s="9" t="s">
        <v>183</v>
      </c>
      <c r="AF39" s="4" t="s">
        <v>706</v>
      </c>
    </row>
    <row r="40" spans="1:32" s="4" customFormat="1" x14ac:dyDescent="0.25">
      <c r="A40" s="4">
        <f t="shared" si="6"/>
        <v>31</v>
      </c>
      <c r="B40" s="5" t="s">
        <v>496</v>
      </c>
      <c r="C40" s="6" t="s">
        <v>173</v>
      </c>
      <c r="D40" s="4" t="s">
        <v>174</v>
      </c>
      <c r="E40" s="4" t="s">
        <v>183</v>
      </c>
      <c r="F40" s="10" t="s">
        <v>26</v>
      </c>
      <c r="G40" s="4" t="s">
        <v>8</v>
      </c>
      <c r="H40" s="4" t="s">
        <v>231</v>
      </c>
      <c r="I40" s="4" t="s">
        <v>338</v>
      </c>
      <c r="J40" s="7">
        <f t="shared" si="0"/>
        <v>53.430566967953986</v>
      </c>
      <c r="K40" s="4" t="str">
        <f t="shared" si="8"/>
        <v>Less Conserved</v>
      </c>
      <c r="L40" s="7">
        <v>5.202</v>
      </c>
      <c r="M40" s="7">
        <f t="shared" si="9"/>
        <v>4.6818</v>
      </c>
      <c r="N40" s="7">
        <v>26.5</v>
      </c>
      <c r="O40" s="7">
        <v>97.36</v>
      </c>
      <c r="P40" s="7">
        <f t="shared" si="7"/>
        <v>87.623999999999995</v>
      </c>
      <c r="Q40" s="7">
        <f t="shared" si="4"/>
        <v>0.27218570254724733</v>
      </c>
      <c r="R40" s="8">
        <f>51.4-28.1</f>
        <v>23.299999999999997</v>
      </c>
      <c r="S40" s="8">
        <f>47.2-29.3</f>
        <v>17.900000000000002</v>
      </c>
      <c r="T40" s="4" t="str">
        <f t="shared" si="5"/>
        <v>Fast</v>
      </c>
      <c r="U40" s="4" t="s">
        <v>10</v>
      </c>
      <c r="V40" s="4" t="s">
        <v>41</v>
      </c>
      <c r="W40" s="4">
        <v>0</v>
      </c>
      <c r="X40" s="4">
        <v>600</v>
      </c>
      <c r="Y40" s="4">
        <v>365</v>
      </c>
      <c r="Z40" s="4">
        <v>24</v>
      </c>
      <c r="AA40" s="11">
        <v>0.55000000000000004</v>
      </c>
      <c r="AB40" s="8" t="s">
        <v>37</v>
      </c>
      <c r="AC40" s="4" t="s">
        <v>37</v>
      </c>
      <c r="AD40" s="11" t="s">
        <v>37</v>
      </c>
      <c r="AE40" s="9" t="s">
        <v>183</v>
      </c>
      <c r="AF40" s="4" t="s">
        <v>706</v>
      </c>
    </row>
    <row r="41" spans="1:32" s="4" customFormat="1" x14ac:dyDescent="0.25">
      <c r="A41" s="4">
        <f t="shared" si="6"/>
        <v>32</v>
      </c>
      <c r="B41" s="5" t="s">
        <v>496</v>
      </c>
      <c r="C41" s="6" t="s">
        <v>176</v>
      </c>
      <c r="D41" s="4" t="s">
        <v>26</v>
      </c>
      <c r="E41" s="4" t="s">
        <v>183</v>
      </c>
      <c r="F41" s="10" t="s">
        <v>26</v>
      </c>
      <c r="G41" s="4" t="s">
        <v>8</v>
      </c>
      <c r="H41" s="4" t="s">
        <v>231</v>
      </c>
      <c r="I41" s="4" t="s">
        <v>333</v>
      </c>
      <c r="J41" s="7">
        <f t="shared" si="0"/>
        <v>46.647909967845656</v>
      </c>
      <c r="K41" s="4" t="str">
        <f t="shared" si="8"/>
        <v>Less Conserved</v>
      </c>
      <c r="L41" s="7">
        <v>5.8029999999999999</v>
      </c>
      <c r="M41" s="7">
        <f t="shared" si="9"/>
        <v>5.2226999999999997</v>
      </c>
      <c r="N41" s="7">
        <v>18.8</v>
      </c>
      <c r="O41" s="7">
        <v>124.4</v>
      </c>
      <c r="P41" s="7">
        <f t="shared" si="7"/>
        <v>111.96000000000001</v>
      </c>
      <c r="Q41" s="7">
        <f t="shared" si="4"/>
        <v>0.15112540192926044</v>
      </c>
      <c r="R41" s="8">
        <f>44.87-28.44</f>
        <v>16.429999999999996</v>
      </c>
      <c r="S41" s="8">
        <f>49.6-28.99</f>
        <v>20.610000000000003</v>
      </c>
      <c r="T41" s="4" t="str">
        <f t="shared" si="5"/>
        <v>Intermediate</v>
      </c>
      <c r="U41" s="4" t="s">
        <v>10</v>
      </c>
      <c r="V41" s="4" t="s">
        <v>41</v>
      </c>
      <c r="W41" s="4">
        <v>0</v>
      </c>
      <c r="X41" s="4">
        <v>600</v>
      </c>
      <c r="Y41" s="4">
        <v>365</v>
      </c>
      <c r="Z41" s="4">
        <v>24</v>
      </c>
      <c r="AA41" s="11">
        <v>0.55000000000000004</v>
      </c>
      <c r="AB41" s="8">
        <v>50</v>
      </c>
      <c r="AC41" s="4" t="s">
        <v>166</v>
      </c>
      <c r="AD41" s="11" t="s">
        <v>37</v>
      </c>
      <c r="AE41" s="9" t="s">
        <v>183</v>
      </c>
      <c r="AF41" s="4" t="s">
        <v>706</v>
      </c>
    </row>
    <row r="42" spans="1:32" s="4" customFormat="1" x14ac:dyDescent="0.25">
      <c r="A42" s="4">
        <f t="shared" si="6"/>
        <v>33</v>
      </c>
      <c r="B42" s="5" t="s">
        <v>579</v>
      </c>
      <c r="C42" s="12" t="s">
        <v>199</v>
      </c>
      <c r="D42" s="4" t="s">
        <v>200</v>
      </c>
      <c r="E42" s="4" t="s">
        <v>182</v>
      </c>
      <c r="F42" s="4" t="s">
        <v>202</v>
      </c>
      <c r="G42" s="4" t="s">
        <v>9</v>
      </c>
      <c r="H42" s="4" t="s">
        <v>233</v>
      </c>
      <c r="I42" s="4" t="s">
        <v>580</v>
      </c>
      <c r="J42" s="7">
        <f t="shared" si="0"/>
        <v>104.63333333333334</v>
      </c>
      <c r="K42" s="4" t="str">
        <f t="shared" si="8"/>
        <v>More Conserved</v>
      </c>
      <c r="L42" s="7">
        <v>15.695</v>
      </c>
      <c r="M42" s="7">
        <f t="shared" si="9"/>
        <v>14.125500000000001</v>
      </c>
      <c r="N42" s="7">
        <v>37</v>
      </c>
      <c r="O42" s="7">
        <v>150</v>
      </c>
      <c r="P42" s="7">
        <f t="shared" si="7"/>
        <v>135</v>
      </c>
      <c r="Q42" s="7">
        <f t="shared" si="4"/>
        <v>0.24666666666666667</v>
      </c>
      <c r="R42" s="8">
        <v>23.1</v>
      </c>
      <c r="S42" s="8">
        <v>41.9</v>
      </c>
      <c r="T42" s="4" t="str">
        <f t="shared" si="5"/>
        <v>Intermediate</v>
      </c>
      <c r="U42" s="4" t="s">
        <v>10</v>
      </c>
      <c r="V42" s="4" t="s">
        <v>32</v>
      </c>
      <c r="W42" s="4">
        <v>100</v>
      </c>
      <c r="X42" s="4">
        <v>1000</v>
      </c>
      <c r="Y42" s="4">
        <v>400</v>
      </c>
      <c r="Z42" s="4">
        <v>25</v>
      </c>
      <c r="AA42" s="4" t="s">
        <v>309</v>
      </c>
      <c r="AB42" s="8">
        <v>350</v>
      </c>
      <c r="AC42" s="4" t="s">
        <v>201</v>
      </c>
      <c r="AD42" s="11">
        <v>0.7</v>
      </c>
      <c r="AE42" s="5" t="s">
        <v>182</v>
      </c>
    </row>
    <row r="43" spans="1:32" s="4" customFormat="1" x14ac:dyDescent="0.25">
      <c r="A43" s="4">
        <f t="shared" si="6"/>
        <v>33</v>
      </c>
      <c r="B43" s="5" t="s">
        <v>579</v>
      </c>
      <c r="C43" s="12" t="s">
        <v>199</v>
      </c>
      <c r="D43" s="4" t="s">
        <v>200</v>
      </c>
      <c r="E43" s="4" t="s">
        <v>182</v>
      </c>
      <c r="F43" s="4" t="s">
        <v>203</v>
      </c>
      <c r="G43" s="4" t="s">
        <v>9</v>
      </c>
      <c r="H43" s="4" t="s">
        <v>233</v>
      </c>
      <c r="I43" s="4" t="s">
        <v>580</v>
      </c>
      <c r="J43" s="7">
        <f t="shared" si="0"/>
        <v>111.97857142857141</v>
      </c>
      <c r="K43" s="4" t="str">
        <f t="shared" si="8"/>
        <v>More Conserved</v>
      </c>
      <c r="L43" s="7">
        <v>15.677</v>
      </c>
      <c r="M43" s="7">
        <f t="shared" si="9"/>
        <v>14.109299999999999</v>
      </c>
      <c r="N43" s="7">
        <v>23</v>
      </c>
      <c r="O43" s="7">
        <v>140</v>
      </c>
      <c r="P43" s="7">
        <f t="shared" si="7"/>
        <v>126</v>
      </c>
      <c r="Q43" s="7">
        <f t="shared" si="4"/>
        <v>0.16428571428571428</v>
      </c>
      <c r="R43" s="8">
        <v>39.799999999999997</v>
      </c>
      <c r="S43" s="8">
        <v>56.6</v>
      </c>
      <c r="T43" s="4" t="str">
        <f t="shared" si="5"/>
        <v>Slow</v>
      </c>
      <c r="U43" s="4" t="s">
        <v>10</v>
      </c>
      <c r="V43" s="4" t="s">
        <v>32</v>
      </c>
      <c r="W43" s="4">
        <v>100</v>
      </c>
      <c r="X43" s="4">
        <v>1000</v>
      </c>
      <c r="Y43" s="4">
        <v>400</v>
      </c>
      <c r="Z43" s="4">
        <v>25</v>
      </c>
      <c r="AA43" s="4" t="s">
        <v>309</v>
      </c>
      <c r="AB43" s="8">
        <v>350</v>
      </c>
      <c r="AC43" s="4" t="s">
        <v>201</v>
      </c>
      <c r="AD43" s="11">
        <v>0.7</v>
      </c>
      <c r="AE43" s="5" t="s">
        <v>182</v>
      </c>
    </row>
    <row r="44" spans="1:32" s="4" customFormat="1" x14ac:dyDescent="0.25">
      <c r="A44" s="4">
        <f t="shared" si="6"/>
        <v>33</v>
      </c>
      <c r="B44" s="5" t="s">
        <v>579</v>
      </c>
      <c r="C44" s="12" t="s">
        <v>199</v>
      </c>
      <c r="D44" s="4" t="s">
        <v>200</v>
      </c>
      <c r="E44" s="4" t="s">
        <v>182</v>
      </c>
      <c r="F44" s="4" t="s">
        <v>204</v>
      </c>
      <c r="G44" s="4" t="s">
        <v>9</v>
      </c>
      <c r="H44" s="4" t="s">
        <v>233</v>
      </c>
      <c r="I44" s="4" t="s">
        <v>580</v>
      </c>
      <c r="J44" s="7">
        <f t="shared" si="0"/>
        <v>102.91250000000001</v>
      </c>
      <c r="K44" s="4" t="str">
        <f t="shared" si="8"/>
        <v>More Conserved</v>
      </c>
      <c r="L44" s="7">
        <v>16.466000000000001</v>
      </c>
      <c r="M44" s="7">
        <f t="shared" si="9"/>
        <v>14.819400000000002</v>
      </c>
      <c r="N44" s="7">
        <v>30</v>
      </c>
      <c r="O44" s="7">
        <v>160</v>
      </c>
      <c r="P44" s="7">
        <f t="shared" si="7"/>
        <v>144</v>
      </c>
      <c r="Q44" s="7">
        <f t="shared" si="4"/>
        <v>0.1875</v>
      </c>
      <c r="R44" s="8">
        <v>31.3</v>
      </c>
      <c r="S44" s="8">
        <v>40.200000000000003</v>
      </c>
      <c r="T44" s="4" t="str">
        <f t="shared" si="5"/>
        <v>Intermediate</v>
      </c>
      <c r="U44" s="4" t="s">
        <v>10</v>
      </c>
      <c r="V44" s="4" t="s">
        <v>32</v>
      </c>
      <c r="W44" s="4">
        <v>100</v>
      </c>
      <c r="X44" s="4">
        <v>1000</v>
      </c>
      <c r="Y44" s="4">
        <v>400</v>
      </c>
      <c r="Z44" s="4">
        <v>25</v>
      </c>
      <c r="AA44" s="4" t="s">
        <v>309</v>
      </c>
      <c r="AB44" s="8">
        <v>350</v>
      </c>
      <c r="AC44" s="4" t="s">
        <v>201</v>
      </c>
      <c r="AD44" s="11">
        <v>0.7</v>
      </c>
      <c r="AE44" s="5" t="s">
        <v>182</v>
      </c>
    </row>
    <row r="45" spans="1:32" s="4" customFormat="1" x14ac:dyDescent="0.25">
      <c r="A45" s="4">
        <f t="shared" si="6"/>
        <v>33</v>
      </c>
      <c r="B45" s="5" t="s">
        <v>579</v>
      </c>
      <c r="C45" s="12" t="s">
        <v>199</v>
      </c>
      <c r="D45" s="4" t="s">
        <v>200</v>
      </c>
      <c r="E45" s="4" t="s">
        <v>182</v>
      </c>
      <c r="F45" s="4" t="s">
        <v>205</v>
      </c>
      <c r="G45" s="4" t="s">
        <v>9</v>
      </c>
      <c r="H45" s="4" t="s">
        <v>233</v>
      </c>
      <c r="I45" s="4" t="s">
        <v>580</v>
      </c>
      <c r="J45" s="7">
        <f t="shared" si="0"/>
        <v>107.97333333333334</v>
      </c>
      <c r="K45" s="4" t="str">
        <f t="shared" si="8"/>
        <v>More Conserved</v>
      </c>
      <c r="L45" s="7">
        <v>16.196000000000002</v>
      </c>
      <c r="M45" s="7">
        <f t="shared" si="9"/>
        <v>14.576400000000001</v>
      </c>
      <c r="N45" s="7">
        <v>40</v>
      </c>
      <c r="O45" s="7">
        <v>150</v>
      </c>
      <c r="P45" s="7">
        <f t="shared" si="7"/>
        <v>135</v>
      </c>
      <c r="Q45" s="7">
        <f t="shared" si="4"/>
        <v>0.26666666666666666</v>
      </c>
      <c r="R45" s="8">
        <v>27.9</v>
      </c>
      <c r="S45" s="8">
        <v>53</v>
      </c>
      <c r="T45" s="4" t="str">
        <f t="shared" si="5"/>
        <v>Slow</v>
      </c>
      <c r="U45" s="4" t="s">
        <v>10</v>
      </c>
      <c r="V45" s="4" t="s">
        <v>32</v>
      </c>
      <c r="W45" s="4">
        <v>100</v>
      </c>
      <c r="X45" s="4">
        <v>1000</v>
      </c>
      <c r="Y45" s="4">
        <v>400</v>
      </c>
      <c r="Z45" s="4">
        <v>25</v>
      </c>
      <c r="AA45" s="4" t="s">
        <v>309</v>
      </c>
      <c r="AB45" s="8">
        <v>350</v>
      </c>
      <c r="AC45" s="4" t="s">
        <v>201</v>
      </c>
      <c r="AD45" s="11">
        <v>0.7</v>
      </c>
      <c r="AE45" s="5" t="s">
        <v>182</v>
      </c>
    </row>
    <row r="46" spans="1:32" s="4" customFormat="1" x14ac:dyDescent="0.25">
      <c r="A46" s="4">
        <f t="shared" si="6"/>
        <v>33</v>
      </c>
      <c r="B46" s="5" t="s">
        <v>579</v>
      </c>
      <c r="C46" s="12" t="s">
        <v>199</v>
      </c>
      <c r="D46" s="4" t="s">
        <v>200</v>
      </c>
      <c r="E46" s="4" t="s">
        <v>182</v>
      </c>
      <c r="F46" s="4" t="s">
        <v>206</v>
      </c>
      <c r="G46" s="4" t="s">
        <v>9</v>
      </c>
      <c r="H46" s="4" t="s">
        <v>233</v>
      </c>
      <c r="I46" s="4" t="s">
        <v>580</v>
      </c>
      <c r="J46" s="7">
        <f t="shared" si="0"/>
        <v>102.88571428571427</v>
      </c>
      <c r="K46" s="4" t="str">
        <f t="shared" si="8"/>
        <v>More Conserved</v>
      </c>
      <c r="L46" s="7">
        <v>14.404</v>
      </c>
      <c r="M46" s="7">
        <f t="shared" si="9"/>
        <v>12.9636</v>
      </c>
      <c r="N46" s="7">
        <v>25</v>
      </c>
      <c r="O46" s="7">
        <v>140</v>
      </c>
      <c r="P46" s="7">
        <f t="shared" si="7"/>
        <v>126</v>
      </c>
      <c r="Q46" s="7">
        <f t="shared" si="4"/>
        <v>0.17857142857142858</v>
      </c>
      <c r="R46" s="8">
        <v>19.399999999999999</v>
      </c>
      <c r="S46" s="8">
        <v>35.9</v>
      </c>
      <c r="T46" s="4" t="str">
        <f t="shared" si="5"/>
        <v>Intermediate</v>
      </c>
      <c r="U46" s="4" t="s">
        <v>10</v>
      </c>
      <c r="V46" s="4" t="s">
        <v>32</v>
      </c>
      <c r="W46" s="4">
        <v>100</v>
      </c>
      <c r="X46" s="4">
        <v>1000</v>
      </c>
      <c r="Y46" s="4">
        <v>400</v>
      </c>
      <c r="Z46" s="4">
        <v>25</v>
      </c>
      <c r="AA46" s="4" t="s">
        <v>309</v>
      </c>
      <c r="AB46" s="8">
        <v>350</v>
      </c>
      <c r="AC46" s="4" t="s">
        <v>201</v>
      </c>
      <c r="AD46" s="11">
        <v>0.7</v>
      </c>
      <c r="AE46" s="5" t="s">
        <v>182</v>
      </c>
    </row>
    <row r="47" spans="1:32" s="4" customFormat="1" x14ac:dyDescent="0.25">
      <c r="A47" s="4">
        <f t="shared" si="6"/>
        <v>34</v>
      </c>
      <c r="B47" s="5" t="s">
        <v>448</v>
      </c>
      <c r="C47" s="6" t="s">
        <v>44</v>
      </c>
      <c r="D47" s="4" t="s">
        <v>43</v>
      </c>
      <c r="E47" s="4" t="s">
        <v>182</v>
      </c>
      <c r="F47" s="10" t="s">
        <v>440</v>
      </c>
      <c r="G47" s="4" t="s">
        <v>9</v>
      </c>
      <c r="H47" s="4" t="s">
        <v>233</v>
      </c>
      <c r="I47" s="4" t="s">
        <v>331</v>
      </c>
      <c r="J47" s="7">
        <f t="shared" si="0"/>
        <v>37.024481197181387</v>
      </c>
      <c r="K47" s="4" t="str">
        <f t="shared" si="8"/>
        <v>Less Conserved</v>
      </c>
      <c r="L47" s="7">
        <v>15.29</v>
      </c>
      <c r="M47" s="7">
        <f t="shared" si="9"/>
        <v>13.760999999999999</v>
      </c>
      <c r="N47" s="7" t="s">
        <v>26</v>
      </c>
      <c r="O47" s="7">
        <v>412.97</v>
      </c>
      <c r="P47" s="7">
        <f t="shared" si="7"/>
        <v>371.67300000000006</v>
      </c>
      <c r="Q47" s="7" t="s">
        <v>26</v>
      </c>
      <c r="R47" s="8">
        <f>23.793/95*90</f>
        <v>22.540736842105265</v>
      </c>
      <c r="S47" s="8" t="s">
        <v>26</v>
      </c>
      <c r="T47" s="4" t="s">
        <v>26</v>
      </c>
      <c r="U47" s="4" t="s">
        <v>10</v>
      </c>
      <c r="V47" s="4" t="s">
        <v>41</v>
      </c>
      <c r="W47" s="4">
        <v>100</v>
      </c>
      <c r="X47" s="4">
        <v>1500</v>
      </c>
      <c r="Y47" s="4">
        <v>400</v>
      </c>
      <c r="Z47" s="4">
        <v>20</v>
      </c>
      <c r="AA47" s="4" t="s">
        <v>309</v>
      </c>
      <c r="AB47" s="8">
        <v>300</v>
      </c>
      <c r="AC47" s="4" t="s">
        <v>179</v>
      </c>
      <c r="AD47" s="11">
        <v>0.6</v>
      </c>
      <c r="AE47" s="5" t="s">
        <v>182</v>
      </c>
      <c r="AF47" s="4" t="s">
        <v>526</v>
      </c>
    </row>
    <row r="48" spans="1:32" s="4" customFormat="1" x14ac:dyDescent="0.25">
      <c r="A48" s="4">
        <f t="shared" si="6"/>
        <v>34</v>
      </c>
      <c r="B48" s="5" t="s">
        <v>448</v>
      </c>
      <c r="C48" s="6" t="s">
        <v>44</v>
      </c>
      <c r="D48" s="4" t="s">
        <v>43</v>
      </c>
      <c r="E48" s="4" t="s">
        <v>182</v>
      </c>
      <c r="F48" s="10" t="s">
        <v>433</v>
      </c>
      <c r="G48" s="4" t="s">
        <v>9</v>
      </c>
      <c r="H48" s="4" t="s">
        <v>233</v>
      </c>
      <c r="I48" s="4" t="s">
        <v>331</v>
      </c>
      <c r="J48" s="7">
        <f t="shared" si="0"/>
        <v>53.458658854166671</v>
      </c>
      <c r="K48" s="4" t="str">
        <f t="shared" si="8"/>
        <v>Less Conserved</v>
      </c>
      <c r="L48" s="7">
        <v>26.276</v>
      </c>
      <c r="M48" s="7">
        <f t="shared" si="9"/>
        <v>23.648399999999999</v>
      </c>
      <c r="N48" s="7" t="s">
        <v>26</v>
      </c>
      <c r="O48" s="7">
        <v>491.52</v>
      </c>
      <c r="P48" s="7">
        <f t="shared" si="7"/>
        <v>442.36799999999999</v>
      </c>
      <c r="Q48" s="7" t="s">
        <v>26</v>
      </c>
      <c r="R48" s="8">
        <f>21.132/95*90</f>
        <v>20.019789473684213</v>
      </c>
      <c r="S48" s="8" t="s">
        <v>26</v>
      </c>
      <c r="T48" s="4" t="s">
        <v>26</v>
      </c>
      <c r="U48" s="4" t="s">
        <v>10</v>
      </c>
      <c r="V48" s="4" t="s">
        <v>41</v>
      </c>
      <c r="W48" s="4">
        <v>100</v>
      </c>
      <c r="X48" s="4">
        <v>1500</v>
      </c>
      <c r="Y48" s="4">
        <v>400</v>
      </c>
      <c r="Z48" s="4">
        <v>20</v>
      </c>
      <c r="AA48" s="4" t="s">
        <v>309</v>
      </c>
      <c r="AB48" s="8">
        <v>300</v>
      </c>
      <c r="AC48" s="4" t="s">
        <v>179</v>
      </c>
      <c r="AD48" s="11">
        <v>0.6</v>
      </c>
      <c r="AE48" s="5" t="s">
        <v>182</v>
      </c>
      <c r="AF48" s="4" t="s">
        <v>526</v>
      </c>
    </row>
    <row r="49" spans="1:32" s="4" customFormat="1" x14ac:dyDescent="0.25">
      <c r="A49" s="4">
        <f t="shared" si="6"/>
        <v>34</v>
      </c>
      <c r="B49" s="5" t="s">
        <v>448</v>
      </c>
      <c r="C49" s="6" t="s">
        <v>44</v>
      </c>
      <c r="D49" s="4" t="s">
        <v>43</v>
      </c>
      <c r="E49" s="4" t="s">
        <v>182</v>
      </c>
      <c r="F49" s="10" t="s">
        <v>434</v>
      </c>
      <c r="G49" s="4" t="s">
        <v>9</v>
      </c>
      <c r="H49" s="4" t="s">
        <v>233</v>
      </c>
      <c r="I49" s="4" t="s">
        <v>331</v>
      </c>
      <c r="J49" s="7">
        <f t="shared" si="0"/>
        <v>46.006683375104423</v>
      </c>
      <c r="K49" s="4" t="str">
        <f t="shared" si="8"/>
        <v>Less Conserved</v>
      </c>
      <c r="L49" s="7">
        <v>16.521000000000001</v>
      </c>
      <c r="M49" s="7">
        <f t="shared" si="9"/>
        <v>14.868900000000002</v>
      </c>
      <c r="N49" s="7" t="s">
        <v>26</v>
      </c>
      <c r="O49" s="7">
        <v>359.1</v>
      </c>
      <c r="P49" s="7">
        <f t="shared" si="7"/>
        <v>323.19000000000005</v>
      </c>
      <c r="Q49" s="7" t="s">
        <v>26</v>
      </c>
      <c r="R49" s="8">
        <f>12.101/95*90</f>
        <v>11.464105263157895</v>
      </c>
      <c r="S49" s="8" t="s">
        <v>26</v>
      </c>
      <c r="T49" s="4" t="s">
        <v>26</v>
      </c>
      <c r="U49" s="4" t="s">
        <v>10</v>
      </c>
      <c r="V49" s="4" t="s">
        <v>41</v>
      </c>
      <c r="W49" s="4">
        <v>100</v>
      </c>
      <c r="X49" s="4">
        <v>1500</v>
      </c>
      <c r="Y49" s="4">
        <v>400</v>
      </c>
      <c r="Z49" s="4">
        <v>20</v>
      </c>
      <c r="AA49" s="4" t="s">
        <v>309</v>
      </c>
      <c r="AB49" s="8">
        <v>300</v>
      </c>
      <c r="AC49" s="4" t="s">
        <v>179</v>
      </c>
      <c r="AD49" s="11">
        <v>0.6</v>
      </c>
      <c r="AE49" s="5" t="s">
        <v>182</v>
      </c>
      <c r="AF49" s="4" t="s">
        <v>526</v>
      </c>
    </row>
    <row r="50" spans="1:32" s="4" customFormat="1" x14ac:dyDescent="0.25">
      <c r="A50" s="4">
        <f t="shared" si="6"/>
        <v>34</v>
      </c>
      <c r="B50" s="5" t="s">
        <v>448</v>
      </c>
      <c r="C50" s="6" t="s">
        <v>44</v>
      </c>
      <c r="D50" s="4" t="s">
        <v>43</v>
      </c>
      <c r="E50" s="4" t="s">
        <v>182</v>
      </c>
      <c r="F50" s="10" t="s">
        <v>439</v>
      </c>
      <c r="G50" s="4" t="s">
        <v>9</v>
      </c>
      <c r="H50" s="4" t="s">
        <v>233</v>
      </c>
      <c r="I50" s="4" t="s">
        <v>331</v>
      </c>
      <c r="J50" s="7">
        <f t="shared" si="0"/>
        <v>33.852140077821012</v>
      </c>
      <c r="K50" s="4" t="str">
        <f t="shared" si="8"/>
        <v>Less Conserved</v>
      </c>
      <c r="L50" s="7">
        <v>16.791</v>
      </c>
      <c r="M50" s="7">
        <f t="shared" si="9"/>
        <v>15.1119</v>
      </c>
      <c r="N50" s="7" t="s">
        <v>26</v>
      </c>
      <c r="O50" s="7">
        <v>496.01</v>
      </c>
      <c r="P50" s="7">
        <f t="shared" si="7"/>
        <v>446.40899999999999</v>
      </c>
      <c r="Q50" s="7" t="s">
        <v>26</v>
      </c>
      <c r="R50" s="8">
        <f>13.022/95*90</f>
        <v>12.336631578947369</v>
      </c>
      <c r="S50" s="8" t="s">
        <v>26</v>
      </c>
      <c r="T50" s="4" t="s">
        <v>26</v>
      </c>
      <c r="U50" s="4" t="s">
        <v>10</v>
      </c>
      <c r="V50" s="4" t="s">
        <v>41</v>
      </c>
      <c r="W50" s="4">
        <v>100</v>
      </c>
      <c r="X50" s="4">
        <v>1500</v>
      </c>
      <c r="Y50" s="4">
        <v>400</v>
      </c>
      <c r="Z50" s="4">
        <v>20</v>
      </c>
      <c r="AA50" s="4" t="s">
        <v>309</v>
      </c>
      <c r="AB50" s="8">
        <v>300</v>
      </c>
      <c r="AC50" s="4" t="s">
        <v>179</v>
      </c>
      <c r="AD50" s="11">
        <v>0.6</v>
      </c>
      <c r="AE50" s="5" t="s">
        <v>182</v>
      </c>
      <c r="AF50" s="4" t="s">
        <v>526</v>
      </c>
    </row>
    <row r="51" spans="1:32" s="4" customFormat="1" x14ac:dyDescent="0.25">
      <c r="A51" s="4">
        <f t="shared" si="6"/>
        <v>34</v>
      </c>
      <c r="B51" s="5" t="s">
        <v>448</v>
      </c>
      <c r="C51" s="6" t="s">
        <v>44</v>
      </c>
      <c r="D51" s="4" t="s">
        <v>43</v>
      </c>
      <c r="E51" s="4" t="s">
        <v>182</v>
      </c>
      <c r="F51" s="10" t="s">
        <v>435</v>
      </c>
      <c r="G51" s="4" t="s">
        <v>9</v>
      </c>
      <c r="H51" s="4" t="s">
        <v>233</v>
      </c>
      <c r="I51" s="4" t="s">
        <v>331</v>
      </c>
      <c r="J51" s="7">
        <f t="shared" si="0"/>
        <v>48.973697148475914</v>
      </c>
      <c r="K51" s="4" t="str">
        <f t="shared" si="8"/>
        <v>Less Conserved</v>
      </c>
      <c r="L51" s="7">
        <v>15.938000000000001</v>
      </c>
      <c r="M51" s="7">
        <f t="shared" si="9"/>
        <v>14.344200000000001</v>
      </c>
      <c r="N51" s="7" t="s">
        <v>26</v>
      </c>
      <c r="O51" s="7">
        <v>325.44</v>
      </c>
      <c r="P51" s="7">
        <f t="shared" si="7"/>
        <v>292.89600000000002</v>
      </c>
      <c r="Q51" s="7" t="s">
        <v>26</v>
      </c>
      <c r="R51" s="8">
        <f>16.728/95*90</f>
        <v>15.847578947368424</v>
      </c>
      <c r="S51" s="8" t="s">
        <v>26</v>
      </c>
      <c r="T51" s="4" t="s">
        <v>26</v>
      </c>
      <c r="U51" s="4" t="s">
        <v>10</v>
      </c>
      <c r="V51" s="4" t="s">
        <v>41</v>
      </c>
      <c r="W51" s="4">
        <v>100</v>
      </c>
      <c r="X51" s="4">
        <v>1500</v>
      </c>
      <c r="Y51" s="4">
        <v>400</v>
      </c>
      <c r="Z51" s="4">
        <v>20</v>
      </c>
      <c r="AA51" s="4" t="s">
        <v>309</v>
      </c>
      <c r="AB51" s="8">
        <v>300</v>
      </c>
      <c r="AC51" s="4" t="s">
        <v>179</v>
      </c>
      <c r="AD51" s="11">
        <v>0.6</v>
      </c>
      <c r="AE51" s="5" t="s">
        <v>182</v>
      </c>
      <c r="AF51" s="4" t="s">
        <v>526</v>
      </c>
    </row>
    <row r="52" spans="1:32" s="4" customFormat="1" x14ac:dyDescent="0.25">
      <c r="A52" s="4">
        <f t="shared" si="6"/>
        <v>34</v>
      </c>
      <c r="B52" s="5" t="s">
        <v>448</v>
      </c>
      <c r="C52" s="6" t="s">
        <v>44</v>
      </c>
      <c r="D52" s="4" t="s">
        <v>43</v>
      </c>
      <c r="E52" s="4" t="s">
        <v>182</v>
      </c>
      <c r="F52" s="10" t="s">
        <v>436</v>
      </c>
      <c r="G52" s="4" t="s">
        <v>9</v>
      </c>
      <c r="H52" s="4" t="s">
        <v>233</v>
      </c>
      <c r="I52" s="4" t="s">
        <v>331</v>
      </c>
      <c r="J52" s="7">
        <f t="shared" si="0"/>
        <v>51.95768512756689</v>
      </c>
      <c r="K52" s="4" t="str">
        <f t="shared" si="8"/>
        <v>Less Conserved</v>
      </c>
      <c r="L52" s="7">
        <v>20.873999999999999</v>
      </c>
      <c r="M52" s="7">
        <f t="shared" si="9"/>
        <v>18.7866</v>
      </c>
      <c r="N52" s="7" t="s">
        <v>26</v>
      </c>
      <c r="O52" s="7">
        <v>401.75</v>
      </c>
      <c r="P52" s="7">
        <f t="shared" si="7"/>
        <v>361.57499999999999</v>
      </c>
      <c r="Q52" s="7" t="s">
        <v>26</v>
      </c>
      <c r="R52" s="8">
        <f>19.539/95*90</f>
        <v>18.510631578947372</v>
      </c>
      <c r="S52" s="8" t="s">
        <v>26</v>
      </c>
      <c r="T52" s="4" t="s">
        <v>26</v>
      </c>
      <c r="U52" s="4" t="s">
        <v>10</v>
      </c>
      <c r="V52" s="4" t="s">
        <v>41</v>
      </c>
      <c r="W52" s="4">
        <v>100</v>
      </c>
      <c r="X52" s="4">
        <v>1500</v>
      </c>
      <c r="Y52" s="4">
        <v>400</v>
      </c>
      <c r="Z52" s="4">
        <v>20</v>
      </c>
      <c r="AA52" s="4" t="s">
        <v>309</v>
      </c>
      <c r="AB52" s="8">
        <v>300</v>
      </c>
      <c r="AC52" s="4" t="s">
        <v>179</v>
      </c>
      <c r="AD52" s="11">
        <v>0.6</v>
      </c>
      <c r="AE52" s="5" t="s">
        <v>182</v>
      </c>
      <c r="AF52" s="4" t="s">
        <v>526</v>
      </c>
    </row>
    <row r="53" spans="1:32" s="4" customFormat="1" x14ac:dyDescent="0.25">
      <c r="A53" s="4">
        <f t="shared" si="6"/>
        <v>34</v>
      </c>
      <c r="B53" s="5" t="s">
        <v>448</v>
      </c>
      <c r="C53" s="6" t="s">
        <v>44</v>
      </c>
      <c r="D53" s="4" t="s">
        <v>43</v>
      </c>
      <c r="E53" s="4" t="s">
        <v>182</v>
      </c>
      <c r="F53" s="10" t="s">
        <v>437</v>
      </c>
      <c r="G53" s="4" t="s">
        <v>9</v>
      </c>
      <c r="H53" s="4" t="s">
        <v>233</v>
      </c>
      <c r="I53" s="4" t="s">
        <v>331</v>
      </c>
      <c r="J53" s="7">
        <f t="shared" si="0"/>
        <v>42.364449506708432</v>
      </c>
      <c r="K53" s="4" t="str">
        <f t="shared" si="8"/>
        <v>Less Conserved</v>
      </c>
      <c r="L53" s="7">
        <v>25.292000000000002</v>
      </c>
      <c r="M53" s="7">
        <f t="shared" si="9"/>
        <v>22.762800000000002</v>
      </c>
      <c r="N53" s="7" t="s">
        <v>26</v>
      </c>
      <c r="O53" s="7">
        <v>597.01</v>
      </c>
      <c r="P53" s="7">
        <f t="shared" si="7"/>
        <v>537.30899999999997</v>
      </c>
      <c r="Q53" s="7" t="s">
        <v>26</v>
      </c>
      <c r="R53" s="8">
        <f>11.005/95*90</f>
        <v>10.42578947368421</v>
      </c>
      <c r="S53" s="8" t="s">
        <v>26</v>
      </c>
      <c r="T53" s="4" t="s">
        <v>26</v>
      </c>
      <c r="U53" s="4" t="s">
        <v>10</v>
      </c>
      <c r="V53" s="4" t="s">
        <v>41</v>
      </c>
      <c r="W53" s="4">
        <v>100</v>
      </c>
      <c r="X53" s="4">
        <v>1500</v>
      </c>
      <c r="Y53" s="4">
        <v>400</v>
      </c>
      <c r="Z53" s="4">
        <v>20</v>
      </c>
      <c r="AA53" s="4" t="s">
        <v>309</v>
      </c>
      <c r="AB53" s="8">
        <v>300</v>
      </c>
      <c r="AC53" s="4" t="s">
        <v>179</v>
      </c>
      <c r="AD53" s="11">
        <v>0.6</v>
      </c>
      <c r="AE53" s="5" t="s">
        <v>182</v>
      </c>
      <c r="AF53" s="4" t="s">
        <v>526</v>
      </c>
    </row>
    <row r="54" spans="1:32" s="4" customFormat="1" x14ac:dyDescent="0.25">
      <c r="A54" s="4">
        <f t="shared" si="6"/>
        <v>34</v>
      </c>
      <c r="B54" s="5" t="s">
        <v>448</v>
      </c>
      <c r="C54" s="6" t="s">
        <v>44</v>
      </c>
      <c r="D54" s="4" t="s">
        <v>43</v>
      </c>
      <c r="E54" s="4" t="s">
        <v>182</v>
      </c>
      <c r="F54" s="10" t="s">
        <v>438</v>
      </c>
      <c r="G54" s="4" t="s">
        <v>9</v>
      </c>
      <c r="H54" s="4" t="s">
        <v>233</v>
      </c>
      <c r="I54" s="4" t="s">
        <v>331</v>
      </c>
      <c r="J54" s="7">
        <f t="shared" si="0"/>
        <v>50.943430261923659</v>
      </c>
      <c r="K54" s="4" t="str">
        <f t="shared" si="8"/>
        <v>Less Conserved</v>
      </c>
      <c r="L54" s="7">
        <v>28.241</v>
      </c>
      <c r="M54" s="7">
        <f t="shared" si="9"/>
        <v>25.416900000000002</v>
      </c>
      <c r="N54" s="7" t="s">
        <v>26</v>
      </c>
      <c r="O54" s="7">
        <v>554.36</v>
      </c>
      <c r="P54" s="7">
        <f t="shared" si="7"/>
        <v>498.92400000000004</v>
      </c>
      <c r="Q54" s="7" t="s">
        <v>26</v>
      </c>
      <c r="R54" s="8">
        <f>21.48/95*90</f>
        <v>20.349473684210526</v>
      </c>
      <c r="S54" s="8" t="s">
        <v>26</v>
      </c>
      <c r="T54" s="4" t="s">
        <v>26</v>
      </c>
      <c r="U54" s="4" t="s">
        <v>10</v>
      </c>
      <c r="V54" s="4" t="s">
        <v>41</v>
      </c>
      <c r="W54" s="4">
        <v>100</v>
      </c>
      <c r="X54" s="4">
        <v>1500</v>
      </c>
      <c r="Y54" s="4">
        <v>400</v>
      </c>
      <c r="Z54" s="4">
        <v>20</v>
      </c>
      <c r="AA54" s="4" t="s">
        <v>309</v>
      </c>
      <c r="AB54" s="8">
        <v>300</v>
      </c>
      <c r="AC54" s="4" t="s">
        <v>179</v>
      </c>
      <c r="AD54" s="11">
        <v>0.6</v>
      </c>
      <c r="AE54" s="5" t="s">
        <v>182</v>
      </c>
      <c r="AF54" s="4" t="s">
        <v>526</v>
      </c>
    </row>
    <row r="55" spans="1:32" s="4" customFormat="1" x14ac:dyDescent="0.25">
      <c r="A55" s="4">
        <f t="shared" si="6"/>
        <v>35</v>
      </c>
      <c r="B55" s="5" t="s">
        <v>490</v>
      </c>
      <c r="C55" s="6" t="s">
        <v>491</v>
      </c>
      <c r="D55" s="4" t="s">
        <v>492</v>
      </c>
      <c r="E55" s="4" t="s">
        <v>183</v>
      </c>
      <c r="F55" s="4" t="s">
        <v>26</v>
      </c>
      <c r="G55" s="4" t="s">
        <v>9</v>
      </c>
      <c r="H55" s="4" t="s">
        <v>233</v>
      </c>
      <c r="I55" s="4" t="s">
        <v>331</v>
      </c>
      <c r="J55" s="7">
        <f t="shared" si="0"/>
        <v>79.264729751663694</v>
      </c>
      <c r="K55" s="4" t="str">
        <f t="shared" si="8"/>
        <v>Conserved</v>
      </c>
      <c r="L55" s="7">
        <v>9.7669999999999995</v>
      </c>
      <c r="M55" s="7">
        <f t="shared" si="9"/>
        <v>8.7903000000000002</v>
      </c>
      <c r="N55" s="7">
        <v>35.450000000000003</v>
      </c>
      <c r="O55" s="7">
        <v>123.22</v>
      </c>
      <c r="P55" s="7">
        <f t="shared" si="7"/>
        <v>110.898</v>
      </c>
      <c r="Q55" s="7">
        <f t="shared" ref="Q55:Q70" si="10">N55/O55</f>
        <v>0.28769680246713197</v>
      </c>
      <c r="R55" s="8">
        <f>29.67-20</f>
        <v>9.6700000000000017</v>
      </c>
      <c r="S55" s="8">
        <f>24.81-20</f>
        <v>4.8099999999999987</v>
      </c>
      <c r="T55" s="4" t="str">
        <f t="shared" ref="T55:T86" si="11">IF(S55&gt;=45, "Slow", IF(S55&gt;=20, "Intermediate", "Fast"))</f>
        <v>Fast</v>
      </c>
      <c r="U55" s="4" t="s">
        <v>10</v>
      </c>
      <c r="V55" s="4" t="s">
        <v>41</v>
      </c>
      <c r="W55" s="4">
        <v>33</v>
      </c>
      <c r="X55" s="4">
        <v>615</v>
      </c>
      <c r="Y55" s="5">
        <v>363</v>
      </c>
      <c r="Z55" s="4">
        <v>22.5</v>
      </c>
      <c r="AA55" s="11">
        <v>0.3</v>
      </c>
      <c r="AB55" s="8" t="s">
        <v>493</v>
      </c>
      <c r="AC55" s="4" t="s">
        <v>494</v>
      </c>
      <c r="AD55" s="11">
        <v>0.3</v>
      </c>
      <c r="AE55" s="9" t="s">
        <v>183</v>
      </c>
      <c r="AF55" s="4" t="s">
        <v>495</v>
      </c>
    </row>
    <row r="56" spans="1:32" s="4" customFormat="1" x14ac:dyDescent="0.25">
      <c r="A56" s="4">
        <f t="shared" si="6"/>
        <v>36</v>
      </c>
      <c r="B56" s="5" t="s">
        <v>449</v>
      </c>
      <c r="C56" s="6" t="s">
        <v>228</v>
      </c>
      <c r="D56" s="4" t="s">
        <v>29</v>
      </c>
      <c r="E56" s="4" t="s">
        <v>183</v>
      </c>
      <c r="F56" s="4" t="s">
        <v>26</v>
      </c>
      <c r="G56" s="4" t="s">
        <v>9</v>
      </c>
      <c r="H56" s="4" t="s">
        <v>233</v>
      </c>
      <c r="I56" s="4" t="s">
        <v>339</v>
      </c>
      <c r="J56" s="7">
        <f t="shared" si="0"/>
        <v>156.44637053087757</v>
      </c>
      <c r="K56" s="4" t="str">
        <f t="shared" si="8"/>
        <v>More Conserved</v>
      </c>
      <c r="L56" s="7">
        <v>14.44</v>
      </c>
      <c r="M56" s="7">
        <f t="shared" si="9"/>
        <v>12.996</v>
      </c>
      <c r="N56" s="7">
        <v>19.89</v>
      </c>
      <c r="O56" s="7">
        <v>92.3</v>
      </c>
      <c r="P56" s="7">
        <f t="shared" si="7"/>
        <v>83.07</v>
      </c>
      <c r="Q56" s="7">
        <f t="shared" si="10"/>
        <v>0.21549295774647889</v>
      </c>
      <c r="R56" s="8">
        <v>8</v>
      </c>
      <c r="S56" s="8">
        <v>3</v>
      </c>
      <c r="T56" s="4" t="str">
        <f t="shared" si="11"/>
        <v>Fast</v>
      </c>
      <c r="U56" s="4" t="s">
        <v>30</v>
      </c>
      <c r="V56" s="4" t="s">
        <v>24</v>
      </c>
      <c r="W56" s="4">
        <v>10</v>
      </c>
      <c r="X56" s="4">
        <v>550</v>
      </c>
      <c r="Y56" s="4">
        <v>362</v>
      </c>
      <c r="Z56" s="4" t="s">
        <v>26</v>
      </c>
      <c r="AA56" s="4" t="s">
        <v>31</v>
      </c>
      <c r="AB56" s="8" t="s">
        <v>229</v>
      </c>
      <c r="AC56" s="4" t="s">
        <v>37</v>
      </c>
      <c r="AD56" s="4" t="s">
        <v>37</v>
      </c>
      <c r="AE56" s="9" t="s">
        <v>183</v>
      </c>
      <c r="AF56" s="4" t="s">
        <v>127</v>
      </c>
    </row>
    <row r="57" spans="1:32" s="4" customFormat="1" x14ac:dyDescent="0.25">
      <c r="A57" s="4">
        <f t="shared" si="6"/>
        <v>36</v>
      </c>
      <c r="B57" s="5" t="s">
        <v>449</v>
      </c>
      <c r="C57" s="6" t="s">
        <v>228</v>
      </c>
      <c r="D57" s="4" t="s">
        <v>29</v>
      </c>
      <c r="E57" s="4" t="s">
        <v>183</v>
      </c>
      <c r="F57" s="4" t="s">
        <v>26</v>
      </c>
      <c r="G57" s="4" t="s">
        <v>9</v>
      </c>
      <c r="H57" s="4" t="s">
        <v>233</v>
      </c>
      <c r="I57" s="4" t="s">
        <v>339</v>
      </c>
      <c r="J57" s="7">
        <f t="shared" si="0"/>
        <v>200.50309191908605</v>
      </c>
      <c r="K57" s="4" t="str">
        <f t="shared" si="8"/>
        <v>More Conserved</v>
      </c>
      <c r="L57" s="7">
        <v>19.13</v>
      </c>
      <c r="M57" s="7">
        <f t="shared" si="9"/>
        <v>17.216999999999999</v>
      </c>
      <c r="N57" s="7">
        <v>31.1</v>
      </c>
      <c r="O57" s="7">
        <v>95.41</v>
      </c>
      <c r="P57" s="7">
        <f t="shared" si="7"/>
        <v>85.869</v>
      </c>
      <c r="Q57" s="7">
        <f t="shared" si="10"/>
        <v>0.32596163924116972</v>
      </c>
      <c r="R57" s="8">
        <v>11</v>
      </c>
      <c r="S57" s="8">
        <v>3</v>
      </c>
      <c r="T57" s="4" t="str">
        <f t="shared" si="11"/>
        <v>Fast</v>
      </c>
      <c r="U57" s="4" t="s">
        <v>30</v>
      </c>
      <c r="V57" s="4" t="s">
        <v>24</v>
      </c>
      <c r="W57" s="4">
        <v>10</v>
      </c>
      <c r="X57" s="4">
        <v>1100</v>
      </c>
      <c r="Y57" s="4">
        <v>362</v>
      </c>
      <c r="Z57" s="4" t="s">
        <v>26</v>
      </c>
      <c r="AA57" s="4" t="s">
        <v>31</v>
      </c>
      <c r="AB57" s="8" t="s">
        <v>229</v>
      </c>
      <c r="AC57" s="4" t="s">
        <v>37</v>
      </c>
      <c r="AD57" s="4" t="s">
        <v>37</v>
      </c>
      <c r="AE57" s="9" t="s">
        <v>183</v>
      </c>
      <c r="AF57" s="4" t="s">
        <v>127</v>
      </c>
    </row>
    <row r="58" spans="1:32" s="4" customFormat="1" x14ac:dyDescent="0.25">
      <c r="A58" s="4">
        <f t="shared" si="6"/>
        <v>37</v>
      </c>
      <c r="B58" s="5" t="s">
        <v>450</v>
      </c>
      <c r="C58" s="6" t="s">
        <v>50</v>
      </c>
      <c r="D58" s="4" t="s">
        <v>52</v>
      </c>
      <c r="E58" s="4" t="s">
        <v>183</v>
      </c>
      <c r="F58" s="10" t="s">
        <v>236</v>
      </c>
      <c r="G58" s="4" t="s">
        <v>9</v>
      </c>
      <c r="H58" s="4" t="s">
        <v>232</v>
      </c>
      <c r="I58" s="4" t="s">
        <v>340</v>
      </c>
      <c r="J58" s="7" t="s">
        <v>26</v>
      </c>
      <c r="K58" s="4" t="s">
        <v>26</v>
      </c>
      <c r="L58" s="7" t="s">
        <v>26</v>
      </c>
      <c r="M58" s="7" t="s">
        <v>26</v>
      </c>
      <c r="N58" s="7">
        <v>61.48</v>
      </c>
      <c r="O58" s="7">
        <v>139.94999999999999</v>
      </c>
      <c r="P58" s="7">
        <f t="shared" si="7"/>
        <v>125.955</v>
      </c>
      <c r="Q58" s="7">
        <f t="shared" si="10"/>
        <v>0.43929974991068238</v>
      </c>
      <c r="R58" s="8" t="s">
        <v>26</v>
      </c>
      <c r="S58" s="8">
        <v>47.07</v>
      </c>
      <c r="T58" s="4" t="str">
        <f t="shared" si="11"/>
        <v>Slow</v>
      </c>
      <c r="U58" s="4" t="s">
        <v>10</v>
      </c>
      <c r="V58" s="4" t="s">
        <v>51</v>
      </c>
      <c r="W58" s="4">
        <v>0</v>
      </c>
      <c r="X58" s="4">
        <v>150</v>
      </c>
      <c r="Y58" s="4">
        <v>400</v>
      </c>
      <c r="Z58" s="4">
        <v>21</v>
      </c>
      <c r="AA58" s="11">
        <v>0.7</v>
      </c>
      <c r="AB58" s="8" t="s">
        <v>315</v>
      </c>
      <c r="AC58" s="4" t="s">
        <v>316</v>
      </c>
      <c r="AD58" s="11">
        <v>0.7</v>
      </c>
      <c r="AE58" s="5" t="s">
        <v>182</v>
      </c>
    </row>
    <row r="59" spans="1:32" s="4" customFormat="1" x14ac:dyDescent="0.25">
      <c r="A59" s="4">
        <f t="shared" si="6"/>
        <v>38</v>
      </c>
      <c r="B59" s="5" t="s">
        <v>452</v>
      </c>
      <c r="C59" s="6" t="s">
        <v>39</v>
      </c>
      <c r="D59" s="4" t="s">
        <v>40</v>
      </c>
      <c r="E59" s="4" t="s">
        <v>182</v>
      </c>
      <c r="F59" s="10" t="s">
        <v>318</v>
      </c>
      <c r="G59" s="4" t="s">
        <v>9</v>
      </c>
      <c r="H59" s="4" t="s">
        <v>232</v>
      </c>
      <c r="I59" s="4" t="s">
        <v>341</v>
      </c>
      <c r="J59" s="7">
        <f t="shared" si="0"/>
        <v>16.714285714285715</v>
      </c>
      <c r="K59" s="4" t="str">
        <f t="shared" ref="K59:K70" si="12">IF(J59&gt;=80, "More Conserved", IF(J59&gt;=70, "Conserved", "Less Conserved"))</f>
        <v>Less Conserved</v>
      </c>
      <c r="L59" s="7">
        <v>11.7</v>
      </c>
      <c r="M59" s="7">
        <f t="shared" ref="M59:M70" si="13">L59*0.9</f>
        <v>10.53</v>
      </c>
      <c r="N59" s="7">
        <v>200</v>
      </c>
      <c r="O59" s="7">
        <v>700</v>
      </c>
      <c r="P59" s="7">
        <f t="shared" si="7"/>
        <v>630</v>
      </c>
      <c r="Q59" s="7">
        <f t="shared" si="10"/>
        <v>0.2857142857142857</v>
      </c>
      <c r="R59" s="8">
        <v>18.5</v>
      </c>
      <c r="S59" s="8">
        <v>46.7</v>
      </c>
      <c r="T59" s="4" t="str">
        <f t="shared" si="11"/>
        <v>Slow</v>
      </c>
      <c r="U59" s="4" t="s">
        <v>10</v>
      </c>
      <c r="V59" s="4" t="s">
        <v>32</v>
      </c>
      <c r="W59" s="4">
        <v>0</v>
      </c>
      <c r="X59" s="4">
        <v>1000</v>
      </c>
      <c r="Y59" s="4">
        <v>200</v>
      </c>
      <c r="Z59" s="4">
        <v>22</v>
      </c>
      <c r="AA59" s="11">
        <v>0.7</v>
      </c>
      <c r="AB59" s="8">
        <v>320</v>
      </c>
      <c r="AC59" s="4" t="s">
        <v>42</v>
      </c>
      <c r="AD59" s="11">
        <v>0.7</v>
      </c>
      <c r="AE59" s="5" t="s">
        <v>182</v>
      </c>
      <c r="AF59" s="4" t="s">
        <v>323</v>
      </c>
    </row>
    <row r="60" spans="1:32" s="4" customFormat="1" x14ac:dyDescent="0.25">
      <c r="A60" s="4">
        <f t="shared" si="6"/>
        <v>38</v>
      </c>
      <c r="B60" s="5" t="s">
        <v>452</v>
      </c>
      <c r="C60" s="6" t="s">
        <v>39</v>
      </c>
      <c r="D60" s="4" t="s">
        <v>40</v>
      </c>
      <c r="E60" s="4" t="s">
        <v>182</v>
      </c>
      <c r="F60" s="10" t="s">
        <v>318</v>
      </c>
      <c r="G60" s="4" t="s">
        <v>9</v>
      </c>
      <c r="H60" s="4" t="s">
        <v>232</v>
      </c>
      <c r="I60" s="4" t="s">
        <v>341</v>
      </c>
      <c r="J60" s="7">
        <f t="shared" si="0"/>
        <v>37</v>
      </c>
      <c r="K60" s="4" t="str">
        <f t="shared" si="12"/>
        <v>Less Conserved</v>
      </c>
      <c r="L60" s="7">
        <v>22.2</v>
      </c>
      <c r="M60" s="7">
        <f t="shared" si="13"/>
        <v>19.98</v>
      </c>
      <c r="N60" s="7">
        <v>300</v>
      </c>
      <c r="O60" s="7">
        <v>600</v>
      </c>
      <c r="P60" s="7">
        <f t="shared" si="7"/>
        <v>540</v>
      </c>
      <c r="Q60" s="7">
        <f t="shared" si="10"/>
        <v>0.5</v>
      </c>
      <c r="R60" s="8">
        <v>10.8</v>
      </c>
      <c r="S60" s="8">
        <v>38.200000000000003</v>
      </c>
      <c r="T60" s="4" t="str">
        <f t="shared" si="11"/>
        <v>Intermediate</v>
      </c>
      <c r="U60" s="4" t="s">
        <v>10</v>
      </c>
      <c r="V60" s="4" t="s">
        <v>32</v>
      </c>
      <c r="W60" s="4">
        <v>0</v>
      </c>
      <c r="X60" s="4">
        <v>1000</v>
      </c>
      <c r="Y60" s="4">
        <v>400</v>
      </c>
      <c r="Z60" s="4">
        <v>22</v>
      </c>
      <c r="AA60" s="11">
        <v>0.7</v>
      </c>
      <c r="AB60" s="8">
        <v>320</v>
      </c>
      <c r="AC60" s="4" t="s">
        <v>42</v>
      </c>
      <c r="AD60" s="11">
        <v>0.7</v>
      </c>
      <c r="AE60" s="5" t="s">
        <v>182</v>
      </c>
      <c r="AF60" s="4" t="s">
        <v>323</v>
      </c>
    </row>
    <row r="61" spans="1:32" s="4" customFormat="1" x14ac:dyDescent="0.25">
      <c r="A61" s="4">
        <f t="shared" si="6"/>
        <v>38</v>
      </c>
      <c r="B61" s="5" t="s">
        <v>452</v>
      </c>
      <c r="C61" s="6" t="s">
        <v>39</v>
      </c>
      <c r="D61" s="4" t="s">
        <v>40</v>
      </c>
      <c r="E61" s="4" t="s">
        <v>182</v>
      </c>
      <c r="F61" s="10" t="s">
        <v>318</v>
      </c>
      <c r="G61" s="4" t="s">
        <v>9</v>
      </c>
      <c r="H61" s="4" t="s">
        <v>232</v>
      </c>
      <c r="I61" s="4" t="s">
        <v>341</v>
      </c>
      <c r="J61" s="7">
        <f t="shared" si="0"/>
        <v>54.2</v>
      </c>
      <c r="K61" s="4" t="str">
        <f t="shared" si="12"/>
        <v>Less Conserved</v>
      </c>
      <c r="L61" s="7">
        <v>27.1</v>
      </c>
      <c r="M61" s="7">
        <f t="shared" si="13"/>
        <v>24.39</v>
      </c>
      <c r="N61" s="7">
        <v>200</v>
      </c>
      <c r="O61" s="7">
        <v>500</v>
      </c>
      <c r="P61" s="7">
        <f t="shared" si="7"/>
        <v>450</v>
      </c>
      <c r="Q61" s="7">
        <f t="shared" si="10"/>
        <v>0.4</v>
      </c>
      <c r="R61" s="8">
        <v>6.2</v>
      </c>
      <c r="S61" s="8">
        <v>39.9</v>
      </c>
      <c r="T61" s="4" t="str">
        <f t="shared" si="11"/>
        <v>Intermediate</v>
      </c>
      <c r="U61" s="4" t="s">
        <v>10</v>
      </c>
      <c r="V61" s="4" t="s">
        <v>32</v>
      </c>
      <c r="W61" s="4">
        <v>0</v>
      </c>
      <c r="X61" s="4">
        <v>1000</v>
      </c>
      <c r="Y61" s="4">
        <v>800</v>
      </c>
      <c r="Z61" s="4">
        <v>22</v>
      </c>
      <c r="AA61" s="11">
        <v>0.7</v>
      </c>
      <c r="AB61" s="8">
        <v>320</v>
      </c>
      <c r="AC61" s="4" t="s">
        <v>42</v>
      </c>
      <c r="AD61" s="11">
        <v>0.7</v>
      </c>
      <c r="AE61" s="5" t="s">
        <v>182</v>
      </c>
      <c r="AF61" s="4" t="s">
        <v>323</v>
      </c>
    </row>
    <row r="62" spans="1:32" s="4" customFormat="1" x14ac:dyDescent="0.25">
      <c r="A62" s="4">
        <f t="shared" si="6"/>
        <v>38</v>
      </c>
      <c r="B62" s="5" t="s">
        <v>451</v>
      </c>
      <c r="C62" s="6" t="s">
        <v>39</v>
      </c>
      <c r="D62" s="4" t="s">
        <v>40</v>
      </c>
      <c r="E62" s="4" t="s">
        <v>182</v>
      </c>
      <c r="F62" s="10" t="s">
        <v>318</v>
      </c>
      <c r="G62" s="4" t="s">
        <v>9</v>
      </c>
      <c r="H62" s="4" t="s">
        <v>232</v>
      </c>
      <c r="I62" s="4" t="s">
        <v>341</v>
      </c>
      <c r="J62" s="7">
        <f t="shared" si="0"/>
        <v>18</v>
      </c>
      <c r="K62" s="4" t="str">
        <f t="shared" si="12"/>
        <v>Less Conserved</v>
      </c>
      <c r="L62" s="7">
        <v>11.7</v>
      </c>
      <c r="M62" s="7">
        <f t="shared" si="13"/>
        <v>10.53</v>
      </c>
      <c r="N62" s="7">
        <v>220</v>
      </c>
      <c r="O62" s="7">
        <v>650</v>
      </c>
      <c r="P62" s="7">
        <f t="shared" si="7"/>
        <v>585</v>
      </c>
      <c r="Q62" s="7">
        <f t="shared" si="10"/>
        <v>0.33846153846153848</v>
      </c>
      <c r="R62" s="8">
        <v>18.5</v>
      </c>
      <c r="S62" s="8">
        <v>46.7</v>
      </c>
      <c r="T62" s="4" t="str">
        <f t="shared" si="11"/>
        <v>Slow</v>
      </c>
      <c r="U62" s="4" t="s">
        <v>10</v>
      </c>
      <c r="V62" s="4" t="s">
        <v>32</v>
      </c>
      <c r="W62" s="4">
        <v>0</v>
      </c>
      <c r="X62" s="4">
        <v>1000</v>
      </c>
      <c r="Y62" s="4">
        <v>200</v>
      </c>
      <c r="Z62" s="4">
        <v>22.8</v>
      </c>
      <c r="AA62" s="4" t="s">
        <v>319</v>
      </c>
      <c r="AB62" s="8">
        <v>320</v>
      </c>
      <c r="AC62" s="4" t="s">
        <v>42</v>
      </c>
      <c r="AD62" s="11">
        <v>0.7</v>
      </c>
      <c r="AE62" s="5" t="s">
        <v>182</v>
      </c>
      <c r="AF62" s="4" t="s">
        <v>192</v>
      </c>
    </row>
    <row r="63" spans="1:32" s="4" customFormat="1" x14ac:dyDescent="0.25">
      <c r="A63" s="4">
        <f t="shared" si="6"/>
        <v>38</v>
      </c>
      <c r="B63" s="5" t="s">
        <v>451</v>
      </c>
      <c r="C63" s="6" t="s">
        <v>39</v>
      </c>
      <c r="D63" s="4" t="s">
        <v>40</v>
      </c>
      <c r="E63" s="4" t="s">
        <v>182</v>
      </c>
      <c r="F63" s="10" t="s">
        <v>318</v>
      </c>
      <c r="G63" s="4" t="s">
        <v>9</v>
      </c>
      <c r="H63" s="4" t="s">
        <v>232</v>
      </c>
      <c r="I63" s="4" t="s">
        <v>341</v>
      </c>
      <c r="J63" s="7">
        <f t="shared" si="0"/>
        <v>39.642857142857139</v>
      </c>
      <c r="K63" s="4" t="str">
        <f t="shared" si="12"/>
        <v>Less Conserved</v>
      </c>
      <c r="L63" s="7">
        <v>22.2</v>
      </c>
      <c r="M63" s="7">
        <f t="shared" si="13"/>
        <v>19.98</v>
      </c>
      <c r="N63" s="7">
        <v>270</v>
      </c>
      <c r="O63" s="7">
        <v>560</v>
      </c>
      <c r="P63" s="7">
        <f t="shared" si="7"/>
        <v>504</v>
      </c>
      <c r="Q63" s="7">
        <f t="shared" si="10"/>
        <v>0.48214285714285715</v>
      </c>
      <c r="R63" s="8">
        <v>10.8</v>
      </c>
      <c r="S63" s="8">
        <v>38.200000000000003</v>
      </c>
      <c r="T63" s="4" t="str">
        <f t="shared" si="11"/>
        <v>Intermediate</v>
      </c>
      <c r="U63" s="4" t="s">
        <v>10</v>
      </c>
      <c r="V63" s="4" t="s">
        <v>32</v>
      </c>
      <c r="W63" s="4">
        <v>0</v>
      </c>
      <c r="X63" s="4">
        <v>1000</v>
      </c>
      <c r="Y63" s="4">
        <v>400</v>
      </c>
      <c r="Z63" s="4">
        <v>22.8</v>
      </c>
      <c r="AA63" s="4" t="s">
        <v>319</v>
      </c>
      <c r="AB63" s="8">
        <v>320</v>
      </c>
      <c r="AC63" s="4" t="s">
        <v>42</v>
      </c>
      <c r="AD63" s="11">
        <v>0.7</v>
      </c>
      <c r="AE63" s="5" t="s">
        <v>182</v>
      </c>
      <c r="AF63" s="4" t="s">
        <v>192</v>
      </c>
    </row>
    <row r="64" spans="1:32" s="4" customFormat="1" x14ac:dyDescent="0.25">
      <c r="A64" s="4">
        <f t="shared" si="6"/>
        <v>38</v>
      </c>
      <c r="B64" s="5" t="s">
        <v>451</v>
      </c>
      <c r="C64" s="6" t="s">
        <v>39</v>
      </c>
      <c r="D64" s="4" t="s">
        <v>40</v>
      </c>
      <c r="E64" s="4" t="s">
        <v>182</v>
      </c>
      <c r="F64" s="10" t="s">
        <v>318</v>
      </c>
      <c r="G64" s="4" t="s">
        <v>9</v>
      </c>
      <c r="H64" s="4" t="s">
        <v>232</v>
      </c>
      <c r="I64" s="4" t="s">
        <v>341</v>
      </c>
      <c r="J64" s="7">
        <f t="shared" si="0"/>
        <v>58.913043478260867</v>
      </c>
      <c r="K64" s="4" t="str">
        <f t="shared" si="12"/>
        <v>Less Conserved</v>
      </c>
      <c r="L64" s="7">
        <v>27.1</v>
      </c>
      <c r="M64" s="7">
        <f t="shared" si="13"/>
        <v>24.39</v>
      </c>
      <c r="N64" s="7">
        <v>250</v>
      </c>
      <c r="O64" s="7">
        <v>460</v>
      </c>
      <c r="P64" s="7">
        <f t="shared" si="7"/>
        <v>414</v>
      </c>
      <c r="Q64" s="7">
        <f t="shared" si="10"/>
        <v>0.54347826086956519</v>
      </c>
      <c r="R64" s="8">
        <v>6.2</v>
      </c>
      <c r="S64" s="8">
        <v>39.9</v>
      </c>
      <c r="T64" s="4" t="str">
        <f t="shared" si="11"/>
        <v>Intermediate</v>
      </c>
      <c r="U64" s="4" t="s">
        <v>10</v>
      </c>
      <c r="V64" s="4" t="s">
        <v>32</v>
      </c>
      <c r="W64" s="4">
        <v>0</v>
      </c>
      <c r="X64" s="4">
        <v>1000</v>
      </c>
      <c r="Y64" s="4">
        <v>800</v>
      </c>
      <c r="Z64" s="4">
        <v>22.8</v>
      </c>
      <c r="AA64" s="4" t="s">
        <v>319</v>
      </c>
      <c r="AB64" s="8">
        <v>320</v>
      </c>
      <c r="AC64" s="4" t="s">
        <v>42</v>
      </c>
      <c r="AD64" s="11">
        <v>0.7</v>
      </c>
      <c r="AE64" s="5" t="s">
        <v>182</v>
      </c>
      <c r="AF64" s="4" t="s">
        <v>192</v>
      </c>
    </row>
    <row r="65" spans="1:32" s="4" customFormat="1" x14ac:dyDescent="0.25">
      <c r="A65" s="4">
        <f t="shared" si="6"/>
        <v>38</v>
      </c>
      <c r="B65" s="5" t="s">
        <v>451</v>
      </c>
      <c r="C65" s="6" t="s">
        <v>39</v>
      </c>
      <c r="D65" s="4" t="s">
        <v>40</v>
      </c>
      <c r="E65" s="4" t="s">
        <v>182</v>
      </c>
      <c r="F65" s="10" t="s">
        <v>318</v>
      </c>
      <c r="G65" s="4" t="s">
        <v>9</v>
      </c>
      <c r="H65" s="4" t="s">
        <v>232</v>
      </c>
      <c r="I65" s="4" t="s">
        <v>341</v>
      </c>
      <c r="J65" s="7">
        <f t="shared" si="0"/>
        <v>45.882352941176464</v>
      </c>
      <c r="K65" s="4" t="str">
        <f t="shared" si="12"/>
        <v>Less Conserved</v>
      </c>
      <c r="L65" s="7">
        <v>15.6</v>
      </c>
      <c r="M65" s="7">
        <f t="shared" si="13"/>
        <v>14.04</v>
      </c>
      <c r="N65" s="7">
        <v>170</v>
      </c>
      <c r="O65" s="7">
        <v>340</v>
      </c>
      <c r="P65" s="7">
        <f t="shared" si="7"/>
        <v>306</v>
      </c>
      <c r="Q65" s="7">
        <f t="shared" si="10"/>
        <v>0.5</v>
      </c>
      <c r="R65" s="8">
        <v>12.6</v>
      </c>
      <c r="S65" s="8">
        <v>45.5</v>
      </c>
      <c r="T65" s="4" t="str">
        <f t="shared" si="11"/>
        <v>Slow</v>
      </c>
      <c r="U65" s="4" t="s">
        <v>10</v>
      </c>
      <c r="V65" s="4" t="s">
        <v>32</v>
      </c>
      <c r="W65" s="4">
        <v>0</v>
      </c>
      <c r="X65" s="4">
        <v>1000</v>
      </c>
      <c r="Y65" s="4">
        <v>400</v>
      </c>
      <c r="Z65" s="4">
        <v>15.5</v>
      </c>
      <c r="AA65" s="4" t="s">
        <v>319</v>
      </c>
      <c r="AB65" s="8">
        <v>320</v>
      </c>
      <c r="AC65" s="4" t="s">
        <v>42</v>
      </c>
      <c r="AD65" s="11">
        <v>0.7</v>
      </c>
      <c r="AE65" s="5" t="s">
        <v>182</v>
      </c>
      <c r="AF65" s="4" t="s">
        <v>192</v>
      </c>
    </row>
    <row r="66" spans="1:32" s="4" customFormat="1" x14ac:dyDescent="0.25">
      <c r="A66" s="4">
        <f t="shared" si="6"/>
        <v>38</v>
      </c>
      <c r="B66" s="5" t="s">
        <v>451</v>
      </c>
      <c r="C66" s="6" t="s">
        <v>39</v>
      </c>
      <c r="D66" s="4" t="s">
        <v>40</v>
      </c>
      <c r="E66" s="4" t="s">
        <v>182</v>
      </c>
      <c r="F66" s="10" t="s">
        <v>318</v>
      </c>
      <c r="G66" s="4" t="s">
        <v>9</v>
      </c>
      <c r="H66" s="4" t="s">
        <v>232</v>
      </c>
      <c r="I66" s="4" t="s">
        <v>341</v>
      </c>
      <c r="J66" s="7">
        <f t="shared" si="0"/>
        <v>59.166666666666671</v>
      </c>
      <c r="K66" s="4" t="str">
        <f t="shared" si="12"/>
        <v>Less Conserved</v>
      </c>
      <c r="L66" s="7">
        <v>21.3</v>
      </c>
      <c r="M66" s="7">
        <f t="shared" si="13"/>
        <v>19.170000000000002</v>
      </c>
      <c r="N66" s="7">
        <v>210</v>
      </c>
      <c r="O66" s="7">
        <v>360</v>
      </c>
      <c r="P66" s="7">
        <f t="shared" si="7"/>
        <v>324</v>
      </c>
      <c r="Q66" s="7">
        <f t="shared" si="10"/>
        <v>0.58333333333333337</v>
      </c>
      <c r="R66" s="8">
        <v>13.4</v>
      </c>
      <c r="S66" s="8">
        <v>34.5</v>
      </c>
      <c r="T66" s="4" t="str">
        <f t="shared" si="11"/>
        <v>Intermediate</v>
      </c>
      <c r="U66" s="4" t="s">
        <v>10</v>
      </c>
      <c r="V66" s="4" t="s">
        <v>32</v>
      </c>
      <c r="W66" s="4">
        <v>0</v>
      </c>
      <c r="X66" s="4">
        <v>1000</v>
      </c>
      <c r="Y66" s="4">
        <v>400</v>
      </c>
      <c r="Z66" s="4">
        <v>30.5</v>
      </c>
      <c r="AA66" s="4" t="s">
        <v>319</v>
      </c>
      <c r="AB66" s="8">
        <v>320</v>
      </c>
      <c r="AC66" s="4" t="s">
        <v>42</v>
      </c>
      <c r="AD66" s="11">
        <v>0.7</v>
      </c>
      <c r="AE66" s="5" t="s">
        <v>182</v>
      </c>
      <c r="AF66" s="4" t="s">
        <v>192</v>
      </c>
    </row>
    <row r="67" spans="1:32" s="4" customFormat="1" x14ac:dyDescent="0.25">
      <c r="A67" s="4">
        <f t="shared" si="6"/>
        <v>38</v>
      </c>
      <c r="B67" s="5" t="s">
        <v>451</v>
      </c>
      <c r="C67" s="6" t="s">
        <v>39</v>
      </c>
      <c r="D67" s="4" t="s">
        <v>40</v>
      </c>
      <c r="E67" s="4" t="s">
        <v>182</v>
      </c>
      <c r="F67" s="10" t="s">
        <v>318</v>
      </c>
      <c r="G67" s="4" t="s">
        <v>9</v>
      </c>
      <c r="H67" s="4" t="s">
        <v>232</v>
      </c>
      <c r="I67" s="4" t="s">
        <v>341</v>
      </c>
      <c r="J67" s="7">
        <f t="shared" ref="J67:J130" si="14">L67/(O67/1000)</f>
        <v>37.719298245614041</v>
      </c>
      <c r="K67" s="4" t="str">
        <f t="shared" si="12"/>
        <v>Less Conserved</v>
      </c>
      <c r="L67" s="7">
        <v>21.5</v>
      </c>
      <c r="M67" s="7">
        <f t="shared" si="13"/>
        <v>19.350000000000001</v>
      </c>
      <c r="N67" s="7">
        <v>300</v>
      </c>
      <c r="O67" s="7">
        <v>570</v>
      </c>
      <c r="P67" s="7">
        <f t="shared" ref="P67:P70" si="15">O67*0.9</f>
        <v>513</v>
      </c>
      <c r="Q67" s="7">
        <f t="shared" si="10"/>
        <v>0.52631578947368418</v>
      </c>
      <c r="R67" s="8">
        <v>10.7</v>
      </c>
      <c r="S67" s="8">
        <v>45.3</v>
      </c>
      <c r="T67" s="4" t="str">
        <f t="shared" si="11"/>
        <v>Slow</v>
      </c>
      <c r="U67" s="4" t="s">
        <v>10</v>
      </c>
      <c r="V67" s="4" t="s">
        <v>32</v>
      </c>
      <c r="W67" s="4">
        <v>0</v>
      </c>
      <c r="X67" s="4">
        <v>1000</v>
      </c>
      <c r="Y67" s="4">
        <v>400</v>
      </c>
      <c r="Z67" s="4">
        <v>22.8</v>
      </c>
      <c r="AA67" s="4" t="s">
        <v>320</v>
      </c>
      <c r="AB67" s="8">
        <v>320</v>
      </c>
      <c r="AC67" s="4" t="s">
        <v>42</v>
      </c>
      <c r="AD67" s="11">
        <v>0.7</v>
      </c>
      <c r="AE67" s="5" t="s">
        <v>182</v>
      </c>
      <c r="AF67" s="4" t="s">
        <v>192</v>
      </c>
    </row>
    <row r="68" spans="1:32" s="4" customFormat="1" x14ac:dyDescent="0.25">
      <c r="A68" s="4">
        <f t="shared" si="6"/>
        <v>38</v>
      </c>
      <c r="B68" s="5" t="s">
        <v>451</v>
      </c>
      <c r="C68" s="6" t="s">
        <v>39</v>
      </c>
      <c r="D68" s="4" t="s">
        <v>40</v>
      </c>
      <c r="E68" s="4" t="s">
        <v>182</v>
      </c>
      <c r="F68" s="10" t="s">
        <v>318</v>
      </c>
      <c r="G68" s="4" t="s">
        <v>9</v>
      </c>
      <c r="H68" s="4" t="s">
        <v>232</v>
      </c>
      <c r="I68" s="4" t="s">
        <v>341</v>
      </c>
      <c r="J68" s="7">
        <f t="shared" si="14"/>
        <v>58.823529411764703</v>
      </c>
      <c r="K68" s="4" t="str">
        <f t="shared" si="12"/>
        <v>Less Conserved</v>
      </c>
      <c r="L68" s="7">
        <v>20</v>
      </c>
      <c r="M68" s="7">
        <f t="shared" si="13"/>
        <v>18</v>
      </c>
      <c r="N68" s="7">
        <v>110</v>
      </c>
      <c r="O68" s="7">
        <v>340</v>
      </c>
      <c r="P68" s="7">
        <f t="shared" si="15"/>
        <v>306</v>
      </c>
      <c r="Q68" s="7">
        <f t="shared" si="10"/>
        <v>0.3235294117647059</v>
      </c>
      <c r="R68" s="8">
        <v>13.5</v>
      </c>
      <c r="S68" s="8">
        <v>20.2</v>
      </c>
      <c r="T68" s="4" t="str">
        <f t="shared" si="11"/>
        <v>Intermediate</v>
      </c>
      <c r="U68" s="4" t="s">
        <v>10</v>
      </c>
      <c r="V68" s="4" t="s">
        <v>32</v>
      </c>
      <c r="W68" s="4">
        <v>0</v>
      </c>
      <c r="X68" s="4">
        <v>1000</v>
      </c>
      <c r="Y68" s="4">
        <v>400</v>
      </c>
      <c r="Z68" s="4">
        <v>22.8</v>
      </c>
      <c r="AA68" s="4" t="s">
        <v>321</v>
      </c>
      <c r="AB68" s="8">
        <v>320</v>
      </c>
      <c r="AC68" s="4" t="s">
        <v>42</v>
      </c>
      <c r="AD68" s="11">
        <v>0.7</v>
      </c>
      <c r="AE68" s="5" t="s">
        <v>182</v>
      </c>
      <c r="AF68" s="4" t="s">
        <v>192</v>
      </c>
    </row>
    <row r="69" spans="1:32" s="4" customFormat="1" x14ac:dyDescent="0.25">
      <c r="A69" s="4">
        <f t="shared" ref="A69:A132" si="16">IF(C69=C68, A68, A68+1)</f>
        <v>38</v>
      </c>
      <c r="B69" s="5" t="s">
        <v>451</v>
      </c>
      <c r="C69" s="6" t="s">
        <v>39</v>
      </c>
      <c r="D69" s="4" t="s">
        <v>40</v>
      </c>
      <c r="E69" s="4" t="s">
        <v>182</v>
      </c>
      <c r="F69" s="10" t="s">
        <v>318</v>
      </c>
      <c r="G69" s="4" t="s">
        <v>9</v>
      </c>
      <c r="H69" s="4" t="s">
        <v>232</v>
      </c>
      <c r="I69" s="4" t="s">
        <v>341</v>
      </c>
      <c r="J69" s="7">
        <f t="shared" si="14"/>
        <v>74.615384615384613</v>
      </c>
      <c r="K69" s="4" t="str">
        <f t="shared" si="12"/>
        <v>Conserved</v>
      </c>
      <c r="L69" s="7">
        <v>19.399999999999999</v>
      </c>
      <c r="M69" s="7">
        <f t="shared" si="13"/>
        <v>17.46</v>
      </c>
      <c r="N69" s="7">
        <v>90</v>
      </c>
      <c r="O69" s="7">
        <v>260</v>
      </c>
      <c r="P69" s="7">
        <f t="shared" si="15"/>
        <v>234</v>
      </c>
      <c r="Q69" s="7">
        <f t="shared" si="10"/>
        <v>0.34615384615384615</v>
      </c>
      <c r="R69" s="8">
        <v>11.5</v>
      </c>
      <c r="S69" s="8">
        <v>31.2</v>
      </c>
      <c r="T69" s="4" t="str">
        <f t="shared" si="11"/>
        <v>Intermediate</v>
      </c>
      <c r="U69" s="4" t="s">
        <v>10</v>
      </c>
      <c r="V69" s="4" t="s">
        <v>32</v>
      </c>
      <c r="W69" s="4">
        <v>0</v>
      </c>
      <c r="X69" s="4">
        <v>1000</v>
      </c>
      <c r="Y69" s="4">
        <v>400</v>
      </c>
      <c r="Z69" s="4">
        <v>22.8</v>
      </c>
      <c r="AA69" s="4" t="s">
        <v>322</v>
      </c>
      <c r="AB69" s="8">
        <v>320</v>
      </c>
      <c r="AC69" s="4" t="s">
        <v>42</v>
      </c>
      <c r="AD69" s="11">
        <v>0.7</v>
      </c>
      <c r="AE69" s="5" t="s">
        <v>182</v>
      </c>
      <c r="AF69" s="4" t="s">
        <v>192</v>
      </c>
    </row>
    <row r="70" spans="1:32" s="4" customFormat="1" x14ac:dyDescent="0.25">
      <c r="A70" s="4">
        <f t="shared" si="16"/>
        <v>39</v>
      </c>
      <c r="B70" s="5" t="s">
        <v>453</v>
      </c>
      <c r="C70" s="6" t="s">
        <v>50</v>
      </c>
      <c r="D70" s="4" t="s">
        <v>52</v>
      </c>
      <c r="E70" s="4" t="s">
        <v>183</v>
      </c>
      <c r="F70" s="10" t="s">
        <v>236</v>
      </c>
      <c r="G70" s="4" t="s">
        <v>9</v>
      </c>
      <c r="H70" s="4" t="s">
        <v>232</v>
      </c>
      <c r="I70" s="4" t="s">
        <v>340</v>
      </c>
      <c r="J70" s="7">
        <f t="shared" si="14"/>
        <v>59.879976580796253</v>
      </c>
      <c r="K70" s="4" t="str">
        <f t="shared" si="12"/>
        <v>Less Conserved</v>
      </c>
      <c r="L70" s="7">
        <v>12.273</v>
      </c>
      <c r="M70" s="7">
        <f t="shared" si="13"/>
        <v>11.0457</v>
      </c>
      <c r="N70" s="7">
        <v>120.36</v>
      </c>
      <c r="O70" s="7">
        <v>204.96</v>
      </c>
      <c r="P70" s="7">
        <f t="shared" si="15"/>
        <v>184.464</v>
      </c>
      <c r="Q70" s="7">
        <f t="shared" si="10"/>
        <v>0.58723653395784536</v>
      </c>
      <c r="R70" s="8">
        <f>12.554-4.99</f>
        <v>7.5640000000000001</v>
      </c>
      <c r="S70" s="8">
        <f>36.65-5.095</f>
        <v>31.555</v>
      </c>
      <c r="T70" s="4" t="str">
        <f t="shared" si="11"/>
        <v>Intermediate</v>
      </c>
      <c r="U70" s="4" t="s">
        <v>10</v>
      </c>
      <c r="V70" s="4" t="s">
        <v>51</v>
      </c>
      <c r="W70" s="4">
        <v>50</v>
      </c>
      <c r="X70" s="4">
        <v>1000</v>
      </c>
      <c r="Y70" s="4">
        <v>400</v>
      </c>
      <c r="Z70" s="4">
        <v>22</v>
      </c>
      <c r="AA70" s="11">
        <v>0.7</v>
      </c>
      <c r="AB70" s="8">
        <v>300</v>
      </c>
      <c r="AC70" s="4" t="s">
        <v>42</v>
      </c>
      <c r="AD70" s="11">
        <v>0.7</v>
      </c>
      <c r="AE70" s="5" t="s">
        <v>182</v>
      </c>
      <c r="AF70" s="4" t="s">
        <v>192</v>
      </c>
    </row>
    <row r="71" spans="1:32" s="4" customFormat="1" x14ac:dyDescent="0.25">
      <c r="A71" s="4">
        <f t="shared" si="16"/>
        <v>40</v>
      </c>
      <c r="B71" s="5" t="s">
        <v>453</v>
      </c>
      <c r="C71" s="6" t="s">
        <v>39</v>
      </c>
      <c r="D71" s="4" t="s">
        <v>40</v>
      </c>
      <c r="E71" s="4" t="s">
        <v>182</v>
      </c>
      <c r="F71" s="10" t="s">
        <v>412</v>
      </c>
      <c r="G71" s="4" t="s">
        <v>9</v>
      </c>
      <c r="H71" s="4" t="s">
        <v>232</v>
      </c>
      <c r="I71" s="4" t="s">
        <v>341</v>
      </c>
      <c r="J71" s="7" t="s">
        <v>26</v>
      </c>
      <c r="K71" s="4" t="s">
        <v>26</v>
      </c>
      <c r="L71" s="7" t="s">
        <v>26</v>
      </c>
      <c r="M71" s="7" t="s">
        <v>26</v>
      </c>
      <c r="N71" s="7" t="s">
        <v>26</v>
      </c>
      <c r="O71" s="7" t="s">
        <v>26</v>
      </c>
      <c r="P71" s="7" t="s">
        <v>26</v>
      </c>
      <c r="Q71" s="7" t="s">
        <v>26</v>
      </c>
      <c r="R71" s="8">
        <v>27.2</v>
      </c>
      <c r="S71" s="8">
        <v>48.9</v>
      </c>
      <c r="T71" s="4" t="str">
        <f t="shared" si="11"/>
        <v>Slow</v>
      </c>
      <c r="U71" s="4" t="s">
        <v>10</v>
      </c>
      <c r="V71" s="4" t="s">
        <v>32</v>
      </c>
      <c r="W71" s="4">
        <v>0</v>
      </c>
      <c r="X71" s="4">
        <v>1000</v>
      </c>
      <c r="Y71" s="4">
        <v>400</v>
      </c>
      <c r="Z71" s="4">
        <v>22</v>
      </c>
      <c r="AA71" s="11">
        <v>0.7</v>
      </c>
      <c r="AB71" s="8">
        <v>300</v>
      </c>
      <c r="AC71" s="4" t="s">
        <v>42</v>
      </c>
      <c r="AD71" s="11">
        <v>0.7</v>
      </c>
      <c r="AE71" s="5" t="s">
        <v>182</v>
      </c>
      <c r="AF71" s="4" t="s">
        <v>192</v>
      </c>
    </row>
    <row r="72" spans="1:32" s="4" customFormat="1" x14ac:dyDescent="0.25">
      <c r="A72" s="4">
        <f t="shared" si="16"/>
        <v>40</v>
      </c>
      <c r="B72" s="5" t="s">
        <v>453</v>
      </c>
      <c r="C72" s="6" t="s">
        <v>39</v>
      </c>
      <c r="D72" s="4" t="s">
        <v>40</v>
      </c>
      <c r="E72" s="4" t="s">
        <v>182</v>
      </c>
      <c r="F72" s="10" t="s">
        <v>411</v>
      </c>
      <c r="G72" s="4" t="s">
        <v>9</v>
      </c>
      <c r="H72" s="4" t="s">
        <v>232</v>
      </c>
      <c r="I72" s="4" t="s">
        <v>341</v>
      </c>
      <c r="J72" s="7" t="s">
        <v>26</v>
      </c>
      <c r="K72" s="4" t="s">
        <v>26</v>
      </c>
      <c r="L72" s="7" t="s">
        <v>26</v>
      </c>
      <c r="M72" s="7" t="s">
        <v>26</v>
      </c>
      <c r="N72" s="7" t="s">
        <v>26</v>
      </c>
      <c r="O72" s="7" t="s">
        <v>26</v>
      </c>
      <c r="P72" s="7" t="s">
        <v>26</v>
      </c>
      <c r="Q72" s="7" t="s">
        <v>26</v>
      </c>
      <c r="R72" s="8">
        <v>21.8</v>
      </c>
      <c r="S72" s="8">
        <v>47.6</v>
      </c>
      <c r="T72" s="4" t="str">
        <f t="shared" si="11"/>
        <v>Slow</v>
      </c>
      <c r="U72" s="4" t="s">
        <v>10</v>
      </c>
      <c r="V72" s="4" t="s">
        <v>32</v>
      </c>
      <c r="W72" s="4">
        <v>0</v>
      </c>
      <c r="X72" s="4">
        <v>1000</v>
      </c>
      <c r="Y72" s="4">
        <v>400</v>
      </c>
      <c r="Z72" s="4">
        <v>22</v>
      </c>
      <c r="AA72" s="11">
        <v>0.7</v>
      </c>
      <c r="AB72" s="8">
        <v>300</v>
      </c>
      <c r="AC72" s="4" t="s">
        <v>42</v>
      </c>
      <c r="AD72" s="11">
        <v>0.7</v>
      </c>
      <c r="AE72" s="5" t="s">
        <v>182</v>
      </c>
      <c r="AF72" s="4" t="s">
        <v>192</v>
      </c>
    </row>
    <row r="73" spans="1:32" s="4" customFormat="1" x14ac:dyDescent="0.25">
      <c r="A73" s="4">
        <f t="shared" si="16"/>
        <v>40</v>
      </c>
      <c r="B73" s="5" t="s">
        <v>453</v>
      </c>
      <c r="C73" s="6" t="s">
        <v>39</v>
      </c>
      <c r="D73" s="4" t="s">
        <v>40</v>
      </c>
      <c r="E73" s="4" t="s">
        <v>182</v>
      </c>
      <c r="F73" s="10" t="s">
        <v>410</v>
      </c>
      <c r="G73" s="4" t="s">
        <v>9</v>
      </c>
      <c r="H73" s="4" t="s">
        <v>232</v>
      </c>
      <c r="I73" s="4" t="s">
        <v>341</v>
      </c>
      <c r="J73" s="7" t="s">
        <v>26</v>
      </c>
      <c r="K73" s="4" t="s">
        <v>26</v>
      </c>
      <c r="L73" s="7" t="s">
        <v>26</v>
      </c>
      <c r="M73" s="7" t="s">
        <v>26</v>
      </c>
      <c r="N73" s="7" t="s">
        <v>26</v>
      </c>
      <c r="O73" s="7" t="s">
        <v>26</v>
      </c>
      <c r="P73" s="7" t="s">
        <v>26</v>
      </c>
      <c r="Q73" s="7" t="s">
        <v>26</v>
      </c>
      <c r="R73" s="8">
        <v>21.8</v>
      </c>
      <c r="S73" s="8">
        <v>48.7</v>
      </c>
      <c r="T73" s="4" t="str">
        <f t="shared" si="11"/>
        <v>Slow</v>
      </c>
      <c r="U73" s="4" t="s">
        <v>10</v>
      </c>
      <c r="V73" s="4" t="s">
        <v>32</v>
      </c>
      <c r="W73" s="4">
        <v>0</v>
      </c>
      <c r="X73" s="4">
        <v>1000</v>
      </c>
      <c r="Y73" s="4">
        <v>400</v>
      </c>
      <c r="Z73" s="4">
        <v>22</v>
      </c>
      <c r="AA73" s="11">
        <v>0.7</v>
      </c>
      <c r="AB73" s="8">
        <v>300</v>
      </c>
      <c r="AC73" s="4" t="s">
        <v>42</v>
      </c>
      <c r="AD73" s="11">
        <v>0.7</v>
      </c>
      <c r="AE73" s="5" t="s">
        <v>182</v>
      </c>
      <c r="AF73" s="4" t="s">
        <v>192</v>
      </c>
    </row>
    <row r="74" spans="1:32" s="4" customFormat="1" x14ac:dyDescent="0.25">
      <c r="A74" s="4">
        <f t="shared" si="16"/>
        <v>40</v>
      </c>
      <c r="B74" s="5" t="s">
        <v>453</v>
      </c>
      <c r="C74" s="6" t="s">
        <v>39</v>
      </c>
      <c r="D74" s="4" t="s">
        <v>40</v>
      </c>
      <c r="E74" s="4" t="s">
        <v>182</v>
      </c>
      <c r="F74" s="10" t="s">
        <v>409</v>
      </c>
      <c r="G74" s="4" t="s">
        <v>9</v>
      </c>
      <c r="H74" s="4" t="s">
        <v>232</v>
      </c>
      <c r="I74" s="4" t="s">
        <v>341</v>
      </c>
      <c r="J74" s="7" t="s">
        <v>26</v>
      </c>
      <c r="K74" s="4" t="s">
        <v>26</v>
      </c>
      <c r="L74" s="7" t="s">
        <v>26</v>
      </c>
      <c r="M74" s="7" t="s">
        <v>26</v>
      </c>
      <c r="N74" s="7" t="s">
        <v>26</v>
      </c>
      <c r="O74" s="7" t="s">
        <v>26</v>
      </c>
      <c r="P74" s="7" t="s">
        <v>26</v>
      </c>
      <c r="Q74" s="7" t="s">
        <v>26</v>
      </c>
      <c r="R74" s="8">
        <v>20.399999999999999</v>
      </c>
      <c r="S74" s="8">
        <v>49.2</v>
      </c>
      <c r="T74" s="4" t="str">
        <f t="shared" si="11"/>
        <v>Slow</v>
      </c>
      <c r="U74" s="4" t="s">
        <v>10</v>
      </c>
      <c r="V74" s="4" t="s">
        <v>32</v>
      </c>
      <c r="W74" s="4">
        <v>0</v>
      </c>
      <c r="X74" s="4">
        <v>1000</v>
      </c>
      <c r="Y74" s="4">
        <v>400</v>
      </c>
      <c r="Z74" s="4">
        <v>22</v>
      </c>
      <c r="AA74" s="11">
        <v>0.7</v>
      </c>
      <c r="AB74" s="8">
        <v>300</v>
      </c>
      <c r="AC74" s="4" t="s">
        <v>42</v>
      </c>
      <c r="AD74" s="11">
        <v>0.7</v>
      </c>
      <c r="AE74" s="5" t="s">
        <v>182</v>
      </c>
      <c r="AF74" s="4" t="s">
        <v>192</v>
      </c>
    </row>
    <row r="75" spans="1:32" s="4" customFormat="1" x14ac:dyDescent="0.25">
      <c r="A75" s="4">
        <f t="shared" si="16"/>
        <v>40</v>
      </c>
      <c r="B75" s="5" t="s">
        <v>615</v>
      </c>
      <c r="C75" s="6" t="s">
        <v>39</v>
      </c>
      <c r="D75" s="4" t="s">
        <v>40</v>
      </c>
      <c r="E75" s="4" t="s">
        <v>182</v>
      </c>
      <c r="F75" s="10" t="s">
        <v>617</v>
      </c>
      <c r="G75" s="4" t="s">
        <v>9</v>
      </c>
      <c r="H75" s="4" t="s">
        <v>232</v>
      </c>
      <c r="I75" s="4" t="s">
        <v>341</v>
      </c>
      <c r="J75" s="7">
        <f t="shared" si="14"/>
        <v>43.638804968110101</v>
      </c>
      <c r="K75" s="4" t="str">
        <f t="shared" ref="K75:K116" si="17">IF(J75&gt;=80, "More Conserved", IF(J75&gt;=70, "Conserved", "Less Conserved"))</f>
        <v>Less Conserved</v>
      </c>
      <c r="L75" s="7">
        <v>26</v>
      </c>
      <c r="M75" s="7">
        <f t="shared" ref="M75:M116" si="18">L75*0.9</f>
        <v>23.400000000000002</v>
      </c>
      <c r="N75" s="7">
        <v>222.4</v>
      </c>
      <c r="O75" s="7">
        <v>595.79999999999995</v>
      </c>
      <c r="P75" s="7">
        <f t="shared" ref="P75:P116" si="19">O75*0.9</f>
        <v>536.22</v>
      </c>
      <c r="Q75" s="7">
        <f t="shared" ref="Q75:Q116" si="20">N75/O75</f>
        <v>0.37327962403491111</v>
      </c>
      <c r="R75" s="8">
        <v>9.67</v>
      </c>
      <c r="S75" s="8">
        <v>32.159999999999997</v>
      </c>
      <c r="T75" s="4" t="str">
        <f t="shared" si="11"/>
        <v>Intermediate</v>
      </c>
      <c r="U75" s="4" t="s">
        <v>10</v>
      </c>
      <c r="V75" s="4" t="s">
        <v>32</v>
      </c>
      <c r="W75" s="4">
        <v>50</v>
      </c>
      <c r="X75" s="4">
        <v>1500</v>
      </c>
      <c r="Y75" s="4">
        <v>400</v>
      </c>
      <c r="Z75" s="4">
        <v>25</v>
      </c>
      <c r="AA75" s="4" t="s">
        <v>616</v>
      </c>
      <c r="AB75" s="8">
        <v>154</v>
      </c>
      <c r="AC75" s="4" t="s">
        <v>194</v>
      </c>
      <c r="AD75" s="11">
        <v>0.7</v>
      </c>
      <c r="AE75" s="5" t="s">
        <v>182</v>
      </c>
      <c r="AF75" s="4" t="s">
        <v>193</v>
      </c>
    </row>
    <row r="76" spans="1:32" s="4" customFormat="1" x14ac:dyDescent="0.25">
      <c r="A76" s="4">
        <f t="shared" si="16"/>
        <v>40</v>
      </c>
      <c r="B76" s="5" t="s">
        <v>615</v>
      </c>
      <c r="C76" s="6" t="s">
        <v>39</v>
      </c>
      <c r="D76" s="4" t="s">
        <v>40</v>
      </c>
      <c r="E76" s="4" t="s">
        <v>182</v>
      </c>
      <c r="F76" s="10" t="s">
        <v>618</v>
      </c>
      <c r="G76" s="4" t="s">
        <v>9</v>
      </c>
      <c r="H76" s="4" t="s">
        <v>232</v>
      </c>
      <c r="I76" s="4" t="s">
        <v>341</v>
      </c>
      <c r="J76" s="7">
        <f t="shared" si="14"/>
        <v>62.515027650877613</v>
      </c>
      <c r="K76" s="4" t="str">
        <f t="shared" si="17"/>
        <v>Less Conserved</v>
      </c>
      <c r="L76" s="7">
        <v>26</v>
      </c>
      <c r="M76" s="7">
        <f t="shared" si="18"/>
        <v>23.400000000000002</v>
      </c>
      <c r="N76" s="7">
        <v>138.9</v>
      </c>
      <c r="O76" s="7">
        <v>415.9</v>
      </c>
      <c r="P76" s="7">
        <f t="shared" si="19"/>
        <v>374.31</v>
      </c>
      <c r="Q76" s="7">
        <f t="shared" si="20"/>
        <v>0.33397451310411158</v>
      </c>
      <c r="R76" s="8">
        <v>14.57</v>
      </c>
      <c r="S76" s="8">
        <v>23.47</v>
      </c>
      <c r="T76" s="4" t="str">
        <f t="shared" si="11"/>
        <v>Intermediate</v>
      </c>
      <c r="U76" s="4" t="s">
        <v>10</v>
      </c>
      <c r="V76" s="4" t="s">
        <v>32</v>
      </c>
      <c r="W76" s="4">
        <v>50</v>
      </c>
      <c r="X76" s="4">
        <v>1500</v>
      </c>
      <c r="Y76" s="4">
        <v>400</v>
      </c>
      <c r="Z76" s="4">
        <v>25</v>
      </c>
      <c r="AA76" s="4" t="s">
        <v>592</v>
      </c>
      <c r="AB76" s="8">
        <v>154</v>
      </c>
      <c r="AC76" s="4" t="s">
        <v>194</v>
      </c>
      <c r="AD76" s="11">
        <v>0.7</v>
      </c>
      <c r="AE76" s="5" t="s">
        <v>182</v>
      </c>
      <c r="AF76" s="4" t="s">
        <v>193</v>
      </c>
    </row>
    <row r="77" spans="1:32" s="4" customFormat="1" x14ac:dyDescent="0.25">
      <c r="A77" s="4">
        <f t="shared" si="16"/>
        <v>40</v>
      </c>
      <c r="B77" s="5" t="s">
        <v>615</v>
      </c>
      <c r="C77" s="6" t="s">
        <v>39</v>
      </c>
      <c r="D77" s="4" t="s">
        <v>40</v>
      </c>
      <c r="E77" s="4" t="s">
        <v>182</v>
      </c>
      <c r="F77" s="10" t="s">
        <v>619</v>
      </c>
      <c r="G77" s="4" t="s">
        <v>9</v>
      </c>
      <c r="H77" s="4" t="s">
        <v>232</v>
      </c>
      <c r="I77" s="4" t="s">
        <v>341</v>
      </c>
      <c r="J77" s="7">
        <f t="shared" si="14"/>
        <v>36.491228070175438</v>
      </c>
      <c r="K77" s="4" t="str">
        <f t="shared" si="17"/>
        <v>Less Conserved</v>
      </c>
      <c r="L77" s="7">
        <v>26</v>
      </c>
      <c r="M77" s="7">
        <f t="shared" si="18"/>
        <v>23.400000000000002</v>
      </c>
      <c r="N77" s="7">
        <v>343.5</v>
      </c>
      <c r="O77" s="7">
        <v>712.5</v>
      </c>
      <c r="P77" s="7">
        <f t="shared" si="19"/>
        <v>641.25</v>
      </c>
      <c r="Q77" s="7">
        <f t="shared" si="20"/>
        <v>0.48210526315789476</v>
      </c>
      <c r="R77" s="8">
        <v>9.67</v>
      </c>
      <c r="S77" s="8">
        <v>26.92</v>
      </c>
      <c r="T77" s="4" t="str">
        <f t="shared" si="11"/>
        <v>Intermediate</v>
      </c>
      <c r="U77" s="4" t="s">
        <v>10</v>
      </c>
      <c r="V77" s="4" t="s">
        <v>32</v>
      </c>
      <c r="W77" s="4">
        <v>50</v>
      </c>
      <c r="X77" s="4">
        <v>1500</v>
      </c>
      <c r="Y77" s="4">
        <v>200</v>
      </c>
      <c r="Z77" s="4">
        <v>25</v>
      </c>
      <c r="AA77" s="4" t="s">
        <v>616</v>
      </c>
      <c r="AB77" s="8">
        <v>154</v>
      </c>
      <c r="AC77" s="4" t="s">
        <v>194</v>
      </c>
      <c r="AD77" s="11">
        <v>0.7</v>
      </c>
      <c r="AE77" s="5" t="s">
        <v>182</v>
      </c>
      <c r="AF77" s="4" t="s">
        <v>193</v>
      </c>
    </row>
    <row r="78" spans="1:32" s="4" customFormat="1" x14ac:dyDescent="0.25">
      <c r="A78" s="4">
        <f t="shared" si="16"/>
        <v>41</v>
      </c>
      <c r="B78" s="5" t="s">
        <v>454</v>
      </c>
      <c r="C78" s="6" t="s">
        <v>22</v>
      </c>
      <c r="D78" s="4" t="s">
        <v>23</v>
      </c>
      <c r="E78" s="4" t="s">
        <v>183</v>
      </c>
      <c r="F78" s="4" t="s">
        <v>26</v>
      </c>
      <c r="G78" s="4" t="s">
        <v>9</v>
      </c>
      <c r="H78" s="4" t="s">
        <v>233</v>
      </c>
      <c r="I78" s="4" t="s">
        <v>342</v>
      </c>
      <c r="J78" s="7">
        <f t="shared" si="14"/>
        <v>61.315354280625876</v>
      </c>
      <c r="K78" s="4" t="str">
        <f t="shared" si="17"/>
        <v>Less Conserved</v>
      </c>
      <c r="L78" s="7">
        <v>4.82</v>
      </c>
      <c r="M78" s="7">
        <f t="shared" si="18"/>
        <v>4.3380000000000001</v>
      </c>
      <c r="N78" s="7">
        <v>35.130000000000003</v>
      </c>
      <c r="O78" s="7">
        <v>78.61</v>
      </c>
      <c r="P78" s="7">
        <f t="shared" si="19"/>
        <v>70.748999999999995</v>
      </c>
      <c r="Q78" s="7">
        <f t="shared" si="20"/>
        <v>0.44688970868846206</v>
      </c>
      <c r="R78" s="8">
        <v>23.59</v>
      </c>
      <c r="S78" s="8">
        <v>30.6</v>
      </c>
      <c r="T78" s="4" t="str">
        <f t="shared" si="11"/>
        <v>Intermediate</v>
      </c>
      <c r="U78" s="4" t="s">
        <v>10</v>
      </c>
      <c r="V78" s="4" t="s">
        <v>24</v>
      </c>
      <c r="W78" s="4">
        <v>10</v>
      </c>
      <c r="X78" s="4">
        <v>500</v>
      </c>
      <c r="Y78" s="4">
        <v>350</v>
      </c>
      <c r="Z78" s="4" t="s">
        <v>26</v>
      </c>
      <c r="AA78" s="4" t="s">
        <v>26</v>
      </c>
      <c r="AB78" s="8" t="s">
        <v>27</v>
      </c>
      <c r="AC78" s="4" t="s">
        <v>25</v>
      </c>
      <c r="AD78" s="4" t="s">
        <v>37</v>
      </c>
      <c r="AE78" s="9" t="s">
        <v>183</v>
      </c>
    </row>
    <row r="79" spans="1:32" s="4" customFormat="1" x14ac:dyDescent="0.25">
      <c r="A79" s="4">
        <f t="shared" si="16"/>
        <v>42</v>
      </c>
      <c r="B79" s="5" t="s">
        <v>470</v>
      </c>
      <c r="C79" s="6" t="s">
        <v>441</v>
      </c>
      <c r="D79" s="4" t="s">
        <v>442</v>
      </c>
      <c r="E79" s="4" t="s">
        <v>183</v>
      </c>
      <c r="F79" s="4" t="s">
        <v>26</v>
      </c>
      <c r="G79" s="4" t="s">
        <v>9</v>
      </c>
      <c r="H79" s="4" t="s">
        <v>233</v>
      </c>
      <c r="I79" s="4" t="s">
        <v>331</v>
      </c>
      <c r="J79" s="7">
        <f t="shared" si="14"/>
        <v>101.26899657166248</v>
      </c>
      <c r="K79" s="4" t="str">
        <f t="shared" si="17"/>
        <v>More Conserved</v>
      </c>
      <c r="L79" s="7">
        <v>19.791</v>
      </c>
      <c r="M79" s="7">
        <f t="shared" si="18"/>
        <v>17.811900000000001</v>
      </c>
      <c r="N79" s="7">
        <v>70.73</v>
      </c>
      <c r="O79" s="7">
        <v>195.43</v>
      </c>
      <c r="P79" s="7">
        <f t="shared" si="19"/>
        <v>175.887</v>
      </c>
      <c r="Q79" s="7">
        <f t="shared" si="20"/>
        <v>0.36191986900680551</v>
      </c>
      <c r="R79" s="8">
        <f>18.6-14.47</f>
        <v>4.1300000000000008</v>
      </c>
      <c r="S79" s="8">
        <f>19.344-14.6</f>
        <v>4.7440000000000015</v>
      </c>
      <c r="T79" s="4" t="str">
        <f t="shared" si="11"/>
        <v>Fast</v>
      </c>
      <c r="U79" s="4" t="s">
        <v>30</v>
      </c>
      <c r="V79" s="4" t="s">
        <v>41</v>
      </c>
      <c r="W79" s="4">
        <v>350</v>
      </c>
      <c r="X79" s="4">
        <v>1500</v>
      </c>
      <c r="Y79" s="5">
        <v>360</v>
      </c>
      <c r="Z79" s="4">
        <v>29</v>
      </c>
      <c r="AA79" s="11" t="s">
        <v>26</v>
      </c>
      <c r="AB79" s="8" t="s">
        <v>26</v>
      </c>
      <c r="AC79" s="4" t="s">
        <v>26</v>
      </c>
      <c r="AD79" s="4" t="s">
        <v>26</v>
      </c>
      <c r="AE79" s="5" t="s">
        <v>182</v>
      </c>
      <c r="AF79" s="4" t="s">
        <v>443</v>
      </c>
    </row>
    <row r="80" spans="1:32" s="4" customFormat="1" x14ac:dyDescent="0.25">
      <c r="A80" s="4">
        <f t="shared" si="16"/>
        <v>42</v>
      </c>
      <c r="B80" s="5" t="s">
        <v>470</v>
      </c>
      <c r="C80" s="6" t="s">
        <v>441</v>
      </c>
      <c r="D80" s="4" t="s">
        <v>442</v>
      </c>
      <c r="E80" s="4" t="s">
        <v>183</v>
      </c>
      <c r="F80" s="4" t="s">
        <v>26</v>
      </c>
      <c r="G80" s="4" t="s">
        <v>9</v>
      </c>
      <c r="H80" s="4" t="s">
        <v>233</v>
      </c>
      <c r="I80" s="4" t="s">
        <v>331</v>
      </c>
      <c r="J80" s="7">
        <f t="shared" si="14"/>
        <v>260.4322500557023</v>
      </c>
      <c r="K80" s="4" t="str">
        <f t="shared" si="17"/>
        <v>More Conserved</v>
      </c>
      <c r="L80" s="7">
        <v>24.545999999999999</v>
      </c>
      <c r="M80" s="7">
        <f t="shared" si="18"/>
        <v>22.0914</v>
      </c>
      <c r="N80" s="7">
        <v>31.806999999999999</v>
      </c>
      <c r="O80" s="7">
        <v>94.251000000000005</v>
      </c>
      <c r="P80" s="7">
        <f t="shared" si="19"/>
        <v>84.825900000000004</v>
      </c>
      <c r="Q80" s="7">
        <f t="shared" si="20"/>
        <v>0.33747122046450434</v>
      </c>
      <c r="R80" s="8">
        <f>18.8462-14.4097</f>
        <v>4.4364999999999988</v>
      </c>
      <c r="S80" s="8">
        <f>18.308-14.5846</f>
        <v>3.7233999999999998</v>
      </c>
      <c r="T80" s="4" t="str">
        <f t="shared" si="11"/>
        <v>Fast</v>
      </c>
      <c r="U80" s="4" t="s">
        <v>30</v>
      </c>
      <c r="V80" s="4" t="s">
        <v>41</v>
      </c>
      <c r="W80" s="4">
        <v>350</v>
      </c>
      <c r="X80" s="4">
        <v>1500</v>
      </c>
      <c r="Y80" s="4">
        <v>720</v>
      </c>
      <c r="Z80" s="4">
        <v>29</v>
      </c>
      <c r="AA80" s="11" t="s">
        <v>26</v>
      </c>
      <c r="AB80" s="8" t="s">
        <v>26</v>
      </c>
      <c r="AC80" s="4" t="s">
        <v>26</v>
      </c>
      <c r="AD80" s="4" t="s">
        <v>26</v>
      </c>
      <c r="AE80" s="5" t="s">
        <v>182</v>
      </c>
      <c r="AF80" s="4" t="s">
        <v>444</v>
      </c>
    </row>
    <row r="81" spans="1:32" s="4" customFormat="1" x14ac:dyDescent="0.25">
      <c r="A81" s="4">
        <f t="shared" si="16"/>
        <v>43</v>
      </c>
      <c r="B81" s="5" t="s">
        <v>545</v>
      </c>
      <c r="C81" s="6" t="s">
        <v>124</v>
      </c>
      <c r="D81" s="4" t="s">
        <v>126</v>
      </c>
      <c r="E81" s="4" t="s">
        <v>182</v>
      </c>
      <c r="F81" s="4" t="s">
        <v>239</v>
      </c>
      <c r="G81" s="4" t="s">
        <v>9</v>
      </c>
      <c r="H81" s="4" t="s">
        <v>232</v>
      </c>
      <c r="I81" s="4" t="s">
        <v>340</v>
      </c>
      <c r="J81" s="7">
        <f t="shared" si="14"/>
        <v>75.182990589055422</v>
      </c>
      <c r="K81" s="4" t="str">
        <f t="shared" si="17"/>
        <v>Conserved</v>
      </c>
      <c r="L81" s="7">
        <v>21.57</v>
      </c>
      <c r="M81" s="7">
        <f t="shared" si="18"/>
        <v>19.413</v>
      </c>
      <c r="N81" s="7">
        <v>191.4</v>
      </c>
      <c r="O81" s="7">
        <v>286.89999999999998</v>
      </c>
      <c r="P81" s="7">
        <f t="shared" si="19"/>
        <v>258.20999999999998</v>
      </c>
      <c r="Q81" s="7">
        <f t="shared" si="20"/>
        <v>0.66713140467061705</v>
      </c>
      <c r="R81" s="8">
        <v>18.059999999999999</v>
      </c>
      <c r="S81" s="8">
        <v>24.11</v>
      </c>
      <c r="T81" s="4" t="str">
        <f t="shared" si="11"/>
        <v>Intermediate</v>
      </c>
      <c r="U81" s="4" t="s">
        <v>10</v>
      </c>
      <c r="V81" s="4" t="s">
        <v>41</v>
      </c>
      <c r="W81" s="4">
        <v>0</v>
      </c>
      <c r="X81" s="4">
        <v>1000</v>
      </c>
      <c r="Y81" s="4">
        <v>400</v>
      </c>
      <c r="Z81" s="4">
        <v>25</v>
      </c>
      <c r="AA81" s="4" t="s">
        <v>546</v>
      </c>
      <c r="AB81" s="8" t="s">
        <v>37</v>
      </c>
      <c r="AC81" s="4" t="s">
        <v>37</v>
      </c>
      <c r="AD81" s="11" t="s">
        <v>37</v>
      </c>
      <c r="AE81" s="9" t="s">
        <v>183</v>
      </c>
      <c r="AF81" s="4" t="s">
        <v>707</v>
      </c>
    </row>
    <row r="82" spans="1:32" s="4" customFormat="1" x14ac:dyDescent="0.25">
      <c r="A82" s="4">
        <f t="shared" si="16"/>
        <v>43</v>
      </c>
      <c r="B82" s="5" t="s">
        <v>545</v>
      </c>
      <c r="C82" s="6" t="s">
        <v>124</v>
      </c>
      <c r="D82" s="4" t="s">
        <v>126</v>
      </c>
      <c r="E82" s="4" t="s">
        <v>182</v>
      </c>
      <c r="F82" s="4" t="s">
        <v>244</v>
      </c>
      <c r="G82" s="4" t="s">
        <v>9</v>
      </c>
      <c r="H82" s="4" t="s">
        <v>232</v>
      </c>
      <c r="I82" s="4" t="s">
        <v>340</v>
      </c>
      <c r="J82" s="7">
        <f t="shared" si="14"/>
        <v>73.515625</v>
      </c>
      <c r="K82" s="4" t="str">
        <f t="shared" si="17"/>
        <v>Conserved</v>
      </c>
      <c r="L82" s="7">
        <v>18.82</v>
      </c>
      <c r="M82" s="7">
        <f t="shared" si="18"/>
        <v>16.938000000000002</v>
      </c>
      <c r="N82" s="7">
        <v>116.2</v>
      </c>
      <c r="O82" s="7">
        <v>256</v>
      </c>
      <c r="P82" s="7">
        <f t="shared" si="19"/>
        <v>230.4</v>
      </c>
      <c r="Q82" s="7">
        <f t="shared" si="20"/>
        <v>0.45390625000000001</v>
      </c>
      <c r="R82" s="8">
        <v>25.01</v>
      </c>
      <c r="S82" s="8">
        <v>34.340000000000003</v>
      </c>
      <c r="T82" s="4" t="str">
        <f t="shared" si="11"/>
        <v>Intermediate</v>
      </c>
      <c r="U82" s="4" t="s">
        <v>10</v>
      </c>
      <c r="V82" s="4" t="s">
        <v>41</v>
      </c>
      <c r="W82" s="4">
        <v>0</v>
      </c>
      <c r="X82" s="4">
        <v>1000</v>
      </c>
      <c r="Y82" s="4">
        <v>400</v>
      </c>
      <c r="Z82" s="4">
        <v>25</v>
      </c>
      <c r="AA82" s="4" t="s">
        <v>546</v>
      </c>
      <c r="AB82" s="8" t="s">
        <v>37</v>
      </c>
      <c r="AC82" s="4" t="s">
        <v>37</v>
      </c>
      <c r="AD82" s="11" t="s">
        <v>37</v>
      </c>
      <c r="AE82" s="9" t="s">
        <v>183</v>
      </c>
      <c r="AF82" s="4" t="s">
        <v>707</v>
      </c>
    </row>
    <row r="83" spans="1:32" s="4" customFormat="1" x14ac:dyDescent="0.25">
      <c r="A83" s="4">
        <f t="shared" si="16"/>
        <v>43</v>
      </c>
      <c r="B83" s="5" t="s">
        <v>545</v>
      </c>
      <c r="C83" s="6" t="s">
        <v>124</v>
      </c>
      <c r="D83" s="4" t="s">
        <v>126</v>
      </c>
      <c r="E83" s="4" t="s">
        <v>182</v>
      </c>
      <c r="F83" s="4" t="s">
        <v>240</v>
      </c>
      <c r="G83" s="4" t="s">
        <v>9</v>
      </c>
      <c r="H83" s="4" t="s">
        <v>232</v>
      </c>
      <c r="I83" s="4" t="s">
        <v>340</v>
      </c>
      <c r="J83" s="7">
        <f t="shared" si="14"/>
        <v>65.423952490927078</v>
      </c>
      <c r="K83" s="4" t="str">
        <f t="shared" si="17"/>
        <v>Less Conserved</v>
      </c>
      <c r="L83" s="7">
        <v>19.829999999999998</v>
      </c>
      <c r="M83" s="7">
        <f t="shared" si="18"/>
        <v>17.846999999999998</v>
      </c>
      <c r="N83" s="7">
        <v>160.4</v>
      </c>
      <c r="O83" s="7">
        <v>303.10000000000002</v>
      </c>
      <c r="P83" s="7">
        <f t="shared" si="19"/>
        <v>272.79000000000002</v>
      </c>
      <c r="Q83" s="7">
        <f t="shared" si="20"/>
        <v>0.52919828439458927</v>
      </c>
      <c r="R83" s="8">
        <v>17.7</v>
      </c>
      <c r="S83" s="8">
        <v>30.81</v>
      </c>
      <c r="T83" s="4" t="str">
        <f t="shared" si="11"/>
        <v>Intermediate</v>
      </c>
      <c r="U83" s="4" t="s">
        <v>10</v>
      </c>
      <c r="V83" s="4" t="s">
        <v>41</v>
      </c>
      <c r="W83" s="4">
        <v>0</v>
      </c>
      <c r="X83" s="4">
        <v>1000</v>
      </c>
      <c r="Y83" s="4">
        <v>400</v>
      </c>
      <c r="Z83" s="4">
        <v>25</v>
      </c>
      <c r="AA83" s="4" t="s">
        <v>546</v>
      </c>
      <c r="AB83" s="8" t="s">
        <v>37</v>
      </c>
      <c r="AC83" s="4" t="s">
        <v>37</v>
      </c>
      <c r="AD83" s="11" t="s">
        <v>37</v>
      </c>
      <c r="AE83" s="9" t="s">
        <v>183</v>
      </c>
      <c r="AF83" s="4" t="s">
        <v>707</v>
      </c>
    </row>
    <row r="84" spans="1:32" s="4" customFormat="1" x14ac:dyDescent="0.25">
      <c r="A84" s="4">
        <f t="shared" si="16"/>
        <v>43</v>
      </c>
      <c r="B84" s="5" t="s">
        <v>545</v>
      </c>
      <c r="C84" s="6" t="s">
        <v>124</v>
      </c>
      <c r="D84" s="4" t="s">
        <v>126</v>
      </c>
      <c r="E84" s="4" t="s">
        <v>182</v>
      </c>
      <c r="F84" s="4" t="s">
        <v>241</v>
      </c>
      <c r="G84" s="4" t="s">
        <v>9</v>
      </c>
      <c r="H84" s="4" t="s">
        <v>232</v>
      </c>
      <c r="I84" s="4" t="s">
        <v>340</v>
      </c>
      <c r="J84" s="7">
        <f t="shared" si="14"/>
        <v>41.291153209490524</v>
      </c>
      <c r="K84" s="4" t="str">
        <f t="shared" si="17"/>
        <v>Less Conserved</v>
      </c>
      <c r="L84" s="7">
        <v>22.45</v>
      </c>
      <c r="M84" s="7">
        <f t="shared" si="18"/>
        <v>20.204999999999998</v>
      </c>
      <c r="N84" s="7">
        <v>161</v>
      </c>
      <c r="O84" s="7">
        <v>543.70000000000005</v>
      </c>
      <c r="P84" s="7">
        <f t="shared" si="19"/>
        <v>489.33000000000004</v>
      </c>
      <c r="Q84" s="7">
        <f t="shared" si="20"/>
        <v>0.29611918337318371</v>
      </c>
      <c r="R84" s="8">
        <v>15.26</v>
      </c>
      <c r="S84" s="8">
        <v>39.29</v>
      </c>
      <c r="T84" s="4" t="str">
        <f t="shared" si="11"/>
        <v>Intermediate</v>
      </c>
      <c r="U84" s="4" t="s">
        <v>10</v>
      </c>
      <c r="V84" s="4" t="s">
        <v>41</v>
      </c>
      <c r="W84" s="4">
        <v>0</v>
      </c>
      <c r="X84" s="4">
        <v>1000</v>
      </c>
      <c r="Y84" s="4">
        <v>400</v>
      </c>
      <c r="Z84" s="4">
        <v>25</v>
      </c>
      <c r="AA84" s="4" t="s">
        <v>546</v>
      </c>
      <c r="AB84" s="8" t="s">
        <v>37</v>
      </c>
      <c r="AC84" s="4" t="s">
        <v>37</v>
      </c>
      <c r="AD84" s="11" t="s">
        <v>37</v>
      </c>
      <c r="AE84" s="9" t="s">
        <v>183</v>
      </c>
      <c r="AF84" s="4" t="s">
        <v>707</v>
      </c>
    </row>
    <row r="85" spans="1:32" s="4" customFormat="1" x14ac:dyDescent="0.25">
      <c r="A85" s="4">
        <f t="shared" si="16"/>
        <v>43</v>
      </c>
      <c r="B85" s="5" t="s">
        <v>545</v>
      </c>
      <c r="C85" s="6" t="s">
        <v>124</v>
      </c>
      <c r="D85" s="4" t="s">
        <v>126</v>
      </c>
      <c r="E85" s="4" t="s">
        <v>182</v>
      </c>
      <c r="F85" s="4" t="s">
        <v>238</v>
      </c>
      <c r="G85" s="4" t="s">
        <v>9</v>
      </c>
      <c r="H85" s="4" t="s">
        <v>232</v>
      </c>
      <c r="I85" s="4" t="s">
        <v>340</v>
      </c>
      <c r="J85" s="7">
        <f t="shared" si="14"/>
        <v>54.026845637583897</v>
      </c>
      <c r="K85" s="4" t="str">
        <f t="shared" si="17"/>
        <v>Less Conserved</v>
      </c>
      <c r="L85" s="7">
        <v>20.93</v>
      </c>
      <c r="M85" s="7">
        <f t="shared" si="18"/>
        <v>18.837</v>
      </c>
      <c r="N85" s="7">
        <v>303.8</v>
      </c>
      <c r="O85" s="7">
        <v>387.4</v>
      </c>
      <c r="P85" s="7">
        <f t="shared" si="19"/>
        <v>348.65999999999997</v>
      </c>
      <c r="Q85" s="7">
        <f t="shared" si="20"/>
        <v>0.78420237480640176</v>
      </c>
      <c r="R85" s="8">
        <v>10.3</v>
      </c>
      <c r="S85" s="8">
        <v>15</v>
      </c>
      <c r="T85" s="4" t="str">
        <f t="shared" si="11"/>
        <v>Fast</v>
      </c>
      <c r="U85" s="4" t="s">
        <v>10</v>
      </c>
      <c r="V85" s="4" t="s">
        <v>41</v>
      </c>
      <c r="W85" s="4">
        <v>0</v>
      </c>
      <c r="X85" s="4">
        <v>1000</v>
      </c>
      <c r="Y85" s="4">
        <v>400</v>
      </c>
      <c r="Z85" s="4">
        <v>25</v>
      </c>
      <c r="AA85" s="4" t="s">
        <v>546</v>
      </c>
      <c r="AB85" s="8" t="s">
        <v>37</v>
      </c>
      <c r="AC85" s="4" t="s">
        <v>37</v>
      </c>
      <c r="AD85" s="11" t="s">
        <v>37</v>
      </c>
      <c r="AE85" s="9" t="s">
        <v>183</v>
      </c>
      <c r="AF85" s="4" t="s">
        <v>707</v>
      </c>
    </row>
    <row r="86" spans="1:32" s="4" customFormat="1" x14ac:dyDescent="0.25">
      <c r="A86" s="4">
        <f t="shared" si="16"/>
        <v>43</v>
      </c>
      <c r="B86" s="5" t="s">
        <v>545</v>
      </c>
      <c r="C86" s="6" t="s">
        <v>124</v>
      </c>
      <c r="D86" s="4" t="s">
        <v>126</v>
      </c>
      <c r="E86" s="4" t="s">
        <v>182</v>
      </c>
      <c r="F86" s="4" t="s">
        <v>245</v>
      </c>
      <c r="G86" s="4" t="s">
        <v>9</v>
      </c>
      <c r="H86" s="4" t="s">
        <v>232</v>
      </c>
      <c r="I86" s="4" t="s">
        <v>340</v>
      </c>
      <c r="J86" s="7">
        <f t="shared" si="14"/>
        <v>72.199170124481327</v>
      </c>
      <c r="K86" s="4" t="str">
        <f t="shared" si="17"/>
        <v>Conserved</v>
      </c>
      <c r="L86" s="7">
        <v>19.14</v>
      </c>
      <c r="M86" s="7">
        <f t="shared" si="18"/>
        <v>17.226000000000003</v>
      </c>
      <c r="N86" s="7">
        <v>79.400000000000006</v>
      </c>
      <c r="O86" s="7">
        <v>265.10000000000002</v>
      </c>
      <c r="P86" s="7">
        <f t="shared" si="19"/>
        <v>238.59000000000003</v>
      </c>
      <c r="Q86" s="7">
        <f t="shared" si="20"/>
        <v>0.29950961901169371</v>
      </c>
      <c r="R86" s="8">
        <v>26.76</v>
      </c>
      <c r="S86" s="8">
        <v>41.32</v>
      </c>
      <c r="T86" s="4" t="str">
        <f t="shared" si="11"/>
        <v>Intermediate</v>
      </c>
      <c r="U86" s="4" t="s">
        <v>10</v>
      </c>
      <c r="V86" s="4" t="s">
        <v>41</v>
      </c>
      <c r="W86" s="4">
        <v>0</v>
      </c>
      <c r="X86" s="4">
        <v>1000</v>
      </c>
      <c r="Y86" s="4">
        <v>400</v>
      </c>
      <c r="Z86" s="4">
        <v>25</v>
      </c>
      <c r="AA86" s="4" t="s">
        <v>546</v>
      </c>
      <c r="AB86" s="8" t="s">
        <v>37</v>
      </c>
      <c r="AC86" s="4" t="s">
        <v>37</v>
      </c>
      <c r="AD86" s="11" t="s">
        <v>37</v>
      </c>
      <c r="AE86" s="9" t="s">
        <v>183</v>
      </c>
      <c r="AF86" s="4" t="s">
        <v>707</v>
      </c>
    </row>
    <row r="87" spans="1:32" s="4" customFormat="1" x14ac:dyDescent="0.25">
      <c r="A87" s="4">
        <f t="shared" si="16"/>
        <v>43</v>
      </c>
      <c r="B87" s="5" t="s">
        <v>545</v>
      </c>
      <c r="C87" s="6" t="s">
        <v>124</v>
      </c>
      <c r="D87" s="4" t="s">
        <v>126</v>
      </c>
      <c r="E87" s="4" t="s">
        <v>182</v>
      </c>
      <c r="F87" s="4" t="s">
        <v>242</v>
      </c>
      <c r="G87" s="4" t="s">
        <v>9</v>
      </c>
      <c r="H87" s="4" t="s">
        <v>232</v>
      </c>
      <c r="I87" s="4" t="s">
        <v>340</v>
      </c>
      <c r="J87" s="7">
        <f t="shared" si="14"/>
        <v>55.198019801980195</v>
      </c>
      <c r="K87" s="4" t="str">
        <f t="shared" si="17"/>
        <v>Less Conserved</v>
      </c>
      <c r="L87" s="7">
        <v>20.07</v>
      </c>
      <c r="M87" s="7">
        <f t="shared" si="18"/>
        <v>18.063000000000002</v>
      </c>
      <c r="N87" s="7">
        <v>123.6</v>
      </c>
      <c r="O87" s="7">
        <v>363.6</v>
      </c>
      <c r="P87" s="7">
        <f t="shared" si="19"/>
        <v>327.24</v>
      </c>
      <c r="Q87" s="7">
        <f t="shared" si="20"/>
        <v>0.33993399339933988</v>
      </c>
      <c r="R87" s="8">
        <v>15.38</v>
      </c>
      <c r="S87" s="8">
        <v>37.94</v>
      </c>
      <c r="T87" s="4" t="str">
        <f t="shared" ref="T87:T118" si="21">IF(S87&gt;=45, "Slow", IF(S87&gt;=20, "Intermediate", "Fast"))</f>
        <v>Intermediate</v>
      </c>
      <c r="U87" s="4" t="s">
        <v>10</v>
      </c>
      <c r="V87" s="4" t="s">
        <v>41</v>
      </c>
      <c r="W87" s="4">
        <v>0</v>
      </c>
      <c r="X87" s="4">
        <v>1000</v>
      </c>
      <c r="Y87" s="4">
        <v>400</v>
      </c>
      <c r="Z87" s="4">
        <v>25</v>
      </c>
      <c r="AA87" s="4" t="s">
        <v>546</v>
      </c>
      <c r="AB87" s="8" t="s">
        <v>37</v>
      </c>
      <c r="AC87" s="4" t="s">
        <v>37</v>
      </c>
      <c r="AD87" s="11" t="s">
        <v>37</v>
      </c>
      <c r="AE87" s="9" t="s">
        <v>183</v>
      </c>
      <c r="AF87" s="4" t="s">
        <v>707</v>
      </c>
    </row>
    <row r="88" spans="1:32" s="4" customFormat="1" x14ac:dyDescent="0.25">
      <c r="A88" s="4">
        <f t="shared" si="16"/>
        <v>43</v>
      </c>
      <c r="B88" s="5" t="s">
        <v>545</v>
      </c>
      <c r="C88" s="6" t="s">
        <v>124</v>
      </c>
      <c r="D88" s="4" t="s">
        <v>126</v>
      </c>
      <c r="E88" s="4" t="s">
        <v>182</v>
      </c>
      <c r="F88" s="4" t="s">
        <v>243</v>
      </c>
      <c r="G88" s="4" t="s">
        <v>9</v>
      </c>
      <c r="H88" s="4" t="s">
        <v>232</v>
      </c>
      <c r="I88" s="4" t="s">
        <v>340</v>
      </c>
      <c r="J88" s="7">
        <f t="shared" si="14"/>
        <v>65.035188739603313</v>
      </c>
      <c r="K88" s="4" t="str">
        <f t="shared" si="17"/>
        <v>Less Conserved</v>
      </c>
      <c r="L88" s="7">
        <v>20.329999999999998</v>
      </c>
      <c r="M88" s="7">
        <f t="shared" si="18"/>
        <v>18.297000000000001</v>
      </c>
      <c r="N88" s="7">
        <v>70.900000000000006</v>
      </c>
      <c r="O88" s="7">
        <v>312.60000000000002</v>
      </c>
      <c r="P88" s="7">
        <f t="shared" si="19"/>
        <v>281.34000000000003</v>
      </c>
      <c r="Q88" s="7">
        <f t="shared" si="20"/>
        <v>0.22680742162507997</v>
      </c>
      <c r="R88" s="8">
        <v>18.71</v>
      </c>
      <c r="S88" s="8">
        <v>27.15</v>
      </c>
      <c r="T88" s="4" t="str">
        <f t="shared" si="21"/>
        <v>Intermediate</v>
      </c>
      <c r="U88" s="4" t="s">
        <v>10</v>
      </c>
      <c r="V88" s="4" t="s">
        <v>41</v>
      </c>
      <c r="W88" s="4">
        <v>0</v>
      </c>
      <c r="X88" s="4">
        <v>1000</v>
      </c>
      <c r="Y88" s="4">
        <v>400</v>
      </c>
      <c r="Z88" s="4">
        <v>25</v>
      </c>
      <c r="AA88" s="4" t="s">
        <v>546</v>
      </c>
      <c r="AB88" s="8" t="s">
        <v>37</v>
      </c>
      <c r="AC88" s="4" t="s">
        <v>37</v>
      </c>
      <c r="AD88" s="11" t="s">
        <v>37</v>
      </c>
      <c r="AE88" s="9" t="s">
        <v>183</v>
      </c>
      <c r="AF88" s="4" t="s">
        <v>707</v>
      </c>
    </row>
    <row r="89" spans="1:32" s="4" customFormat="1" x14ac:dyDescent="0.25">
      <c r="A89" s="4">
        <f t="shared" si="16"/>
        <v>44</v>
      </c>
      <c r="B89" s="5" t="s">
        <v>543</v>
      </c>
      <c r="C89" s="6" t="s">
        <v>151</v>
      </c>
      <c r="D89" s="4" t="s">
        <v>152</v>
      </c>
      <c r="E89" s="4" t="s">
        <v>182</v>
      </c>
      <c r="F89" s="4" t="s">
        <v>252</v>
      </c>
      <c r="G89" s="4" t="s">
        <v>9</v>
      </c>
      <c r="H89" s="4" t="s">
        <v>232</v>
      </c>
      <c r="I89" s="4" t="s">
        <v>425</v>
      </c>
      <c r="J89" s="7">
        <f t="shared" si="14"/>
        <v>92.989985693848354</v>
      </c>
      <c r="K89" s="4" t="str">
        <f t="shared" si="17"/>
        <v>More Conserved</v>
      </c>
      <c r="L89" s="7">
        <v>6.5</v>
      </c>
      <c r="M89" s="7">
        <f t="shared" si="18"/>
        <v>5.8500000000000005</v>
      </c>
      <c r="N89" s="7">
        <v>1.4</v>
      </c>
      <c r="O89" s="7">
        <v>69.900000000000006</v>
      </c>
      <c r="P89" s="7">
        <f t="shared" si="19"/>
        <v>62.910000000000004</v>
      </c>
      <c r="Q89" s="7">
        <f t="shared" si="20"/>
        <v>2.0028612303290411E-2</v>
      </c>
      <c r="R89" s="8">
        <v>27.7</v>
      </c>
      <c r="S89" s="8">
        <v>28.44</v>
      </c>
      <c r="T89" s="4" t="str">
        <f t="shared" si="21"/>
        <v>Intermediate</v>
      </c>
      <c r="U89" s="4" t="s">
        <v>10</v>
      </c>
      <c r="V89" s="4" t="s">
        <v>24</v>
      </c>
      <c r="W89" s="4">
        <v>20</v>
      </c>
      <c r="X89" s="4">
        <v>1500</v>
      </c>
      <c r="Y89" s="4">
        <v>400</v>
      </c>
      <c r="Z89" s="4">
        <v>25</v>
      </c>
      <c r="AA89" s="4" t="s">
        <v>544</v>
      </c>
      <c r="AB89" s="8" t="s">
        <v>153</v>
      </c>
      <c r="AC89" s="4" t="s">
        <v>37</v>
      </c>
      <c r="AD89" s="11" t="s">
        <v>37</v>
      </c>
      <c r="AE89" s="5" t="s">
        <v>182</v>
      </c>
      <c r="AF89" s="4" t="s">
        <v>708</v>
      </c>
    </row>
    <row r="90" spans="1:32" s="4" customFormat="1" x14ac:dyDescent="0.25">
      <c r="A90" s="4">
        <f t="shared" si="16"/>
        <v>44</v>
      </c>
      <c r="B90" s="5" t="s">
        <v>543</v>
      </c>
      <c r="C90" s="6" t="s">
        <v>151</v>
      </c>
      <c r="D90" s="4" t="s">
        <v>152</v>
      </c>
      <c r="E90" s="4" t="s">
        <v>182</v>
      </c>
      <c r="F90" s="4" t="s">
        <v>251</v>
      </c>
      <c r="G90" s="4" t="s">
        <v>9</v>
      </c>
      <c r="H90" s="4" t="s">
        <v>232</v>
      </c>
      <c r="I90" s="4" t="s">
        <v>425</v>
      </c>
      <c r="J90" s="7">
        <f t="shared" si="14"/>
        <v>108.06045340050376</v>
      </c>
      <c r="K90" s="4" t="str">
        <f t="shared" si="17"/>
        <v>More Conserved</v>
      </c>
      <c r="L90" s="7">
        <v>6.8639999999999999</v>
      </c>
      <c r="M90" s="7">
        <f t="shared" si="18"/>
        <v>6.1776</v>
      </c>
      <c r="N90" s="7">
        <v>0</v>
      </c>
      <c r="O90" s="7">
        <v>63.52</v>
      </c>
      <c r="P90" s="7">
        <f t="shared" si="19"/>
        <v>57.168000000000006</v>
      </c>
      <c r="Q90" s="7">
        <f t="shared" si="20"/>
        <v>0</v>
      </c>
      <c r="R90" s="8">
        <v>30.7</v>
      </c>
      <c r="S90" s="8">
        <v>30.49</v>
      </c>
      <c r="T90" s="4" t="str">
        <f t="shared" si="21"/>
        <v>Intermediate</v>
      </c>
      <c r="U90" s="4" t="s">
        <v>10</v>
      </c>
      <c r="V90" s="4" t="s">
        <v>24</v>
      </c>
      <c r="W90" s="4">
        <v>20</v>
      </c>
      <c r="X90" s="4">
        <v>1500</v>
      </c>
      <c r="Y90" s="4">
        <v>400</v>
      </c>
      <c r="Z90" s="4">
        <v>25</v>
      </c>
      <c r="AA90" s="4" t="s">
        <v>544</v>
      </c>
      <c r="AB90" s="8" t="s">
        <v>154</v>
      </c>
      <c r="AC90" s="4" t="s">
        <v>37</v>
      </c>
      <c r="AD90" s="11" t="s">
        <v>37</v>
      </c>
      <c r="AE90" s="5" t="s">
        <v>182</v>
      </c>
      <c r="AF90" s="4" t="s">
        <v>709</v>
      </c>
    </row>
    <row r="91" spans="1:32" s="4" customFormat="1" x14ac:dyDescent="0.25">
      <c r="A91" s="4">
        <f t="shared" si="16"/>
        <v>45</v>
      </c>
      <c r="B91" s="5" t="s">
        <v>455</v>
      </c>
      <c r="C91" s="6" t="s">
        <v>50</v>
      </c>
      <c r="D91" s="4" t="s">
        <v>52</v>
      </c>
      <c r="E91" s="4" t="s">
        <v>183</v>
      </c>
      <c r="F91" s="10" t="s">
        <v>236</v>
      </c>
      <c r="G91" s="4" t="s">
        <v>9</v>
      </c>
      <c r="H91" s="4" t="s">
        <v>232</v>
      </c>
      <c r="I91" s="4" t="s">
        <v>340</v>
      </c>
      <c r="J91" s="7">
        <f t="shared" si="14"/>
        <v>58.352206169465042</v>
      </c>
      <c r="K91" s="4" t="str">
        <f t="shared" si="17"/>
        <v>Less Conserved</v>
      </c>
      <c r="L91" s="7">
        <v>7.4720000000000004</v>
      </c>
      <c r="M91" s="7">
        <f t="shared" si="18"/>
        <v>6.7248000000000001</v>
      </c>
      <c r="N91" s="7">
        <v>88.6</v>
      </c>
      <c r="O91" s="7">
        <v>128.05000000000001</v>
      </c>
      <c r="P91" s="7">
        <f t="shared" si="19"/>
        <v>115.24500000000002</v>
      </c>
      <c r="Q91" s="7">
        <f t="shared" si="20"/>
        <v>0.69191721983600141</v>
      </c>
      <c r="R91" s="8">
        <f>42.88-30</f>
        <v>12.880000000000003</v>
      </c>
      <c r="S91" s="8">
        <f>58.16-30</f>
        <v>28.159999999999997</v>
      </c>
      <c r="T91" s="4" t="str">
        <f t="shared" si="21"/>
        <v>Intermediate</v>
      </c>
      <c r="U91" s="4" t="s">
        <v>10</v>
      </c>
      <c r="V91" s="4" t="s">
        <v>51</v>
      </c>
      <c r="W91" s="4">
        <v>100</v>
      </c>
      <c r="X91" s="4">
        <v>500</v>
      </c>
      <c r="Y91" s="4">
        <v>400</v>
      </c>
      <c r="Z91" s="4">
        <v>21</v>
      </c>
      <c r="AA91" s="4" t="s">
        <v>237</v>
      </c>
      <c r="AB91" s="8">
        <v>100</v>
      </c>
      <c r="AC91" s="4">
        <v>22</v>
      </c>
      <c r="AD91" s="11">
        <v>0.6</v>
      </c>
      <c r="AE91" s="5" t="s">
        <v>182</v>
      </c>
    </row>
    <row r="92" spans="1:32" s="4" customFormat="1" x14ac:dyDescent="0.25">
      <c r="A92" s="4">
        <f t="shared" si="16"/>
        <v>45</v>
      </c>
      <c r="B92" s="5" t="s">
        <v>456</v>
      </c>
      <c r="C92" s="6" t="s">
        <v>50</v>
      </c>
      <c r="D92" s="4" t="s">
        <v>52</v>
      </c>
      <c r="E92" s="4" t="s">
        <v>183</v>
      </c>
      <c r="F92" s="10" t="s">
        <v>236</v>
      </c>
      <c r="G92" s="4" t="s">
        <v>9</v>
      </c>
      <c r="H92" s="4" t="s">
        <v>232</v>
      </c>
      <c r="I92" s="4" t="s">
        <v>340</v>
      </c>
      <c r="J92" s="7">
        <f t="shared" si="14"/>
        <v>35.850495804729221</v>
      </c>
      <c r="K92" s="4" t="str">
        <f t="shared" si="17"/>
        <v>Less Conserved</v>
      </c>
      <c r="L92" s="7">
        <f>10.81/0.95</f>
        <v>11.378947368421054</v>
      </c>
      <c r="M92" s="7">
        <f t="shared" si="18"/>
        <v>10.241052631578949</v>
      </c>
      <c r="N92" s="7">
        <v>133.80000000000001</v>
      </c>
      <c r="O92" s="7">
        <v>317.39999999999998</v>
      </c>
      <c r="P92" s="7">
        <f t="shared" si="19"/>
        <v>285.65999999999997</v>
      </c>
      <c r="Q92" s="7">
        <f t="shared" si="20"/>
        <v>0.4215500945179585</v>
      </c>
      <c r="R92" s="8">
        <f>24.88/0.95*0.9</f>
        <v>23.570526315789476</v>
      </c>
      <c r="S92" s="8">
        <v>21.63</v>
      </c>
      <c r="T92" s="4" t="str">
        <f t="shared" si="21"/>
        <v>Intermediate</v>
      </c>
      <c r="U92" s="4" t="s">
        <v>10</v>
      </c>
      <c r="V92" s="4" t="s">
        <v>51</v>
      </c>
      <c r="W92" s="4">
        <v>100</v>
      </c>
      <c r="X92" s="4">
        <v>1000</v>
      </c>
      <c r="Y92" s="4">
        <v>400</v>
      </c>
      <c r="Z92" s="4">
        <v>20</v>
      </c>
      <c r="AA92" s="4" t="s">
        <v>309</v>
      </c>
      <c r="AB92" s="8">
        <v>155</v>
      </c>
      <c r="AC92" s="4" t="s">
        <v>115</v>
      </c>
      <c r="AD92" s="11" t="s">
        <v>116</v>
      </c>
      <c r="AE92" s="5" t="s">
        <v>182</v>
      </c>
      <c r="AF92" s="4" t="s">
        <v>527</v>
      </c>
    </row>
    <row r="93" spans="1:32" s="4" customFormat="1" x14ac:dyDescent="0.25">
      <c r="A93" s="4">
        <f t="shared" si="16"/>
        <v>46</v>
      </c>
      <c r="B93" s="5" t="s">
        <v>456</v>
      </c>
      <c r="C93" s="6" t="s">
        <v>111</v>
      </c>
      <c r="D93" s="4" t="s">
        <v>112</v>
      </c>
      <c r="E93" s="4" t="s">
        <v>182</v>
      </c>
      <c r="F93" s="10" t="s">
        <v>300</v>
      </c>
      <c r="G93" s="4" t="s">
        <v>9</v>
      </c>
      <c r="H93" s="4" t="s">
        <v>233</v>
      </c>
      <c r="I93" s="4" t="s">
        <v>331</v>
      </c>
      <c r="J93" s="7">
        <f t="shared" si="14"/>
        <v>49.671386588298155</v>
      </c>
      <c r="K93" s="4" t="str">
        <f t="shared" si="17"/>
        <v>Less Conserved</v>
      </c>
      <c r="L93" s="7">
        <f>23.24/0.95</f>
        <v>24.463157894736842</v>
      </c>
      <c r="M93" s="7">
        <f t="shared" si="18"/>
        <v>22.016842105263159</v>
      </c>
      <c r="N93" s="7">
        <v>227.6</v>
      </c>
      <c r="O93" s="7">
        <v>492.5</v>
      </c>
      <c r="P93" s="7">
        <f t="shared" si="19"/>
        <v>443.25</v>
      </c>
      <c r="Q93" s="7">
        <f t="shared" si="20"/>
        <v>0.46213197969543146</v>
      </c>
      <c r="R93" s="8">
        <f>10.59/0.95*0.9</f>
        <v>10.032631578947369</v>
      </c>
      <c r="S93" s="8">
        <v>15.9</v>
      </c>
      <c r="T93" s="4" t="str">
        <f t="shared" si="21"/>
        <v>Fast</v>
      </c>
      <c r="U93" s="4" t="s">
        <v>10</v>
      </c>
      <c r="V93" s="4" t="s">
        <v>41</v>
      </c>
      <c r="W93" s="4">
        <v>100</v>
      </c>
      <c r="X93" s="4">
        <v>1000</v>
      </c>
      <c r="Y93" s="4">
        <v>400</v>
      </c>
      <c r="Z93" s="4">
        <v>20</v>
      </c>
      <c r="AA93" s="4" t="s">
        <v>309</v>
      </c>
      <c r="AB93" s="8">
        <v>800</v>
      </c>
      <c r="AC93" s="4" t="s">
        <v>38</v>
      </c>
      <c r="AD93" s="11" t="s">
        <v>26</v>
      </c>
      <c r="AE93" s="9" t="s">
        <v>183</v>
      </c>
      <c r="AF93" s="4" t="s">
        <v>527</v>
      </c>
    </row>
    <row r="94" spans="1:32" s="4" customFormat="1" x14ac:dyDescent="0.25">
      <c r="A94" s="4">
        <f t="shared" si="16"/>
        <v>47</v>
      </c>
      <c r="B94" s="5" t="s">
        <v>456</v>
      </c>
      <c r="C94" s="6" t="s">
        <v>96</v>
      </c>
      <c r="D94" s="4" t="s">
        <v>93</v>
      </c>
      <c r="E94" s="4" t="s">
        <v>183</v>
      </c>
      <c r="F94" s="10" t="s">
        <v>26</v>
      </c>
      <c r="G94" s="4" t="s">
        <v>9</v>
      </c>
      <c r="H94" s="4" t="s">
        <v>65</v>
      </c>
      <c r="I94" s="4" t="s">
        <v>343</v>
      </c>
      <c r="J94" s="7">
        <f t="shared" si="14"/>
        <v>155.94541910331384</v>
      </c>
      <c r="K94" s="4" t="str">
        <f t="shared" si="17"/>
        <v>More Conserved</v>
      </c>
      <c r="L94" s="7">
        <f>5.6/0.95</f>
        <v>5.8947368421052628</v>
      </c>
      <c r="M94" s="7">
        <f t="shared" si="18"/>
        <v>5.3052631578947365</v>
      </c>
      <c r="N94" s="7">
        <v>12.1</v>
      </c>
      <c r="O94" s="7">
        <v>37.799999999999997</v>
      </c>
      <c r="P94" s="7">
        <f t="shared" si="19"/>
        <v>34.019999999999996</v>
      </c>
      <c r="Q94" s="7">
        <f t="shared" si="20"/>
        <v>0.32010582010582012</v>
      </c>
      <c r="R94" s="8">
        <f>47.71/0.95*0.9</f>
        <v>45.198947368421052</v>
      </c>
      <c r="S94" s="8">
        <v>40.700000000000003</v>
      </c>
      <c r="T94" s="4" t="str">
        <f t="shared" si="21"/>
        <v>Intermediate</v>
      </c>
      <c r="U94" s="4" t="s">
        <v>10</v>
      </c>
      <c r="V94" s="4" t="s">
        <v>41</v>
      </c>
      <c r="W94" s="4">
        <v>100</v>
      </c>
      <c r="X94" s="4">
        <v>1000</v>
      </c>
      <c r="Y94" s="4">
        <v>400</v>
      </c>
      <c r="Z94" s="4">
        <v>20</v>
      </c>
      <c r="AA94" s="4" t="s">
        <v>309</v>
      </c>
      <c r="AB94" s="8">
        <v>800</v>
      </c>
      <c r="AC94" s="4" t="s">
        <v>38</v>
      </c>
      <c r="AD94" s="11" t="s">
        <v>26</v>
      </c>
      <c r="AE94" s="9" t="s">
        <v>183</v>
      </c>
      <c r="AF94" s="4" t="s">
        <v>527</v>
      </c>
    </row>
    <row r="95" spans="1:32" s="4" customFormat="1" x14ac:dyDescent="0.25">
      <c r="A95" s="4">
        <f t="shared" si="16"/>
        <v>48</v>
      </c>
      <c r="B95" s="5" t="s">
        <v>456</v>
      </c>
      <c r="C95" s="6" t="s">
        <v>101</v>
      </c>
      <c r="D95" s="4" t="s">
        <v>121</v>
      </c>
      <c r="E95" s="4" t="s">
        <v>182</v>
      </c>
      <c r="F95" s="10" t="s">
        <v>301</v>
      </c>
      <c r="G95" s="4" t="s">
        <v>9</v>
      </c>
      <c r="H95" s="4" t="s">
        <v>232</v>
      </c>
      <c r="I95" s="4" t="s">
        <v>344</v>
      </c>
      <c r="J95" s="7">
        <f t="shared" si="14"/>
        <v>60.316406157349206</v>
      </c>
      <c r="K95" s="4" t="str">
        <f t="shared" si="17"/>
        <v>Less Conserved</v>
      </c>
      <c r="L95" s="7">
        <f>25.43/0.95</f>
        <v>26.768421052631581</v>
      </c>
      <c r="M95" s="7">
        <f t="shared" si="18"/>
        <v>24.091578947368422</v>
      </c>
      <c r="N95" s="7">
        <v>209.5</v>
      </c>
      <c r="O95" s="7">
        <v>443.8</v>
      </c>
      <c r="P95" s="7">
        <f t="shared" si="19"/>
        <v>399.42</v>
      </c>
      <c r="Q95" s="7">
        <f t="shared" si="20"/>
        <v>0.47205948625506983</v>
      </c>
      <c r="R95" s="8">
        <f>28.67/0.95*0.9</f>
        <v>27.161052631578951</v>
      </c>
      <c r="S95" s="8">
        <v>32.22</v>
      </c>
      <c r="T95" s="4" t="str">
        <f t="shared" si="21"/>
        <v>Intermediate</v>
      </c>
      <c r="U95" s="4" t="s">
        <v>10</v>
      </c>
      <c r="V95" s="4" t="s">
        <v>32</v>
      </c>
      <c r="W95" s="4">
        <v>100</v>
      </c>
      <c r="X95" s="4">
        <v>1000</v>
      </c>
      <c r="Y95" s="4">
        <v>400</v>
      </c>
      <c r="Z95" s="4">
        <v>20</v>
      </c>
      <c r="AA95" s="4" t="s">
        <v>309</v>
      </c>
      <c r="AB95" s="8">
        <v>800</v>
      </c>
      <c r="AC95" s="4" t="s">
        <v>38</v>
      </c>
      <c r="AD95" s="11" t="s">
        <v>26</v>
      </c>
      <c r="AE95" s="5" t="s">
        <v>182</v>
      </c>
      <c r="AF95" s="4" t="s">
        <v>527</v>
      </c>
    </row>
    <row r="96" spans="1:32" s="4" customFormat="1" x14ac:dyDescent="0.25">
      <c r="A96" s="4">
        <f t="shared" si="16"/>
        <v>49</v>
      </c>
      <c r="B96" s="5" t="s">
        <v>456</v>
      </c>
      <c r="C96" s="6" t="s">
        <v>109</v>
      </c>
      <c r="D96" s="4" t="s">
        <v>110</v>
      </c>
      <c r="E96" s="4" t="s">
        <v>182</v>
      </c>
      <c r="F96" s="4" t="s">
        <v>26</v>
      </c>
      <c r="G96" s="4" t="s">
        <v>9</v>
      </c>
      <c r="H96" s="4" t="s">
        <v>233</v>
      </c>
      <c r="I96" s="4" t="s">
        <v>331</v>
      </c>
      <c r="J96" s="7">
        <f t="shared" si="14"/>
        <v>43.796913402564051</v>
      </c>
      <c r="K96" s="4" t="str">
        <f t="shared" si="17"/>
        <v>Less Conserved</v>
      </c>
      <c r="L96" s="7">
        <f>19.78/0.95</f>
        <v>20.821052631578951</v>
      </c>
      <c r="M96" s="7">
        <f t="shared" si="18"/>
        <v>18.738947368421055</v>
      </c>
      <c r="N96" s="7">
        <v>206</v>
      </c>
      <c r="O96" s="7">
        <v>475.4</v>
      </c>
      <c r="P96" s="7">
        <f t="shared" si="19"/>
        <v>427.86</v>
      </c>
      <c r="Q96" s="7">
        <f t="shared" si="20"/>
        <v>0.43331931005469082</v>
      </c>
      <c r="R96" s="8">
        <f>28.04/0.95*0.9</f>
        <v>26.56421052631579</v>
      </c>
      <c r="S96" s="8">
        <v>9</v>
      </c>
      <c r="T96" s="4" t="str">
        <f t="shared" si="21"/>
        <v>Fast</v>
      </c>
      <c r="U96" s="4" t="s">
        <v>10</v>
      </c>
      <c r="V96" s="4" t="s">
        <v>41</v>
      </c>
      <c r="W96" s="4">
        <v>100</v>
      </c>
      <c r="X96" s="4">
        <v>1000</v>
      </c>
      <c r="Y96" s="4">
        <v>400</v>
      </c>
      <c r="Z96" s="4">
        <v>20</v>
      </c>
      <c r="AA96" s="4" t="s">
        <v>309</v>
      </c>
      <c r="AB96" s="8">
        <v>800</v>
      </c>
      <c r="AC96" s="4" t="s">
        <v>38</v>
      </c>
      <c r="AD96" s="11" t="s">
        <v>26</v>
      </c>
      <c r="AE96" s="5" t="s">
        <v>182</v>
      </c>
      <c r="AF96" s="4" t="s">
        <v>527</v>
      </c>
    </row>
    <row r="97" spans="1:32" s="4" customFormat="1" x14ac:dyDescent="0.25">
      <c r="A97" s="4">
        <f t="shared" si="16"/>
        <v>50</v>
      </c>
      <c r="B97" s="5" t="s">
        <v>456</v>
      </c>
      <c r="C97" s="6" t="s">
        <v>107</v>
      </c>
      <c r="D97" s="4" t="s">
        <v>108</v>
      </c>
      <c r="E97" s="4" t="s">
        <v>183</v>
      </c>
      <c r="F97" s="4" t="s">
        <v>26</v>
      </c>
      <c r="G97" s="4" t="s">
        <v>9</v>
      </c>
      <c r="H97" s="4" t="s">
        <v>233</v>
      </c>
      <c r="I97" s="4" t="s">
        <v>331</v>
      </c>
      <c r="J97" s="7">
        <f t="shared" si="14"/>
        <v>115.34583585400283</v>
      </c>
      <c r="K97" s="4" t="str">
        <f t="shared" si="17"/>
        <v>More Conserved</v>
      </c>
      <c r="L97" s="7">
        <f>14.3/0.95</f>
        <v>15.05263157894737</v>
      </c>
      <c r="M97" s="7">
        <f t="shared" si="18"/>
        <v>13.547368421052633</v>
      </c>
      <c r="N97" s="7">
        <v>59</v>
      </c>
      <c r="O97" s="7">
        <v>130.5</v>
      </c>
      <c r="P97" s="7">
        <f t="shared" si="19"/>
        <v>117.45</v>
      </c>
      <c r="Q97" s="7">
        <f t="shared" si="20"/>
        <v>0.45210727969348657</v>
      </c>
      <c r="R97" s="8">
        <f>27.53/0.95*0.9</f>
        <v>26.081052631578949</v>
      </c>
      <c r="S97" s="8">
        <v>7</v>
      </c>
      <c r="T97" s="4" t="str">
        <f t="shared" si="21"/>
        <v>Fast</v>
      </c>
      <c r="U97" s="4" t="s">
        <v>30</v>
      </c>
      <c r="V97" s="4" t="s">
        <v>41</v>
      </c>
      <c r="W97" s="4">
        <v>100</v>
      </c>
      <c r="X97" s="4">
        <v>1000</v>
      </c>
      <c r="Y97" s="4">
        <v>400</v>
      </c>
      <c r="Z97" s="4">
        <v>20</v>
      </c>
      <c r="AA97" s="4" t="s">
        <v>309</v>
      </c>
      <c r="AB97" s="8">
        <v>800</v>
      </c>
      <c r="AC97" s="4" t="s">
        <v>38</v>
      </c>
      <c r="AD97" s="11" t="s">
        <v>26</v>
      </c>
      <c r="AE97" s="9" t="s">
        <v>183</v>
      </c>
      <c r="AF97" s="4" t="s">
        <v>527</v>
      </c>
    </row>
    <row r="98" spans="1:32" s="4" customFormat="1" x14ac:dyDescent="0.25">
      <c r="A98" s="4">
        <f t="shared" si="16"/>
        <v>51</v>
      </c>
      <c r="B98" s="5" t="s">
        <v>456</v>
      </c>
      <c r="C98" s="6" t="s">
        <v>113</v>
      </c>
      <c r="D98" s="4" t="s">
        <v>114</v>
      </c>
      <c r="E98" s="4" t="s">
        <v>182</v>
      </c>
      <c r="F98" s="10" t="s">
        <v>311</v>
      </c>
      <c r="G98" s="4" t="s">
        <v>9</v>
      </c>
      <c r="H98" s="4" t="s">
        <v>232</v>
      </c>
      <c r="I98" s="4" t="s">
        <v>341</v>
      </c>
      <c r="J98" s="7">
        <f t="shared" si="14"/>
        <v>52.119564257843528</v>
      </c>
      <c r="K98" s="4" t="str">
        <f t="shared" si="17"/>
        <v>Less Conserved</v>
      </c>
      <c r="L98" s="7">
        <f>14.76/0.95</f>
        <v>15.536842105263158</v>
      </c>
      <c r="M98" s="7">
        <f t="shared" si="18"/>
        <v>13.983157894736843</v>
      </c>
      <c r="N98" s="7">
        <v>150.30000000000001</v>
      </c>
      <c r="O98" s="7">
        <v>298.10000000000002</v>
      </c>
      <c r="P98" s="7">
        <f t="shared" si="19"/>
        <v>268.29000000000002</v>
      </c>
      <c r="Q98" s="7">
        <f t="shared" si="20"/>
        <v>0.50419322375041931</v>
      </c>
      <c r="R98" s="8">
        <f>22.34/0.95*0.9</f>
        <v>21.164210526315792</v>
      </c>
      <c r="S98" s="8">
        <v>19.3</v>
      </c>
      <c r="T98" s="4" t="str">
        <f t="shared" si="21"/>
        <v>Fast</v>
      </c>
      <c r="U98" s="4" t="s">
        <v>10</v>
      </c>
      <c r="V98" s="4" t="s">
        <v>32</v>
      </c>
      <c r="W98" s="4">
        <v>100</v>
      </c>
      <c r="X98" s="4">
        <v>1000</v>
      </c>
      <c r="Y98" s="4">
        <v>400</v>
      </c>
      <c r="Z98" s="4">
        <v>20</v>
      </c>
      <c r="AA98" s="4" t="s">
        <v>309</v>
      </c>
      <c r="AB98" s="8">
        <v>800</v>
      </c>
      <c r="AC98" s="4" t="s">
        <v>38</v>
      </c>
      <c r="AD98" s="11" t="s">
        <v>26</v>
      </c>
      <c r="AE98" s="9" t="s">
        <v>183</v>
      </c>
      <c r="AF98" s="4" t="s">
        <v>5</v>
      </c>
    </row>
    <row r="99" spans="1:32" s="4" customFormat="1" x14ac:dyDescent="0.25">
      <c r="A99" s="4">
        <f t="shared" si="16"/>
        <v>52</v>
      </c>
      <c r="B99" s="5" t="s">
        <v>456</v>
      </c>
      <c r="C99" s="6" t="s">
        <v>14</v>
      </c>
      <c r="D99" s="4" t="s">
        <v>13</v>
      </c>
      <c r="E99" s="4" t="s">
        <v>182</v>
      </c>
      <c r="F99" s="10" t="s">
        <v>217</v>
      </c>
      <c r="G99" s="4" t="s">
        <v>9</v>
      </c>
      <c r="H99" s="4" t="s">
        <v>233</v>
      </c>
      <c r="I99" s="4" t="s">
        <v>331</v>
      </c>
      <c r="J99" s="7">
        <f t="shared" si="14"/>
        <v>62.441231035096195</v>
      </c>
      <c r="K99" s="4" t="str">
        <f t="shared" si="17"/>
        <v>Less Conserved</v>
      </c>
      <c r="L99" s="7">
        <f>24.57/0.95</f>
        <v>25.863157894736844</v>
      </c>
      <c r="M99" s="7">
        <f t="shared" si="18"/>
        <v>23.27684210526316</v>
      </c>
      <c r="N99" s="7">
        <v>134.19999999999999</v>
      </c>
      <c r="O99" s="7">
        <v>414.2</v>
      </c>
      <c r="P99" s="7">
        <f t="shared" si="19"/>
        <v>372.78</v>
      </c>
      <c r="Q99" s="7">
        <f t="shared" si="20"/>
        <v>0.32399806856591018</v>
      </c>
      <c r="R99" s="8">
        <f>8.64/0.95*0.9</f>
        <v>8.1852631578947381</v>
      </c>
      <c r="S99" s="8">
        <v>9.44</v>
      </c>
      <c r="T99" s="4" t="str">
        <f t="shared" si="21"/>
        <v>Fast</v>
      </c>
      <c r="U99" s="4" t="s">
        <v>10</v>
      </c>
      <c r="V99" s="4" t="s">
        <v>32</v>
      </c>
      <c r="W99" s="4">
        <v>100</v>
      </c>
      <c r="X99" s="4">
        <v>1000</v>
      </c>
      <c r="Y99" s="4">
        <v>400</v>
      </c>
      <c r="Z99" s="4">
        <v>20</v>
      </c>
      <c r="AA99" s="4" t="s">
        <v>309</v>
      </c>
      <c r="AB99" s="8">
        <v>800</v>
      </c>
      <c r="AC99" s="4" t="s">
        <v>104</v>
      </c>
      <c r="AD99" s="11" t="s">
        <v>188</v>
      </c>
      <c r="AE99" s="5" t="s">
        <v>182</v>
      </c>
      <c r="AF99" s="4" t="s">
        <v>527</v>
      </c>
    </row>
    <row r="100" spans="1:32" s="4" customFormat="1" x14ac:dyDescent="0.25">
      <c r="A100" s="4">
        <f t="shared" si="16"/>
        <v>53</v>
      </c>
      <c r="B100" s="5" t="s">
        <v>456</v>
      </c>
      <c r="C100" s="6" t="s">
        <v>117</v>
      </c>
      <c r="D100" s="4" t="s">
        <v>118</v>
      </c>
      <c r="E100" s="4" t="s">
        <v>182</v>
      </c>
      <c r="F100" s="10" t="s">
        <v>302</v>
      </c>
      <c r="G100" s="4" t="s">
        <v>9</v>
      </c>
      <c r="H100" s="4" t="s">
        <v>232</v>
      </c>
      <c r="I100" s="4" t="s">
        <v>345</v>
      </c>
      <c r="J100" s="7">
        <f t="shared" si="14"/>
        <v>43.182792187914536</v>
      </c>
      <c r="K100" s="4" t="str">
        <f t="shared" si="17"/>
        <v>Less Conserved</v>
      </c>
      <c r="L100" s="7">
        <f>10.58/0.95</f>
        <v>11.136842105263158</v>
      </c>
      <c r="M100" s="7">
        <f t="shared" si="18"/>
        <v>10.023157894736842</v>
      </c>
      <c r="N100" s="7">
        <v>91.7</v>
      </c>
      <c r="O100" s="7">
        <v>257.89999999999998</v>
      </c>
      <c r="P100" s="7">
        <f t="shared" si="19"/>
        <v>232.10999999999999</v>
      </c>
      <c r="Q100" s="7">
        <f t="shared" si="20"/>
        <v>0.35556417215975189</v>
      </c>
      <c r="R100" s="8">
        <f>13.02/0.95*0.9</f>
        <v>12.334736842105265</v>
      </c>
      <c r="S100" s="8">
        <v>29.64</v>
      </c>
      <c r="T100" s="4" t="str">
        <f t="shared" si="21"/>
        <v>Intermediate</v>
      </c>
      <c r="U100" s="4" t="s">
        <v>10</v>
      </c>
      <c r="V100" s="4" t="s">
        <v>41</v>
      </c>
      <c r="W100" s="4">
        <v>100</v>
      </c>
      <c r="X100" s="4">
        <v>1000</v>
      </c>
      <c r="Y100" s="4">
        <v>400</v>
      </c>
      <c r="Z100" s="4">
        <v>20</v>
      </c>
      <c r="AA100" s="4" t="s">
        <v>309</v>
      </c>
      <c r="AB100" s="8">
        <v>800</v>
      </c>
      <c r="AC100" s="4" t="s">
        <v>38</v>
      </c>
      <c r="AD100" s="11" t="s">
        <v>26</v>
      </c>
      <c r="AE100" s="5" t="s">
        <v>182</v>
      </c>
      <c r="AF100" s="4" t="s">
        <v>527</v>
      </c>
    </row>
    <row r="101" spans="1:32" s="4" customFormat="1" x14ac:dyDescent="0.25">
      <c r="A101" s="4">
        <f t="shared" si="16"/>
        <v>54</v>
      </c>
      <c r="B101" s="5" t="s">
        <v>456</v>
      </c>
      <c r="C101" s="6" t="s">
        <v>119</v>
      </c>
      <c r="D101" s="4" t="s">
        <v>120</v>
      </c>
      <c r="E101" s="4" t="s">
        <v>182</v>
      </c>
      <c r="F101" s="10" t="s">
        <v>303</v>
      </c>
      <c r="G101" s="4" t="s">
        <v>9</v>
      </c>
      <c r="H101" s="4" t="s">
        <v>232</v>
      </c>
      <c r="I101" s="4" t="s">
        <v>345</v>
      </c>
      <c r="J101" s="7">
        <f t="shared" si="14"/>
        <v>72.062056244788636</v>
      </c>
      <c r="K101" s="4" t="str">
        <f t="shared" si="17"/>
        <v>Conserved</v>
      </c>
      <c r="L101" s="7">
        <f>14.26/0.95</f>
        <v>15.010526315789475</v>
      </c>
      <c r="M101" s="7">
        <f t="shared" si="18"/>
        <v>13.509473684210528</v>
      </c>
      <c r="N101" s="7">
        <v>116.4</v>
      </c>
      <c r="O101" s="7">
        <v>208.3</v>
      </c>
      <c r="P101" s="7">
        <f t="shared" si="19"/>
        <v>187.47000000000003</v>
      </c>
      <c r="Q101" s="7">
        <f t="shared" si="20"/>
        <v>0.55880940950552083</v>
      </c>
      <c r="R101" s="8">
        <f>12.39/0.95*0.9</f>
        <v>11.737894736842108</v>
      </c>
      <c r="S101" s="8">
        <v>24.19</v>
      </c>
      <c r="T101" s="4" t="str">
        <f t="shared" si="21"/>
        <v>Intermediate</v>
      </c>
      <c r="U101" s="4" t="s">
        <v>10</v>
      </c>
      <c r="V101" s="4" t="s">
        <v>41</v>
      </c>
      <c r="W101" s="4">
        <v>100</v>
      </c>
      <c r="X101" s="4">
        <v>1000</v>
      </c>
      <c r="Y101" s="4">
        <v>400</v>
      </c>
      <c r="Z101" s="4">
        <v>20</v>
      </c>
      <c r="AA101" s="4" t="s">
        <v>309</v>
      </c>
      <c r="AB101" s="8">
        <v>800</v>
      </c>
      <c r="AC101" s="4" t="s">
        <v>38</v>
      </c>
      <c r="AD101" s="11" t="s">
        <v>26</v>
      </c>
      <c r="AE101" s="9" t="s">
        <v>183</v>
      </c>
      <c r="AF101" s="4" t="s">
        <v>527</v>
      </c>
    </row>
    <row r="102" spans="1:32" s="4" customFormat="1" x14ac:dyDescent="0.25">
      <c r="A102" s="4">
        <f t="shared" si="16"/>
        <v>55</v>
      </c>
      <c r="B102" s="5" t="s">
        <v>456</v>
      </c>
      <c r="C102" s="6" t="s">
        <v>39</v>
      </c>
      <c r="D102" s="4" t="s">
        <v>40</v>
      </c>
      <c r="E102" s="4" t="s">
        <v>182</v>
      </c>
      <c r="F102" s="10" t="s">
        <v>310</v>
      </c>
      <c r="G102" s="4" t="s">
        <v>9</v>
      </c>
      <c r="H102" s="4" t="s">
        <v>232</v>
      </c>
      <c r="I102" s="4" t="s">
        <v>341</v>
      </c>
      <c r="J102" s="7">
        <f t="shared" si="14"/>
        <v>52.073647015064175</v>
      </c>
      <c r="K102" s="4" t="str">
        <f t="shared" si="17"/>
        <v>Less Conserved</v>
      </c>
      <c r="L102" s="7">
        <f>14/0.95</f>
        <v>14.736842105263159</v>
      </c>
      <c r="M102" s="7">
        <f t="shared" si="18"/>
        <v>13.263157894736844</v>
      </c>
      <c r="N102" s="7">
        <v>135.19999999999999</v>
      </c>
      <c r="O102" s="7">
        <v>283</v>
      </c>
      <c r="P102" s="7">
        <f t="shared" si="19"/>
        <v>254.70000000000002</v>
      </c>
      <c r="Q102" s="7">
        <f t="shared" si="20"/>
        <v>0.47773851590106003</v>
      </c>
      <c r="R102" s="8">
        <f>13.2/0.95*0.9</f>
        <v>12.505263157894738</v>
      </c>
      <c r="S102" s="8">
        <v>17.670000000000002</v>
      </c>
      <c r="T102" s="4" t="str">
        <f t="shared" si="21"/>
        <v>Fast</v>
      </c>
      <c r="U102" s="4" t="s">
        <v>10</v>
      </c>
      <c r="V102" s="4" t="s">
        <v>32</v>
      </c>
      <c r="W102" s="4">
        <v>100</v>
      </c>
      <c r="X102" s="4">
        <v>1000</v>
      </c>
      <c r="Y102" s="4">
        <v>400</v>
      </c>
      <c r="Z102" s="4">
        <v>20</v>
      </c>
      <c r="AA102" s="4" t="s">
        <v>309</v>
      </c>
      <c r="AB102" s="8">
        <v>800</v>
      </c>
      <c r="AC102" s="4" t="s">
        <v>38</v>
      </c>
      <c r="AD102" s="11" t="s">
        <v>26</v>
      </c>
      <c r="AE102" s="5" t="s">
        <v>182</v>
      </c>
      <c r="AF102" s="4" t="s">
        <v>527</v>
      </c>
    </row>
    <row r="103" spans="1:32" s="4" customFormat="1" x14ac:dyDescent="0.25">
      <c r="A103" s="4">
        <f t="shared" si="16"/>
        <v>56</v>
      </c>
      <c r="B103" s="5" t="s">
        <v>456</v>
      </c>
      <c r="C103" s="6" t="s">
        <v>105</v>
      </c>
      <c r="D103" s="4" t="s">
        <v>106</v>
      </c>
      <c r="E103" s="4" t="s">
        <v>182</v>
      </c>
      <c r="F103" s="4" t="s">
        <v>216</v>
      </c>
      <c r="G103" s="4" t="s">
        <v>9</v>
      </c>
      <c r="H103" s="4" t="s">
        <v>233</v>
      </c>
      <c r="I103" s="4" t="s">
        <v>331</v>
      </c>
      <c r="J103" s="7">
        <f t="shared" si="14"/>
        <v>153.3496954822289</v>
      </c>
      <c r="K103" s="4" t="str">
        <f t="shared" si="17"/>
        <v>More Conserved</v>
      </c>
      <c r="L103" s="7">
        <f>16.87/0.95</f>
        <v>17.757894736842108</v>
      </c>
      <c r="M103" s="7">
        <f t="shared" si="18"/>
        <v>15.982105263157898</v>
      </c>
      <c r="N103" s="7">
        <v>36.5</v>
      </c>
      <c r="O103" s="7">
        <v>115.8</v>
      </c>
      <c r="P103" s="7">
        <f t="shared" si="19"/>
        <v>104.22</v>
      </c>
      <c r="Q103" s="7">
        <f t="shared" si="20"/>
        <v>0.31519861830742663</v>
      </c>
      <c r="R103" s="8">
        <f>26.24/0.95*0.9</f>
        <v>24.858947368421052</v>
      </c>
      <c r="S103" s="8">
        <v>7</v>
      </c>
      <c r="T103" s="4" t="str">
        <f t="shared" si="21"/>
        <v>Fast</v>
      </c>
      <c r="U103" s="4" t="s">
        <v>30</v>
      </c>
      <c r="V103" s="4" t="s">
        <v>32</v>
      </c>
      <c r="W103" s="4">
        <v>100</v>
      </c>
      <c r="X103" s="4">
        <v>1000</v>
      </c>
      <c r="Y103" s="4">
        <v>400</v>
      </c>
      <c r="Z103" s="4">
        <v>20</v>
      </c>
      <c r="AA103" s="4" t="s">
        <v>309</v>
      </c>
      <c r="AB103" s="8">
        <v>800</v>
      </c>
      <c r="AC103" s="4" t="s">
        <v>38</v>
      </c>
      <c r="AD103" s="11" t="s">
        <v>26</v>
      </c>
      <c r="AE103" s="5" t="s">
        <v>182</v>
      </c>
      <c r="AF103" s="4" t="s">
        <v>527</v>
      </c>
    </row>
    <row r="104" spans="1:32" s="4" customFormat="1" x14ac:dyDescent="0.25">
      <c r="A104" s="4">
        <f t="shared" si="16"/>
        <v>57</v>
      </c>
      <c r="B104" s="5" t="s">
        <v>456</v>
      </c>
      <c r="C104" s="6" t="s">
        <v>44</v>
      </c>
      <c r="D104" s="4" t="s">
        <v>43</v>
      </c>
      <c r="E104" s="4" t="s">
        <v>182</v>
      </c>
      <c r="F104" s="10" t="s">
        <v>304</v>
      </c>
      <c r="G104" s="4" t="s">
        <v>9</v>
      </c>
      <c r="H104" s="4" t="s">
        <v>233</v>
      </c>
      <c r="I104" s="4" t="s">
        <v>331</v>
      </c>
      <c r="J104" s="7">
        <f t="shared" si="14"/>
        <v>45.085060048728955</v>
      </c>
      <c r="K104" s="4" t="str">
        <f t="shared" si="17"/>
        <v>Less Conserved</v>
      </c>
      <c r="L104" s="7">
        <f>20.91/0.95</f>
        <v>22.010526315789473</v>
      </c>
      <c r="M104" s="7">
        <f t="shared" si="18"/>
        <v>19.809473684210527</v>
      </c>
      <c r="N104" s="7">
        <v>252.2</v>
      </c>
      <c r="O104" s="7">
        <v>488.2</v>
      </c>
      <c r="P104" s="7">
        <f t="shared" si="19"/>
        <v>439.38</v>
      </c>
      <c r="Q104" s="7">
        <f t="shared" si="20"/>
        <v>0.51659156083572311</v>
      </c>
      <c r="R104" s="8">
        <f>16.3/0.95*0.9</f>
        <v>15.442105263157895</v>
      </c>
      <c r="S104" s="8">
        <v>31.29</v>
      </c>
      <c r="T104" s="4" t="str">
        <f t="shared" si="21"/>
        <v>Intermediate</v>
      </c>
      <c r="U104" s="4" t="s">
        <v>10</v>
      </c>
      <c r="V104" s="4" t="s">
        <v>41</v>
      </c>
      <c r="W104" s="4">
        <v>100</v>
      </c>
      <c r="X104" s="4">
        <v>1000</v>
      </c>
      <c r="Y104" s="4">
        <v>400</v>
      </c>
      <c r="Z104" s="4">
        <v>20</v>
      </c>
      <c r="AA104" s="4" t="s">
        <v>309</v>
      </c>
      <c r="AB104" s="8">
        <v>800</v>
      </c>
      <c r="AC104" s="4" t="s">
        <v>38</v>
      </c>
      <c r="AD104" s="11" t="s">
        <v>26</v>
      </c>
      <c r="AE104" s="5" t="s">
        <v>182</v>
      </c>
      <c r="AF104" s="4" t="s">
        <v>527</v>
      </c>
    </row>
    <row r="105" spans="1:32" s="4" customFormat="1" x14ac:dyDescent="0.25">
      <c r="A105" s="4">
        <f t="shared" si="16"/>
        <v>58</v>
      </c>
      <c r="B105" s="5" t="s">
        <v>456</v>
      </c>
      <c r="C105" s="6" t="s">
        <v>84</v>
      </c>
      <c r="D105" s="4" t="s">
        <v>85</v>
      </c>
      <c r="E105" s="4" t="s">
        <v>182</v>
      </c>
      <c r="F105" s="10" t="s">
        <v>305</v>
      </c>
      <c r="G105" s="4" t="s">
        <v>9</v>
      </c>
      <c r="H105" s="4" t="s">
        <v>232</v>
      </c>
      <c r="I105" s="4" t="s">
        <v>345</v>
      </c>
      <c r="J105" s="7">
        <f t="shared" si="14"/>
        <v>51.50386136211155</v>
      </c>
      <c r="K105" s="4" t="str">
        <f t="shared" si="17"/>
        <v>Less Conserved</v>
      </c>
      <c r="L105" s="7">
        <f>18.04/0.95</f>
        <v>18.989473684210527</v>
      </c>
      <c r="M105" s="7">
        <f t="shared" si="18"/>
        <v>17.090526315789475</v>
      </c>
      <c r="N105" s="7">
        <v>133.9</v>
      </c>
      <c r="O105" s="7">
        <v>368.7</v>
      </c>
      <c r="P105" s="7">
        <f t="shared" si="19"/>
        <v>331.83</v>
      </c>
      <c r="Q105" s="7">
        <f t="shared" si="20"/>
        <v>0.3631678871711419</v>
      </c>
      <c r="R105" s="8">
        <f>29.64/0.95*0.9</f>
        <v>28.080000000000002</v>
      </c>
      <c r="S105" s="8">
        <v>43.17</v>
      </c>
      <c r="T105" s="4" t="str">
        <f t="shared" si="21"/>
        <v>Intermediate</v>
      </c>
      <c r="U105" s="4" t="s">
        <v>10</v>
      </c>
      <c r="V105" s="4" t="s">
        <v>41</v>
      </c>
      <c r="W105" s="4">
        <v>100</v>
      </c>
      <c r="X105" s="4">
        <v>1000</v>
      </c>
      <c r="Y105" s="4">
        <v>400</v>
      </c>
      <c r="Z105" s="4">
        <v>20</v>
      </c>
      <c r="AA105" s="4" t="s">
        <v>309</v>
      </c>
      <c r="AB105" s="8">
        <v>800</v>
      </c>
      <c r="AC105" s="4" t="s">
        <v>38</v>
      </c>
      <c r="AD105" s="11" t="s">
        <v>26</v>
      </c>
      <c r="AE105" s="5" t="s">
        <v>182</v>
      </c>
      <c r="AF105" s="4" t="s">
        <v>527</v>
      </c>
    </row>
    <row r="106" spans="1:32" s="4" customFormat="1" x14ac:dyDescent="0.25">
      <c r="A106" s="4">
        <f t="shared" si="16"/>
        <v>59</v>
      </c>
      <c r="B106" s="5" t="s">
        <v>456</v>
      </c>
      <c r="C106" s="6" t="s">
        <v>36</v>
      </c>
      <c r="D106" s="4" t="s">
        <v>35</v>
      </c>
      <c r="E106" s="4" t="s">
        <v>182</v>
      </c>
      <c r="F106" s="10" t="s">
        <v>306</v>
      </c>
      <c r="G106" s="4" t="s">
        <v>9</v>
      </c>
      <c r="H106" s="4" t="s">
        <v>233</v>
      </c>
      <c r="I106" s="4" t="s">
        <v>331</v>
      </c>
      <c r="J106" s="7">
        <f t="shared" si="14"/>
        <v>161.55446144124696</v>
      </c>
      <c r="K106" s="4" t="str">
        <f t="shared" si="17"/>
        <v>More Conserved</v>
      </c>
      <c r="L106" s="7">
        <f>30.68/0.95</f>
        <v>32.294736842105266</v>
      </c>
      <c r="M106" s="7">
        <f t="shared" si="18"/>
        <v>29.065263157894741</v>
      </c>
      <c r="N106" s="7">
        <v>57.5</v>
      </c>
      <c r="O106" s="7">
        <v>199.9</v>
      </c>
      <c r="P106" s="7">
        <f t="shared" si="19"/>
        <v>179.91</v>
      </c>
      <c r="Q106" s="7">
        <f t="shared" si="20"/>
        <v>0.28764382191095544</v>
      </c>
      <c r="R106" s="8">
        <f>12.08/0.95*0.9</f>
        <v>11.444210526315791</v>
      </c>
      <c r="S106" s="8">
        <v>9.89</v>
      </c>
      <c r="T106" s="4" t="str">
        <f t="shared" si="21"/>
        <v>Fast</v>
      </c>
      <c r="U106" s="4" t="s">
        <v>30</v>
      </c>
      <c r="V106" s="4" t="s">
        <v>32</v>
      </c>
      <c r="W106" s="4">
        <v>100</v>
      </c>
      <c r="X106" s="4">
        <v>1000</v>
      </c>
      <c r="Y106" s="4">
        <v>400</v>
      </c>
      <c r="Z106" s="4">
        <v>20</v>
      </c>
      <c r="AA106" s="4" t="s">
        <v>309</v>
      </c>
      <c r="AB106" s="8">
        <v>800</v>
      </c>
      <c r="AC106" s="4" t="s">
        <v>38</v>
      </c>
      <c r="AD106" s="11" t="s">
        <v>26</v>
      </c>
      <c r="AE106" s="5" t="s">
        <v>182</v>
      </c>
      <c r="AF106" s="4" t="s">
        <v>527</v>
      </c>
    </row>
    <row r="107" spans="1:32" s="4" customFormat="1" x14ac:dyDescent="0.25">
      <c r="A107" s="4">
        <f t="shared" si="16"/>
        <v>60</v>
      </c>
      <c r="B107" s="5" t="s">
        <v>457</v>
      </c>
      <c r="C107" s="6" t="s">
        <v>351</v>
      </c>
      <c r="D107" s="4" t="s">
        <v>352</v>
      </c>
      <c r="E107" s="4" t="s">
        <v>183</v>
      </c>
      <c r="F107" s="4" t="s">
        <v>26</v>
      </c>
      <c r="G107" s="4" t="s">
        <v>9</v>
      </c>
      <c r="H107" s="4" t="s">
        <v>232</v>
      </c>
      <c r="I107" s="4" t="s">
        <v>353</v>
      </c>
      <c r="J107" s="7">
        <f t="shared" si="14"/>
        <v>139.6825396825397</v>
      </c>
      <c r="K107" s="4" t="str">
        <f t="shared" si="17"/>
        <v>More Conserved</v>
      </c>
      <c r="L107" s="7">
        <v>17.600000000000001</v>
      </c>
      <c r="M107" s="7">
        <f t="shared" si="18"/>
        <v>15.840000000000002</v>
      </c>
      <c r="N107" s="7">
        <v>26</v>
      </c>
      <c r="O107" s="7">
        <v>126</v>
      </c>
      <c r="P107" s="7">
        <f t="shared" si="19"/>
        <v>113.4</v>
      </c>
      <c r="Q107" s="7">
        <f t="shared" si="20"/>
        <v>0.20634920634920634</v>
      </c>
      <c r="R107" s="8">
        <f>226/60/50*90</f>
        <v>6.78</v>
      </c>
      <c r="S107" s="8">
        <f>930/60/50*90</f>
        <v>27.9</v>
      </c>
      <c r="T107" s="4" t="str">
        <f t="shared" si="21"/>
        <v>Intermediate</v>
      </c>
      <c r="U107" s="4" t="s">
        <v>10</v>
      </c>
      <c r="V107" s="4" t="s">
        <v>41</v>
      </c>
      <c r="W107" s="4">
        <v>0</v>
      </c>
      <c r="X107" s="4">
        <v>1200</v>
      </c>
      <c r="Y107" s="4">
        <v>400</v>
      </c>
      <c r="Z107" s="4">
        <v>25</v>
      </c>
      <c r="AA107" s="4" t="s">
        <v>324</v>
      </c>
      <c r="AB107" s="8" t="s">
        <v>37</v>
      </c>
      <c r="AC107" s="4">
        <v>20</v>
      </c>
      <c r="AD107" s="11">
        <v>0.71</v>
      </c>
      <c r="AE107" s="4" t="s">
        <v>183</v>
      </c>
      <c r="AF107" s="4" t="s">
        <v>710</v>
      </c>
    </row>
    <row r="108" spans="1:32" s="4" customFormat="1" x14ac:dyDescent="0.25">
      <c r="A108" s="4">
        <f t="shared" si="16"/>
        <v>61</v>
      </c>
      <c r="B108" s="5" t="s">
        <v>457</v>
      </c>
      <c r="C108" s="6" t="s">
        <v>354</v>
      </c>
      <c r="D108" s="4" t="s">
        <v>355</v>
      </c>
      <c r="E108" s="4" t="s">
        <v>183</v>
      </c>
      <c r="F108" s="4" t="s">
        <v>26</v>
      </c>
      <c r="G108" s="4" t="s">
        <v>9</v>
      </c>
      <c r="H108" s="4" t="s">
        <v>232</v>
      </c>
      <c r="I108" s="4" t="s">
        <v>353</v>
      </c>
      <c r="J108" s="7">
        <f t="shared" si="14"/>
        <v>115.84158415841583</v>
      </c>
      <c r="K108" s="4" t="str">
        <f t="shared" si="17"/>
        <v>More Conserved</v>
      </c>
      <c r="L108" s="7">
        <v>11.7</v>
      </c>
      <c r="M108" s="7">
        <f t="shared" si="18"/>
        <v>10.53</v>
      </c>
      <c r="N108" s="7">
        <v>28</v>
      </c>
      <c r="O108" s="7">
        <v>101</v>
      </c>
      <c r="P108" s="7">
        <f t="shared" si="19"/>
        <v>90.9</v>
      </c>
      <c r="Q108" s="7">
        <f t="shared" si="20"/>
        <v>0.27722772277227725</v>
      </c>
      <c r="R108" s="8">
        <f>622/60/50*90</f>
        <v>18.66</v>
      </c>
      <c r="S108" s="8">
        <f>1756/60/50*90</f>
        <v>52.679999999999993</v>
      </c>
      <c r="T108" s="4" t="str">
        <f t="shared" si="21"/>
        <v>Slow</v>
      </c>
      <c r="U108" s="4" t="s">
        <v>10</v>
      </c>
      <c r="V108" s="4" t="s">
        <v>41</v>
      </c>
      <c r="W108" s="4">
        <v>0</v>
      </c>
      <c r="X108" s="4">
        <v>1200</v>
      </c>
      <c r="Y108" s="4">
        <v>400</v>
      </c>
      <c r="Z108" s="4">
        <v>25</v>
      </c>
      <c r="AA108" s="4" t="s">
        <v>324</v>
      </c>
      <c r="AB108" s="8" t="s">
        <v>37</v>
      </c>
      <c r="AC108" s="4">
        <v>20</v>
      </c>
      <c r="AD108" s="11">
        <v>0.71</v>
      </c>
      <c r="AE108" s="4" t="s">
        <v>183</v>
      </c>
      <c r="AF108" s="4" t="s">
        <v>710</v>
      </c>
    </row>
    <row r="109" spans="1:32" s="4" customFormat="1" x14ac:dyDescent="0.25">
      <c r="A109" s="4">
        <f t="shared" si="16"/>
        <v>62</v>
      </c>
      <c r="B109" s="5" t="s">
        <v>457</v>
      </c>
      <c r="C109" s="6" t="s">
        <v>325</v>
      </c>
      <c r="D109" s="4" t="s">
        <v>326</v>
      </c>
      <c r="E109" s="4" t="s">
        <v>183</v>
      </c>
      <c r="F109" s="4" t="s">
        <v>26</v>
      </c>
      <c r="G109" s="4" t="s">
        <v>9</v>
      </c>
      <c r="H109" s="4" t="s">
        <v>232</v>
      </c>
      <c r="I109" s="4" t="s">
        <v>349</v>
      </c>
      <c r="J109" s="7">
        <f t="shared" si="14"/>
        <v>62.5</v>
      </c>
      <c r="K109" s="4" t="str">
        <f t="shared" si="17"/>
        <v>Less Conserved</v>
      </c>
      <c r="L109" s="7">
        <v>31</v>
      </c>
      <c r="M109" s="7">
        <f t="shared" si="18"/>
        <v>27.900000000000002</v>
      </c>
      <c r="N109" s="7">
        <v>78</v>
      </c>
      <c r="O109" s="7">
        <v>496</v>
      </c>
      <c r="P109" s="7">
        <f t="shared" si="19"/>
        <v>446.40000000000003</v>
      </c>
      <c r="Q109" s="7">
        <f t="shared" si="20"/>
        <v>0.15725806451612903</v>
      </c>
      <c r="R109" s="8">
        <f>157/60/50*90</f>
        <v>4.71</v>
      </c>
      <c r="S109" s="8">
        <f>578/60/50*90</f>
        <v>17.34</v>
      </c>
      <c r="T109" s="4" t="str">
        <f t="shared" si="21"/>
        <v>Fast</v>
      </c>
      <c r="U109" s="4" t="s">
        <v>10</v>
      </c>
      <c r="V109" s="4" t="s">
        <v>41</v>
      </c>
      <c r="W109" s="4">
        <v>0</v>
      </c>
      <c r="X109" s="4">
        <v>1200</v>
      </c>
      <c r="Y109" s="4">
        <v>400</v>
      </c>
      <c r="Z109" s="4">
        <v>25</v>
      </c>
      <c r="AA109" s="4" t="s">
        <v>324</v>
      </c>
      <c r="AB109" s="8" t="s">
        <v>37</v>
      </c>
      <c r="AC109" s="4">
        <v>20</v>
      </c>
      <c r="AD109" s="11">
        <v>0.71</v>
      </c>
      <c r="AE109" s="4" t="s">
        <v>183</v>
      </c>
      <c r="AF109" s="4" t="s">
        <v>710</v>
      </c>
    </row>
    <row r="110" spans="1:32" s="4" customFormat="1" x14ac:dyDescent="0.25">
      <c r="A110" s="4">
        <f t="shared" si="16"/>
        <v>63</v>
      </c>
      <c r="B110" s="5" t="s">
        <v>457</v>
      </c>
      <c r="C110" s="6" t="s">
        <v>362</v>
      </c>
      <c r="D110" s="4" t="s">
        <v>363</v>
      </c>
      <c r="E110" s="4" t="s">
        <v>183</v>
      </c>
      <c r="F110" s="4" t="s">
        <v>26</v>
      </c>
      <c r="G110" s="4" t="s">
        <v>9</v>
      </c>
      <c r="H110" s="4" t="s">
        <v>232</v>
      </c>
      <c r="I110" s="4" t="s">
        <v>361</v>
      </c>
      <c r="J110" s="7">
        <f t="shared" si="14"/>
        <v>92.819148936170208</v>
      </c>
      <c r="K110" s="4" t="str">
        <f t="shared" si="17"/>
        <v>More Conserved</v>
      </c>
      <c r="L110" s="7">
        <v>34.9</v>
      </c>
      <c r="M110" s="7">
        <f t="shared" si="18"/>
        <v>31.41</v>
      </c>
      <c r="N110" s="7">
        <v>152</v>
      </c>
      <c r="O110" s="7">
        <v>376</v>
      </c>
      <c r="P110" s="7">
        <f t="shared" si="19"/>
        <v>338.40000000000003</v>
      </c>
      <c r="Q110" s="7">
        <f t="shared" si="20"/>
        <v>0.40425531914893614</v>
      </c>
      <c r="R110" s="8">
        <f>351/60/50*90</f>
        <v>10.53</v>
      </c>
      <c r="S110" s="8">
        <f>890/60/50*90</f>
        <v>26.700000000000003</v>
      </c>
      <c r="T110" s="4" t="str">
        <f t="shared" si="21"/>
        <v>Intermediate</v>
      </c>
      <c r="U110" s="4" t="s">
        <v>10</v>
      </c>
      <c r="V110" s="4" t="s">
        <v>41</v>
      </c>
      <c r="W110" s="4">
        <v>0</v>
      </c>
      <c r="X110" s="4">
        <v>1200</v>
      </c>
      <c r="Y110" s="4">
        <v>400</v>
      </c>
      <c r="Z110" s="4">
        <v>25</v>
      </c>
      <c r="AA110" s="4" t="s">
        <v>324</v>
      </c>
      <c r="AB110" s="8" t="s">
        <v>37</v>
      </c>
      <c r="AC110" s="4">
        <v>20</v>
      </c>
      <c r="AD110" s="11">
        <v>0.71</v>
      </c>
      <c r="AE110" s="4" t="s">
        <v>183</v>
      </c>
      <c r="AF110" s="4" t="s">
        <v>710</v>
      </c>
    </row>
    <row r="111" spans="1:32" s="4" customFormat="1" x14ac:dyDescent="0.25">
      <c r="A111" s="4">
        <f t="shared" si="16"/>
        <v>64</v>
      </c>
      <c r="B111" s="5" t="s">
        <v>457</v>
      </c>
      <c r="C111" s="6" t="s">
        <v>359</v>
      </c>
      <c r="D111" s="4" t="s">
        <v>360</v>
      </c>
      <c r="E111" s="4" t="s">
        <v>183</v>
      </c>
      <c r="F111" s="4" t="s">
        <v>26</v>
      </c>
      <c r="G111" s="4" t="s">
        <v>9</v>
      </c>
      <c r="H111" s="4" t="s">
        <v>232</v>
      </c>
      <c r="I111" s="4" t="s">
        <v>361</v>
      </c>
      <c r="J111" s="7">
        <f t="shared" si="14"/>
        <v>120.21276595744682</v>
      </c>
      <c r="K111" s="4" t="str">
        <f t="shared" si="17"/>
        <v>More Conserved</v>
      </c>
      <c r="L111" s="7">
        <v>22.6</v>
      </c>
      <c r="M111" s="7">
        <f t="shared" si="18"/>
        <v>20.340000000000003</v>
      </c>
      <c r="N111" s="7">
        <v>49</v>
      </c>
      <c r="O111" s="7">
        <v>188</v>
      </c>
      <c r="P111" s="7">
        <f t="shared" si="19"/>
        <v>169.20000000000002</v>
      </c>
      <c r="Q111" s="7">
        <f t="shared" si="20"/>
        <v>0.26063829787234044</v>
      </c>
      <c r="R111" s="8">
        <f>396/60/50*90</f>
        <v>11.88</v>
      </c>
      <c r="S111" s="8">
        <f>1336/60/50*90</f>
        <v>40.08</v>
      </c>
      <c r="T111" s="4" t="str">
        <f t="shared" si="21"/>
        <v>Intermediate</v>
      </c>
      <c r="U111" s="4" t="s">
        <v>10</v>
      </c>
      <c r="V111" s="4" t="s">
        <v>41</v>
      </c>
      <c r="W111" s="4">
        <v>0</v>
      </c>
      <c r="X111" s="4">
        <v>1200</v>
      </c>
      <c r="Y111" s="4">
        <v>400</v>
      </c>
      <c r="Z111" s="4">
        <v>25</v>
      </c>
      <c r="AA111" s="4" t="s">
        <v>324</v>
      </c>
      <c r="AB111" s="8" t="s">
        <v>37</v>
      </c>
      <c r="AC111" s="4">
        <v>20</v>
      </c>
      <c r="AD111" s="11">
        <v>0.71</v>
      </c>
      <c r="AE111" s="4" t="s">
        <v>183</v>
      </c>
      <c r="AF111" s="4" t="s">
        <v>710</v>
      </c>
    </row>
    <row r="112" spans="1:32" s="4" customFormat="1" x14ac:dyDescent="0.25">
      <c r="A112" s="4">
        <f t="shared" si="16"/>
        <v>65</v>
      </c>
      <c r="B112" s="5" t="s">
        <v>457</v>
      </c>
      <c r="C112" s="6" t="s">
        <v>368</v>
      </c>
      <c r="D112" s="4" t="s">
        <v>369</v>
      </c>
      <c r="E112" s="4" t="s">
        <v>183</v>
      </c>
      <c r="F112" s="4" t="s">
        <v>26</v>
      </c>
      <c r="G112" s="4" t="s">
        <v>9</v>
      </c>
      <c r="H112" s="4" t="s">
        <v>232</v>
      </c>
      <c r="I112" s="4" t="s">
        <v>348</v>
      </c>
      <c r="J112" s="7">
        <f t="shared" si="14"/>
        <v>102.11864406779662</v>
      </c>
      <c r="K112" s="4" t="str">
        <f t="shared" si="17"/>
        <v>More Conserved</v>
      </c>
      <c r="L112" s="7">
        <v>24.1</v>
      </c>
      <c r="M112" s="7">
        <f t="shared" si="18"/>
        <v>21.69</v>
      </c>
      <c r="N112" s="7">
        <v>55</v>
      </c>
      <c r="O112" s="7">
        <v>236</v>
      </c>
      <c r="P112" s="7">
        <f t="shared" si="19"/>
        <v>212.4</v>
      </c>
      <c r="Q112" s="7">
        <f t="shared" si="20"/>
        <v>0.23305084745762711</v>
      </c>
      <c r="R112" s="8">
        <f>194/60/50*90</f>
        <v>5.8199999999999994</v>
      </c>
      <c r="S112" s="8">
        <f>701/60/50*90</f>
        <v>21.03</v>
      </c>
      <c r="T112" s="4" t="str">
        <f t="shared" si="21"/>
        <v>Intermediate</v>
      </c>
      <c r="U112" s="4" t="s">
        <v>10</v>
      </c>
      <c r="V112" s="4" t="s">
        <v>41</v>
      </c>
      <c r="W112" s="4">
        <v>0</v>
      </c>
      <c r="X112" s="4">
        <v>1200</v>
      </c>
      <c r="Y112" s="4">
        <v>400</v>
      </c>
      <c r="Z112" s="4">
        <v>25</v>
      </c>
      <c r="AA112" s="4" t="s">
        <v>324</v>
      </c>
      <c r="AB112" s="8" t="s">
        <v>37</v>
      </c>
      <c r="AC112" s="4">
        <v>20</v>
      </c>
      <c r="AD112" s="11">
        <v>0.71</v>
      </c>
      <c r="AE112" s="4" t="s">
        <v>183</v>
      </c>
      <c r="AF112" s="4" t="s">
        <v>710</v>
      </c>
    </row>
    <row r="113" spans="1:32" s="4" customFormat="1" x14ac:dyDescent="0.25">
      <c r="A113" s="4">
        <f t="shared" si="16"/>
        <v>66</v>
      </c>
      <c r="B113" s="5" t="s">
        <v>457</v>
      </c>
      <c r="C113" s="6" t="s">
        <v>366</v>
      </c>
      <c r="D113" s="4" t="s">
        <v>367</v>
      </c>
      <c r="E113" s="4" t="s">
        <v>183</v>
      </c>
      <c r="F113" s="4" t="s">
        <v>26</v>
      </c>
      <c r="G113" s="4" t="s">
        <v>9</v>
      </c>
      <c r="H113" s="4" t="s">
        <v>232</v>
      </c>
      <c r="I113" s="4" t="s">
        <v>348</v>
      </c>
      <c r="J113" s="7">
        <f t="shared" si="14"/>
        <v>67.724867724867721</v>
      </c>
      <c r="K113" s="4" t="str">
        <f t="shared" si="17"/>
        <v>Less Conserved</v>
      </c>
      <c r="L113" s="7">
        <v>25.6</v>
      </c>
      <c r="M113" s="7">
        <f t="shared" si="18"/>
        <v>23.040000000000003</v>
      </c>
      <c r="N113" s="7">
        <v>58</v>
      </c>
      <c r="O113" s="7">
        <v>378</v>
      </c>
      <c r="P113" s="7">
        <f t="shared" si="19"/>
        <v>340.2</v>
      </c>
      <c r="Q113" s="7">
        <f t="shared" si="20"/>
        <v>0.15343915343915343</v>
      </c>
      <c r="R113" s="8">
        <f>202/60/50*90</f>
        <v>6.06</v>
      </c>
      <c r="S113" s="8">
        <f>832/60/50*90</f>
        <v>24.959999999999997</v>
      </c>
      <c r="T113" s="4" t="str">
        <f t="shared" si="21"/>
        <v>Intermediate</v>
      </c>
      <c r="U113" s="4" t="s">
        <v>10</v>
      </c>
      <c r="V113" s="4" t="s">
        <v>41</v>
      </c>
      <c r="W113" s="4">
        <v>0</v>
      </c>
      <c r="X113" s="4">
        <v>1200</v>
      </c>
      <c r="Y113" s="4">
        <v>400</v>
      </c>
      <c r="Z113" s="4">
        <v>25</v>
      </c>
      <c r="AA113" s="4" t="s">
        <v>324</v>
      </c>
      <c r="AB113" s="8" t="s">
        <v>37</v>
      </c>
      <c r="AC113" s="4">
        <v>20</v>
      </c>
      <c r="AD113" s="11">
        <v>0.71</v>
      </c>
      <c r="AE113" s="4" t="s">
        <v>183</v>
      </c>
      <c r="AF113" s="4" t="s">
        <v>710</v>
      </c>
    </row>
    <row r="114" spans="1:32" s="4" customFormat="1" x14ac:dyDescent="0.25">
      <c r="A114" s="4">
        <f t="shared" si="16"/>
        <v>67</v>
      </c>
      <c r="B114" s="5" t="s">
        <v>457</v>
      </c>
      <c r="C114" s="6" t="s">
        <v>364</v>
      </c>
      <c r="D114" s="4" t="s">
        <v>365</v>
      </c>
      <c r="E114" s="4" t="s">
        <v>183</v>
      </c>
      <c r="F114" s="4" t="s">
        <v>26</v>
      </c>
      <c r="G114" s="4" t="s">
        <v>9</v>
      </c>
      <c r="H114" s="4" t="s">
        <v>232</v>
      </c>
      <c r="I114" s="4" t="s">
        <v>349</v>
      </c>
      <c r="J114" s="7">
        <f t="shared" si="14"/>
        <v>78.164556962025316</v>
      </c>
      <c r="K114" s="4" t="str">
        <f t="shared" si="17"/>
        <v>Conserved</v>
      </c>
      <c r="L114" s="7">
        <v>24.7</v>
      </c>
      <c r="M114" s="7">
        <f t="shared" si="18"/>
        <v>22.23</v>
      </c>
      <c r="N114" s="7">
        <v>85</v>
      </c>
      <c r="O114" s="7">
        <v>316</v>
      </c>
      <c r="P114" s="7">
        <f t="shared" si="19"/>
        <v>284.40000000000003</v>
      </c>
      <c r="Q114" s="7">
        <f t="shared" si="20"/>
        <v>0.26898734177215189</v>
      </c>
      <c r="R114" s="8">
        <f>148/60/50*90</f>
        <v>4.4400000000000004</v>
      </c>
      <c r="S114" s="8">
        <f>1399/60/50*90</f>
        <v>41.97</v>
      </c>
      <c r="T114" s="4" t="str">
        <f t="shared" si="21"/>
        <v>Intermediate</v>
      </c>
      <c r="U114" s="4" t="s">
        <v>10</v>
      </c>
      <c r="V114" s="4" t="s">
        <v>41</v>
      </c>
      <c r="W114" s="4">
        <v>0</v>
      </c>
      <c r="X114" s="4">
        <v>1200</v>
      </c>
      <c r="Y114" s="4">
        <v>400</v>
      </c>
      <c r="Z114" s="4">
        <v>25</v>
      </c>
      <c r="AA114" s="4" t="s">
        <v>324</v>
      </c>
      <c r="AB114" s="8" t="s">
        <v>37</v>
      </c>
      <c r="AC114" s="4">
        <v>20</v>
      </c>
      <c r="AD114" s="11">
        <v>0.71</v>
      </c>
      <c r="AE114" s="4" t="s">
        <v>183</v>
      </c>
      <c r="AF114" s="4" t="s">
        <v>710</v>
      </c>
    </row>
    <row r="115" spans="1:32" s="4" customFormat="1" x14ac:dyDescent="0.25">
      <c r="A115" s="4">
        <f t="shared" si="16"/>
        <v>68</v>
      </c>
      <c r="B115" s="5" t="s">
        <v>457</v>
      </c>
      <c r="C115" s="13" t="s">
        <v>327</v>
      </c>
      <c r="D115" s="4" t="s">
        <v>328</v>
      </c>
      <c r="E115" s="4" t="s">
        <v>183</v>
      </c>
      <c r="F115" s="4" t="s">
        <v>26</v>
      </c>
      <c r="G115" s="4" t="s">
        <v>9</v>
      </c>
      <c r="H115" s="4" t="s">
        <v>232</v>
      </c>
      <c r="I115" s="4" t="s">
        <v>350</v>
      </c>
      <c r="J115" s="7">
        <f t="shared" si="14"/>
        <v>82.325581395348834</v>
      </c>
      <c r="K115" s="4" t="str">
        <f t="shared" si="17"/>
        <v>More Conserved</v>
      </c>
      <c r="L115" s="7">
        <v>17.7</v>
      </c>
      <c r="M115" s="7">
        <f t="shared" si="18"/>
        <v>15.93</v>
      </c>
      <c r="N115" s="7">
        <v>14</v>
      </c>
      <c r="O115" s="7">
        <v>215</v>
      </c>
      <c r="P115" s="7">
        <f t="shared" si="19"/>
        <v>193.5</v>
      </c>
      <c r="Q115" s="7">
        <f t="shared" si="20"/>
        <v>6.5116279069767441E-2</v>
      </c>
      <c r="R115" s="8">
        <f>610/60/50*90</f>
        <v>18.299999999999997</v>
      </c>
      <c r="S115" s="8">
        <f>2084/60/50*90</f>
        <v>62.519999999999996</v>
      </c>
      <c r="T115" s="4" t="str">
        <f t="shared" si="21"/>
        <v>Slow</v>
      </c>
      <c r="U115" s="4" t="s">
        <v>10</v>
      </c>
      <c r="V115" s="4" t="s">
        <v>41</v>
      </c>
      <c r="W115" s="4">
        <v>0</v>
      </c>
      <c r="X115" s="4">
        <v>1200</v>
      </c>
      <c r="Y115" s="4">
        <v>400</v>
      </c>
      <c r="Z115" s="4">
        <v>25</v>
      </c>
      <c r="AA115" s="4" t="s">
        <v>324</v>
      </c>
      <c r="AB115" s="8" t="s">
        <v>37</v>
      </c>
      <c r="AC115" s="4">
        <v>20</v>
      </c>
      <c r="AD115" s="11">
        <v>0.71</v>
      </c>
      <c r="AE115" s="4" t="s">
        <v>183</v>
      </c>
      <c r="AF115" s="4" t="s">
        <v>710</v>
      </c>
    </row>
    <row r="116" spans="1:32" s="4" customFormat="1" x14ac:dyDescent="0.25">
      <c r="A116" s="4">
        <f t="shared" si="16"/>
        <v>69</v>
      </c>
      <c r="B116" s="5" t="s">
        <v>457</v>
      </c>
      <c r="C116" s="6" t="s">
        <v>356</v>
      </c>
      <c r="D116" s="4" t="s">
        <v>357</v>
      </c>
      <c r="E116" s="4" t="s">
        <v>183</v>
      </c>
      <c r="F116" s="4" t="s">
        <v>26</v>
      </c>
      <c r="G116" s="4" t="s">
        <v>9</v>
      </c>
      <c r="H116" s="4" t="s">
        <v>232</v>
      </c>
      <c r="I116" s="4" t="s">
        <v>358</v>
      </c>
      <c r="J116" s="7">
        <f t="shared" si="14"/>
        <v>150</v>
      </c>
      <c r="K116" s="4" t="str">
        <f t="shared" si="17"/>
        <v>More Conserved</v>
      </c>
      <c r="L116" s="7">
        <v>11.4</v>
      </c>
      <c r="M116" s="7">
        <f t="shared" si="18"/>
        <v>10.26</v>
      </c>
      <c r="N116" s="7">
        <v>20</v>
      </c>
      <c r="O116" s="7">
        <v>76</v>
      </c>
      <c r="P116" s="7">
        <f t="shared" si="19"/>
        <v>68.400000000000006</v>
      </c>
      <c r="Q116" s="7">
        <f t="shared" si="20"/>
        <v>0.26315789473684209</v>
      </c>
      <c r="R116" s="8">
        <f>1152/60/50*90</f>
        <v>34.56</v>
      </c>
      <c r="S116" s="8">
        <f>2876/60/50*90</f>
        <v>86.279999999999987</v>
      </c>
      <c r="T116" s="4" t="str">
        <f t="shared" si="21"/>
        <v>Slow</v>
      </c>
      <c r="U116" s="4" t="s">
        <v>10</v>
      </c>
      <c r="V116" s="4" t="s">
        <v>51</v>
      </c>
      <c r="W116" s="4">
        <v>0</v>
      </c>
      <c r="X116" s="4">
        <v>1200</v>
      </c>
      <c r="Y116" s="4">
        <v>400</v>
      </c>
      <c r="Z116" s="4">
        <v>25</v>
      </c>
      <c r="AA116" s="4" t="s">
        <v>324</v>
      </c>
      <c r="AB116" s="8" t="s">
        <v>37</v>
      </c>
      <c r="AC116" s="4">
        <v>20</v>
      </c>
      <c r="AD116" s="11">
        <v>0.71</v>
      </c>
      <c r="AE116" s="4" t="s">
        <v>183</v>
      </c>
      <c r="AF116" s="4" t="s">
        <v>710</v>
      </c>
    </row>
    <row r="117" spans="1:32" s="4" customFormat="1" x14ac:dyDescent="0.25">
      <c r="A117" s="4">
        <f t="shared" si="16"/>
        <v>70</v>
      </c>
      <c r="B117" s="5" t="s">
        <v>471</v>
      </c>
      <c r="C117" s="6" t="s">
        <v>147</v>
      </c>
      <c r="D117" s="4" t="s">
        <v>149</v>
      </c>
      <c r="E117" s="4" t="s">
        <v>183</v>
      </c>
      <c r="F117" s="4" t="s">
        <v>475</v>
      </c>
      <c r="G117" s="4" t="s">
        <v>9</v>
      </c>
      <c r="H117" s="4" t="s">
        <v>233</v>
      </c>
      <c r="I117" s="4" t="s">
        <v>331</v>
      </c>
      <c r="J117" s="7" t="s">
        <v>26</v>
      </c>
      <c r="K117" s="4" t="s">
        <v>26</v>
      </c>
      <c r="L117" s="7" t="s">
        <v>26</v>
      </c>
      <c r="M117" s="7" t="s">
        <v>26</v>
      </c>
      <c r="N117" s="7" t="s">
        <v>26</v>
      </c>
      <c r="O117" s="7" t="s">
        <v>26</v>
      </c>
      <c r="P117" s="7" t="s">
        <v>26</v>
      </c>
      <c r="Q117" s="7">
        <f>0.1366/0.7012</f>
        <v>0.19480889903023388</v>
      </c>
      <c r="R117" s="8">
        <v>29.23</v>
      </c>
      <c r="S117" s="8">
        <v>34.770000000000003</v>
      </c>
      <c r="T117" s="4" t="str">
        <f t="shared" si="21"/>
        <v>Intermediate</v>
      </c>
      <c r="U117" s="4" t="s">
        <v>10</v>
      </c>
      <c r="V117" s="4" t="s">
        <v>41</v>
      </c>
      <c r="W117" s="4">
        <v>25</v>
      </c>
      <c r="X117" s="4">
        <v>800</v>
      </c>
      <c r="Y117" s="5">
        <v>360</v>
      </c>
      <c r="Z117" s="4">
        <v>21</v>
      </c>
      <c r="AA117" s="4" t="s">
        <v>473</v>
      </c>
      <c r="AB117" s="8">
        <v>250</v>
      </c>
      <c r="AC117" s="4" t="s">
        <v>140</v>
      </c>
      <c r="AD117" s="11" t="s">
        <v>31</v>
      </c>
      <c r="AE117" s="9" t="s">
        <v>183</v>
      </c>
      <c r="AF117" s="4" t="s">
        <v>474</v>
      </c>
    </row>
    <row r="118" spans="1:32" s="4" customFormat="1" x14ac:dyDescent="0.25">
      <c r="A118" s="4">
        <f t="shared" si="16"/>
        <v>71</v>
      </c>
      <c r="B118" s="5" t="s">
        <v>471</v>
      </c>
      <c r="C118" s="6" t="s">
        <v>109</v>
      </c>
      <c r="D118" s="4" t="s">
        <v>110</v>
      </c>
      <c r="E118" s="4" t="s">
        <v>182</v>
      </c>
      <c r="F118" s="4" t="s">
        <v>26</v>
      </c>
      <c r="G118" s="4" t="s">
        <v>9</v>
      </c>
      <c r="H118" s="4" t="s">
        <v>233</v>
      </c>
      <c r="I118" s="4" t="s">
        <v>331</v>
      </c>
      <c r="J118" s="7" t="s">
        <v>26</v>
      </c>
      <c r="K118" s="4" t="s">
        <v>26</v>
      </c>
      <c r="L118" s="7" t="s">
        <v>26</v>
      </c>
      <c r="M118" s="7" t="s">
        <v>26</v>
      </c>
      <c r="N118" s="7" t="s">
        <v>26</v>
      </c>
      <c r="O118" s="7" t="s">
        <v>26</v>
      </c>
      <c r="P118" s="7" t="s">
        <v>26</v>
      </c>
      <c r="Q118" s="7">
        <f>0.1965/0.95</f>
        <v>0.20684210526315791</v>
      </c>
      <c r="R118" s="8">
        <v>12.7</v>
      </c>
      <c r="S118" s="8">
        <v>27.52</v>
      </c>
      <c r="T118" s="4" t="str">
        <f t="shared" si="21"/>
        <v>Intermediate</v>
      </c>
      <c r="U118" s="4" t="s">
        <v>10</v>
      </c>
      <c r="V118" s="4" t="s">
        <v>41</v>
      </c>
      <c r="W118" s="4">
        <v>25</v>
      </c>
      <c r="X118" s="4">
        <v>800</v>
      </c>
      <c r="Y118" s="5">
        <v>360</v>
      </c>
      <c r="Z118" s="4">
        <v>21</v>
      </c>
      <c r="AA118" s="4" t="s">
        <v>473</v>
      </c>
      <c r="AB118" s="8">
        <v>250</v>
      </c>
      <c r="AC118" s="4" t="s">
        <v>140</v>
      </c>
      <c r="AD118" s="11" t="s">
        <v>31</v>
      </c>
      <c r="AE118" s="5" t="s">
        <v>182</v>
      </c>
      <c r="AF118" s="4" t="s">
        <v>146</v>
      </c>
    </row>
    <row r="119" spans="1:32" s="4" customFormat="1" x14ac:dyDescent="0.25">
      <c r="A119" s="4">
        <f t="shared" si="16"/>
        <v>72</v>
      </c>
      <c r="B119" s="5" t="s">
        <v>471</v>
      </c>
      <c r="C119" s="6" t="s">
        <v>141</v>
      </c>
      <c r="D119" s="4" t="s">
        <v>142</v>
      </c>
      <c r="E119" s="4" t="s">
        <v>183</v>
      </c>
      <c r="F119" s="4" t="s">
        <v>26</v>
      </c>
      <c r="G119" s="4" t="s">
        <v>9</v>
      </c>
      <c r="H119" s="4" t="s">
        <v>233</v>
      </c>
      <c r="I119" s="4" t="s">
        <v>472</v>
      </c>
      <c r="J119" s="7" t="s">
        <v>26</v>
      </c>
      <c r="K119" s="4" t="s">
        <v>26</v>
      </c>
      <c r="L119" s="7" t="s">
        <v>26</v>
      </c>
      <c r="M119" s="7" t="s">
        <v>26</v>
      </c>
      <c r="N119" s="7" t="s">
        <v>26</v>
      </c>
      <c r="O119" s="7" t="s">
        <v>26</v>
      </c>
      <c r="P119" s="7" t="s">
        <v>26</v>
      </c>
      <c r="Q119" s="7">
        <v>0.63739999999999997</v>
      </c>
      <c r="R119" s="8">
        <v>7.1</v>
      </c>
      <c r="S119" s="8">
        <v>19.91</v>
      </c>
      <c r="T119" s="4" t="str">
        <f t="shared" ref="T119:T133" si="22">IF(S119&gt;=45, "Slow", IF(S119&gt;=20, "Intermediate", "Fast"))</f>
        <v>Fast</v>
      </c>
      <c r="U119" s="4" t="s">
        <v>10</v>
      </c>
      <c r="V119" s="4" t="s">
        <v>51</v>
      </c>
      <c r="W119" s="4">
        <v>25</v>
      </c>
      <c r="X119" s="4">
        <v>800</v>
      </c>
      <c r="Y119" s="5">
        <v>360</v>
      </c>
      <c r="Z119" s="4">
        <v>21</v>
      </c>
      <c r="AA119" s="4" t="s">
        <v>473</v>
      </c>
      <c r="AB119" s="8">
        <v>250</v>
      </c>
      <c r="AC119" s="4" t="s">
        <v>140</v>
      </c>
      <c r="AD119" s="11" t="s">
        <v>31</v>
      </c>
      <c r="AE119" s="9" t="s">
        <v>183</v>
      </c>
      <c r="AF119" s="4" t="s">
        <v>143</v>
      </c>
    </row>
    <row r="120" spans="1:32" s="4" customFormat="1" x14ac:dyDescent="0.25">
      <c r="A120" s="4">
        <f t="shared" si="16"/>
        <v>73</v>
      </c>
      <c r="B120" s="5" t="s">
        <v>471</v>
      </c>
      <c r="C120" s="6" t="s">
        <v>150</v>
      </c>
      <c r="D120" s="4" t="s">
        <v>165</v>
      </c>
      <c r="E120" s="4" t="s">
        <v>183</v>
      </c>
      <c r="F120" s="4" t="s">
        <v>26</v>
      </c>
      <c r="G120" s="4" t="s">
        <v>9</v>
      </c>
      <c r="H120" s="4" t="s">
        <v>65</v>
      </c>
      <c r="I120" s="4" t="s">
        <v>425</v>
      </c>
      <c r="J120" s="7" t="s">
        <v>26</v>
      </c>
      <c r="K120" s="4" t="s">
        <v>26</v>
      </c>
      <c r="L120" s="7" t="s">
        <v>26</v>
      </c>
      <c r="M120" s="7" t="s">
        <v>26</v>
      </c>
      <c r="N120" s="7" t="s">
        <v>26</v>
      </c>
      <c r="O120" s="7" t="s">
        <v>26</v>
      </c>
      <c r="P120" s="7" t="s">
        <v>26</v>
      </c>
      <c r="Q120" s="7">
        <f>0.2308/0.6738</f>
        <v>0.34253487681804695</v>
      </c>
      <c r="R120" s="8">
        <v>30.7</v>
      </c>
      <c r="S120" s="8">
        <v>31.97</v>
      </c>
      <c r="T120" s="4" t="str">
        <f t="shared" si="22"/>
        <v>Intermediate</v>
      </c>
      <c r="U120" s="4" t="s">
        <v>10</v>
      </c>
      <c r="V120" s="4" t="s">
        <v>41</v>
      </c>
      <c r="W120" s="4">
        <v>25</v>
      </c>
      <c r="X120" s="4">
        <v>800</v>
      </c>
      <c r="Y120" s="5">
        <v>360</v>
      </c>
      <c r="Z120" s="4">
        <v>21</v>
      </c>
      <c r="AA120" s="4" t="s">
        <v>473</v>
      </c>
      <c r="AB120" s="8">
        <v>250</v>
      </c>
      <c r="AC120" s="4" t="s">
        <v>140</v>
      </c>
      <c r="AD120" s="11" t="s">
        <v>31</v>
      </c>
      <c r="AE120" s="9" t="s">
        <v>183</v>
      </c>
      <c r="AF120" s="4" t="s">
        <v>148</v>
      </c>
    </row>
    <row r="121" spans="1:32" s="4" customFormat="1" x14ac:dyDescent="0.25">
      <c r="A121" s="4">
        <f t="shared" si="16"/>
        <v>74</v>
      </c>
      <c r="B121" s="5" t="s">
        <v>471</v>
      </c>
      <c r="C121" s="6" t="s">
        <v>145</v>
      </c>
      <c r="D121" s="4" t="s">
        <v>144</v>
      </c>
      <c r="E121" s="4" t="s">
        <v>183</v>
      </c>
      <c r="F121" s="4" t="s">
        <v>26</v>
      </c>
      <c r="G121" s="4" t="s">
        <v>9</v>
      </c>
      <c r="H121" s="4" t="s">
        <v>232</v>
      </c>
      <c r="I121" s="4" t="s">
        <v>350</v>
      </c>
      <c r="J121" s="7" t="s">
        <v>26</v>
      </c>
      <c r="K121" s="4" t="s">
        <v>26</v>
      </c>
      <c r="L121" s="7" t="s">
        <v>26</v>
      </c>
      <c r="M121" s="7" t="s">
        <v>26</v>
      </c>
      <c r="N121" s="7" t="s">
        <v>26</v>
      </c>
      <c r="O121" s="7" t="s">
        <v>26</v>
      </c>
      <c r="P121" s="7" t="s">
        <v>26</v>
      </c>
      <c r="Q121" s="7">
        <f>0.5712/0.9836</f>
        <v>0.58072387149247662</v>
      </c>
      <c r="R121" s="8">
        <v>9.1999999999999993</v>
      </c>
      <c r="S121" s="8">
        <v>22.49</v>
      </c>
      <c r="T121" s="4" t="str">
        <f t="shared" si="22"/>
        <v>Intermediate</v>
      </c>
      <c r="U121" s="4" t="s">
        <v>10</v>
      </c>
      <c r="V121" s="4" t="s">
        <v>41</v>
      </c>
      <c r="W121" s="4">
        <v>25</v>
      </c>
      <c r="X121" s="4">
        <v>800</v>
      </c>
      <c r="Y121" s="5">
        <v>360</v>
      </c>
      <c r="Z121" s="4">
        <v>21</v>
      </c>
      <c r="AA121" s="4" t="s">
        <v>473</v>
      </c>
      <c r="AB121" s="8">
        <v>250</v>
      </c>
      <c r="AC121" s="4" t="s">
        <v>140</v>
      </c>
      <c r="AD121" s="11" t="s">
        <v>31</v>
      </c>
      <c r="AE121" s="5" t="s">
        <v>183</v>
      </c>
      <c r="AF121" s="4" t="s">
        <v>146</v>
      </c>
    </row>
    <row r="122" spans="1:32" s="4" customFormat="1" x14ac:dyDescent="0.25">
      <c r="A122" s="4">
        <f t="shared" si="16"/>
        <v>75</v>
      </c>
      <c r="B122" s="5" t="s">
        <v>458</v>
      </c>
      <c r="C122" s="6" t="s">
        <v>370</v>
      </c>
      <c r="D122" s="4" t="s">
        <v>371</v>
      </c>
      <c r="E122" s="4" t="s">
        <v>183</v>
      </c>
      <c r="F122" s="10" t="s">
        <v>26</v>
      </c>
      <c r="G122" s="4" t="s">
        <v>9</v>
      </c>
      <c r="H122" s="4" t="s">
        <v>232</v>
      </c>
      <c r="I122" s="4" t="s">
        <v>372</v>
      </c>
      <c r="J122" s="7" t="s">
        <v>26</v>
      </c>
      <c r="K122" s="4" t="s">
        <v>26</v>
      </c>
      <c r="L122" s="7" t="s">
        <v>26</v>
      </c>
      <c r="M122" s="7" t="s">
        <v>26</v>
      </c>
      <c r="N122" s="7">
        <v>20.167999999999999</v>
      </c>
      <c r="O122" s="7">
        <v>51.15</v>
      </c>
      <c r="P122" s="7">
        <f t="shared" ref="P122:P133" si="23">O122*0.9</f>
        <v>46.034999999999997</v>
      </c>
      <c r="Q122" s="7">
        <f t="shared" ref="Q122:Q133" si="24">N122/O122</f>
        <v>0.39429130009775171</v>
      </c>
      <c r="R122" s="8" t="s">
        <v>26</v>
      </c>
      <c r="S122" s="8">
        <f>14.75/50*90</f>
        <v>26.549999999999997</v>
      </c>
      <c r="T122" s="4" t="str">
        <f t="shared" si="22"/>
        <v>Intermediate</v>
      </c>
      <c r="U122" s="4" t="s">
        <v>10</v>
      </c>
      <c r="V122" s="4" t="s">
        <v>24</v>
      </c>
      <c r="W122" s="4">
        <v>0</v>
      </c>
      <c r="X122" s="4">
        <v>70</v>
      </c>
      <c r="Y122" s="4">
        <v>390</v>
      </c>
      <c r="Z122" s="4">
        <v>22</v>
      </c>
      <c r="AA122" s="11">
        <v>0.6</v>
      </c>
      <c r="AB122" s="8">
        <v>70</v>
      </c>
      <c r="AC122" s="4" t="s">
        <v>374</v>
      </c>
      <c r="AD122" s="11" t="s">
        <v>375</v>
      </c>
      <c r="AE122" s="4" t="s">
        <v>183</v>
      </c>
      <c r="AF122" s="4" t="s">
        <v>528</v>
      </c>
    </row>
    <row r="123" spans="1:32" s="4" customFormat="1" x14ac:dyDescent="0.25">
      <c r="A123" s="4">
        <f t="shared" si="16"/>
        <v>75</v>
      </c>
      <c r="B123" s="5" t="s">
        <v>458</v>
      </c>
      <c r="C123" s="6" t="s">
        <v>370</v>
      </c>
      <c r="D123" s="4" t="s">
        <v>371</v>
      </c>
      <c r="E123" s="4" t="s">
        <v>183</v>
      </c>
      <c r="F123" s="10" t="s">
        <v>26</v>
      </c>
      <c r="G123" s="4" t="s">
        <v>9</v>
      </c>
      <c r="H123" s="4" t="s">
        <v>232</v>
      </c>
      <c r="I123" s="4" t="s">
        <v>372</v>
      </c>
      <c r="J123" s="7" t="s">
        <v>26</v>
      </c>
      <c r="K123" s="4" t="s">
        <v>26</v>
      </c>
      <c r="L123" s="7" t="s">
        <v>26</v>
      </c>
      <c r="M123" s="7" t="s">
        <v>26</v>
      </c>
      <c r="N123" s="7">
        <v>23.15</v>
      </c>
      <c r="O123" s="7">
        <v>74.55</v>
      </c>
      <c r="P123" s="7">
        <f t="shared" si="23"/>
        <v>67.094999999999999</v>
      </c>
      <c r="Q123" s="7">
        <f t="shared" si="24"/>
        <v>0.31052984574111336</v>
      </c>
      <c r="R123" s="8" t="s">
        <v>26</v>
      </c>
      <c r="S123" s="8">
        <f>18.914/50*90</f>
        <v>34.045200000000001</v>
      </c>
      <c r="T123" s="4" t="str">
        <f t="shared" si="22"/>
        <v>Intermediate</v>
      </c>
      <c r="U123" s="4" t="s">
        <v>10</v>
      </c>
      <c r="V123" s="4" t="s">
        <v>24</v>
      </c>
      <c r="W123" s="4">
        <v>0</v>
      </c>
      <c r="X123" s="4">
        <v>400</v>
      </c>
      <c r="Y123" s="4">
        <v>390</v>
      </c>
      <c r="Z123" s="4">
        <v>22</v>
      </c>
      <c r="AA123" s="11">
        <v>0.6</v>
      </c>
      <c r="AB123" s="8">
        <v>70</v>
      </c>
      <c r="AC123" s="4" t="s">
        <v>374</v>
      </c>
      <c r="AD123" s="11" t="s">
        <v>375</v>
      </c>
      <c r="AE123" s="4" t="s">
        <v>183</v>
      </c>
      <c r="AF123" s="4" t="s">
        <v>528</v>
      </c>
    </row>
    <row r="124" spans="1:32" s="4" customFormat="1" x14ac:dyDescent="0.25">
      <c r="A124" s="4">
        <f t="shared" si="16"/>
        <v>76</v>
      </c>
      <c r="B124" s="5" t="s">
        <v>458</v>
      </c>
      <c r="C124" s="6" t="s">
        <v>373</v>
      </c>
      <c r="D124" s="4" t="s">
        <v>26</v>
      </c>
      <c r="E124" s="4" t="s">
        <v>183</v>
      </c>
      <c r="F124" s="10" t="s">
        <v>26</v>
      </c>
      <c r="G124" s="4" t="s">
        <v>9</v>
      </c>
      <c r="H124" s="4" t="s">
        <v>232</v>
      </c>
      <c r="I124" s="4" t="s">
        <v>372</v>
      </c>
      <c r="J124" s="7" t="s">
        <v>26</v>
      </c>
      <c r="K124" s="4" t="s">
        <v>26</v>
      </c>
      <c r="L124" s="7" t="s">
        <v>26</v>
      </c>
      <c r="M124" s="7" t="s">
        <v>26</v>
      </c>
      <c r="N124" s="7">
        <v>15.085000000000001</v>
      </c>
      <c r="O124" s="7">
        <v>44.42</v>
      </c>
      <c r="P124" s="7">
        <f t="shared" si="23"/>
        <v>39.978000000000002</v>
      </c>
      <c r="Q124" s="7">
        <f t="shared" si="24"/>
        <v>0.33959927960378211</v>
      </c>
      <c r="R124" s="8" t="s">
        <v>26</v>
      </c>
      <c r="S124" s="8">
        <f>18.291/50*90</f>
        <v>32.9238</v>
      </c>
      <c r="T124" s="4" t="str">
        <f t="shared" si="22"/>
        <v>Intermediate</v>
      </c>
      <c r="U124" s="4" t="s">
        <v>10</v>
      </c>
      <c r="V124" s="4" t="s">
        <v>24</v>
      </c>
      <c r="W124" s="4">
        <v>0</v>
      </c>
      <c r="X124" s="4">
        <v>70</v>
      </c>
      <c r="Y124" s="4">
        <v>390</v>
      </c>
      <c r="Z124" s="4">
        <v>22</v>
      </c>
      <c r="AA124" s="11">
        <v>0.6</v>
      </c>
      <c r="AB124" s="8">
        <v>70</v>
      </c>
      <c r="AC124" s="4" t="s">
        <v>374</v>
      </c>
      <c r="AD124" s="11" t="s">
        <v>375</v>
      </c>
      <c r="AE124" s="4" t="s">
        <v>183</v>
      </c>
      <c r="AF124" s="4" t="s">
        <v>528</v>
      </c>
    </row>
    <row r="125" spans="1:32" s="4" customFormat="1" x14ac:dyDescent="0.25">
      <c r="A125" s="4">
        <f t="shared" si="16"/>
        <v>76</v>
      </c>
      <c r="B125" s="5" t="s">
        <v>458</v>
      </c>
      <c r="C125" s="6" t="s">
        <v>373</v>
      </c>
      <c r="D125" s="4" t="s">
        <v>26</v>
      </c>
      <c r="E125" s="4" t="s">
        <v>183</v>
      </c>
      <c r="F125" s="10" t="s">
        <v>26</v>
      </c>
      <c r="G125" s="4" t="s">
        <v>9</v>
      </c>
      <c r="H125" s="4" t="s">
        <v>232</v>
      </c>
      <c r="I125" s="4" t="s">
        <v>372</v>
      </c>
      <c r="J125" s="7" t="s">
        <v>26</v>
      </c>
      <c r="K125" s="4" t="s">
        <v>26</v>
      </c>
      <c r="L125" s="7" t="s">
        <v>26</v>
      </c>
      <c r="M125" s="7" t="s">
        <v>26</v>
      </c>
      <c r="N125" s="7">
        <v>26.03</v>
      </c>
      <c r="O125" s="7">
        <v>81.069999999999993</v>
      </c>
      <c r="P125" s="7">
        <f t="shared" si="23"/>
        <v>72.962999999999994</v>
      </c>
      <c r="Q125" s="7">
        <f t="shared" si="24"/>
        <v>0.32108054767484895</v>
      </c>
      <c r="R125" s="8" t="s">
        <v>26</v>
      </c>
      <c r="S125" s="8">
        <f>27.149/50*90</f>
        <v>48.868200000000002</v>
      </c>
      <c r="T125" s="4" t="str">
        <f t="shared" si="22"/>
        <v>Slow</v>
      </c>
      <c r="U125" s="4" t="s">
        <v>10</v>
      </c>
      <c r="V125" s="4" t="s">
        <v>24</v>
      </c>
      <c r="W125" s="4">
        <v>0</v>
      </c>
      <c r="X125" s="4">
        <v>400</v>
      </c>
      <c r="Y125" s="4">
        <v>390</v>
      </c>
      <c r="Z125" s="4">
        <v>22</v>
      </c>
      <c r="AA125" s="11">
        <v>0.6</v>
      </c>
      <c r="AB125" s="8">
        <v>70</v>
      </c>
      <c r="AC125" s="4" t="s">
        <v>374</v>
      </c>
      <c r="AD125" s="11" t="s">
        <v>375</v>
      </c>
      <c r="AE125" s="4" t="s">
        <v>183</v>
      </c>
      <c r="AF125" s="4" t="s">
        <v>528</v>
      </c>
    </row>
    <row r="126" spans="1:32" s="4" customFormat="1" x14ac:dyDescent="0.25">
      <c r="A126" s="4">
        <f t="shared" si="16"/>
        <v>77</v>
      </c>
      <c r="B126" s="5" t="s">
        <v>459</v>
      </c>
      <c r="C126" s="6" t="s">
        <v>136</v>
      </c>
      <c r="D126" s="4" t="s">
        <v>137</v>
      </c>
      <c r="E126" s="4" t="s">
        <v>182</v>
      </c>
      <c r="F126" s="4" t="s">
        <v>260</v>
      </c>
      <c r="G126" s="4" t="s">
        <v>9</v>
      </c>
      <c r="H126" s="4" t="s">
        <v>232</v>
      </c>
      <c r="I126" s="4" t="s">
        <v>345</v>
      </c>
      <c r="J126" s="7">
        <f t="shared" si="14"/>
        <v>34.165170556552965</v>
      </c>
      <c r="K126" s="4" t="str">
        <f>IF(J126&gt;=80, "More Conserved", IF(J126&gt;=70, "Conserved", "Less Conserved"))</f>
        <v>Less Conserved</v>
      </c>
      <c r="L126" s="7">
        <v>13.321</v>
      </c>
      <c r="M126" s="7">
        <f>L126*0.9</f>
        <v>11.988899999999999</v>
      </c>
      <c r="N126" s="7">
        <v>42.4</v>
      </c>
      <c r="O126" s="7">
        <v>389.9</v>
      </c>
      <c r="P126" s="7">
        <f t="shared" si="23"/>
        <v>350.90999999999997</v>
      </c>
      <c r="Q126" s="7">
        <f t="shared" si="24"/>
        <v>0.10874583226468325</v>
      </c>
      <c r="R126" s="8">
        <f>17.29-6.8</f>
        <v>10.489999999999998</v>
      </c>
      <c r="S126" s="8">
        <f>27.76-6.8</f>
        <v>20.96</v>
      </c>
      <c r="T126" s="4" t="str">
        <f t="shared" si="22"/>
        <v>Intermediate</v>
      </c>
      <c r="U126" s="4" t="s">
        <v>10</v>
      </c>
      <c r="V126" s="4" t="s">
        <v>41</v>
      </c>
      <c r="W126" s="4">
        <v>25</v>
      </c>
      <c r="X126" s="4">
        <v>1200</v>
      </c>
      <c r="Y126" s="5">
        <v>354</v>
      </c>
      <c r="Z126" s="4" t="s">
        <v>26</v>
      </c>
      <c r="AA126" s="4" t="s">
        <v>26</v>
      </c>
      <c r="AB126" s="8" t="s">
        <v>37</v>
      </c>
      <c r="AC126" s="4" t="s">
        <v>37</v>
      </c>
      <c r="AD126" s="4" t="s">
        <v>37</v>
      </c>
      <c r="AE126" s="5" t="s">
        <v>182</v>
      </c>
      <c r="AF126" s="4" t="s">
        <v>711</v>
      </c>
    </row>
    <row r="127" spans="1:32" s="4" customFormat="1" x14ac:dyDescent="0.25">
      <c r="A127" s="4">
        <f t="shared" si="16"/>
        <v>78</v>
      </c>
      <c r="B127" s="5" t="s">
        <v>460</v>
      </c>
      <c r="C127" s="6" t="s">
        <v>14</v>
      </c>
      <c r="D127" s="4" t="s">
        <v>13</v>
      </c>
      <c r="E127" s="4" t="s">
        <v>182</v>
      </c>
      <c r="F127" s="4" t="s">
        <v>313</v>
      </c>
      <c r="G127" s="4" t="s">
        <v>9</v>
      </c>
      <c r="H127" s="4" t="s">
        <v>233</v>
      </c>
      <c r="I127" s="4" t="s">
        <v>331</v>
      </c>
      <c r="J127" s="7">
        <f t="shared" si="14"/>
        <v>43.299599409656331</v>
      </c>
      <c r="K127" s="4" t="str">
        <f>IF(J127&gt;=80, "More Conserved", IF(J127&gt;=70, "Conserved", "Less Conserved"))</f>
        <v>Less Conserved</v>
      </c>
      <c r="L127" s="7">
        <v>20.536999999999999</v>
      </c>
      <c r="M127" s="7">
        <f>L127*0.9</f>
        <v>18.4833</v>
      </c>
      <c r="N127" s="7">
        <v>122.3</v>
      </c>
      <c r="O127" s="7">
        <v>474.3</v>
      </c>
      <c r="P127" s="7">
        <f t="shared" si="23"/>
        <v>426.87</v>
      </c>
      <c r="Q127" s="7">
        <f t="shared" si="24"/>
        <v>0.257853679106051</v>
      </c>
      <c r="R127" s="8">
        <f>35.949-30</f>
        <v>5.9489999999999981</v>
      </c>
      <c r="S127" s="8">
        <f>36.804-30</f>
        <v>6.804000000000002</v>
      </c>
      <c r="T127" s="4" t="str">
        <f t="shared" si="22"/>
        <v>Fast</v>
      </c>
      <c r="U127" s="4" t="s">
        <v>10</v>
      </c>
      <c r="V127" s="4" t="s">
        <v>32</v>
      </c>
      <c r="W127" s="4">
        <v>100</v>
      </c>
      <c r="X127" s="4">
        <v>1200</v>
      </c>
      <c r="Y127" s="4">
        <v>400</v>
      </c>
      <c r="Z127" s="4">
        <v>25</v>
      </c>
      <c r="AA127" s="4" t="s">
        <v>312</v>
      </c>
      <c r="AB127" s="8">
        <v>600</v>
      </c>
      <c r="AC127" s="4">
        <v>27</v>
      </c>
      <c r="AD127" s="4" t="s">
        <v>33</v>
      </c>
      <c r="AE127" s="5" t="s">
        <v>182</v>
      </c>
      <c r="AF127" s="4" t="s">
        <v>186</v>
      </c>
    </row>
    <row r="128" spans="1:32" s="4" customFormat="1" x14ac:dyDescent="0.25">
      <c r="A128" s="4">
        <f t="shared" si="16"/>
        <v>78</v>
      </c>
      <c r="B128" s="5" t="s">
        <v>460</v>
      </c>
      <c r="C128" s="6" t="s">
        <v>14</v>
      </c>
      <c r="D128" s="4" t="s">
        <v>13</v>
      </c>
      <c r="E128" s="4" t="s">
        <v>182</v>
      </c>
      <c r="F128" s="4" t="s">
        <v>314</v>
      </c>
      <c r="G128" s="4" t="s">
        <v>9</v>
      </c>
      <c r="H128" s="4" t="s">
        <v>233</v>
      </c>
      <c r="I128" s="4" t="s">
        <v>331</v>
      </c>
      <c r="J128" s="7">
        <f t="shared" si="14"/>
        <v>50.516129032258071</v>
      </c>
      <c r="K128" s="4" t="str">
        <f>IF(J128&gt;=80, "More Conserved", IF(J128&gt;=70, "Conserved", "Less Conserved"))</f>
        <v>Less Conserved</v>
      </c>
      <c r="L128" s="7">
        <v>18.009</v>
      </c>
      <c r="M128" s="7">
        <f>L128*0.9</f>
        <v>16.208100000000002</v>
      </c>
      <c r="N128" s="7">
        <v>87.6</v>
      </c>
      <c r="O128" s="7">
        <v>356.5</v>
      </c>
      <c r="P128" s="7">
        <f t="shared" si="23"/>
        <v>320.85000000000002</v>
      </c>
      <c r="Q128" s="7">
        <f t="shared" si="24"/>
        <v>0.24572230014025243</v>
      </c>
      <c r="R128" s="8">
        <f>36.255-30</f>
        <v>6.2550000000000026</v>
      </c>
      <c r="S128" s="8">
        <f>36.104-30</f>
        <v>6.1039999999999992</v>
      </c>
      <c r="T128" s="4" t="str">
        <f t="shared" si="22"/>
        <v>Fast</v>
      </c>
      <c r="U128" s="4" t="s">
        <v>10</v>
      </c>
      <c r="V128" s="4" t="s">
        <v>32</v>
      </c>
      <c r="W128" s="4">
        <v>100</v>
      </c>
      <c r="X128" s="4">
        <v>1200</v>
      </c>
      <c r="Y128" s="4">
        <v>400</v>
      </c>
      <c r="Z128" s="4">
        <v>25</v>
      </c>
      <c r="AA128" s="4" t="s">
        <v>312</v>
      </c>
      <c r="AB128" s="8">
        <v>600</v>
      </c>
      <c r="AC128" s="4">
        <v>27</v>
      </c>
      <c r="AD128" s="4" t="s">
        <v>33</v>
      </c>
      <c r="AE128" s="5" t="s">
        <v>182</v>
      </c>
      <c r="AF128" s="4" t="s">
        <v>34</v>
      </c>
    </row>
    <row r="129" spans="1:32" s="4" customFormat="1" x14ac:dyDescent="0.25">
      <c r="A129" s="4">
        <f t="shared" si="16"/>
        <v>79</v>
      </c>
      <c r="B129" s="5" t="s">
        <v>461</v>
      </c>
      <c r="C129" s="6" t="s">
        <v>377</v>
      </c>
      <c r="D129" s="4" t="s">
        <v>378</v>
      </c>
      <c r="E129" s="4" t="s">
        <v>183</v>
      </c>
      <c r="F129" s="4" t="s">
        <v>376</v>
      </c>
      <c r="G129" s="4" t="s">
        <v>9</v>
      </c>
      <c r="H129" s="4" t="s">
        <v>233</v>
      </c>
      <c r="I129" s="4" t="s">
        <v>331</v>
      </c>
      <c r="J129" s="7" t="s">
        <v>26</v>
      </c>
      <c r="K129" s="4" t="s">
        <v>26</v>
      </c>
      <c r="L129" s="7" t="s">
        <v>26</v>
      </c>
      <c r="M129" s="7" t="s">
        <v>26</v>
      </c>
      <c r="N129" s="7">
        <v>98.44</v>
      </c>
      <c r="O129" s="7">
        <v>165.68</v>
      </c>
      <c r="P129" s="7">
        <f t="shared" si="23"/>
        <v>149.11200000000002</v>
      </c>
      <c r="Q129" s="7">
        <f t="shared" si="24"/>
        <v>0.59415741187831961</v>
      </c>
      <c r="R129" s="8" t="s">
        <v>26</v>
      </c>
      <c r="S129" s="8">
        <f>34.62-20</f>
        <v>14.619999999999997</v>
      </c>
      <c r="T129" s="4" t="str">
        <f t="shared" si="22"/>
        <v>Fast</v>
      </c>
      <c r="U129" s="4" t="s">
        <v>10</v>
      </c>
      <c r="V129" s="4" t="s">
        <v>41</v>
      </c>
      <c r="W129" s="4">
        <v>300</v>
      </c>
      <c r="X129" s="4">
        <v>1200</v>
      </c>
      <c r="Y129" s="4">
        <v>450</v>
      </c>
      <c r="Z129" s="4">
        <v>25</v>
      </c>
      <c r="AA129" s="11" t="s">
        <v>381</v>
      </c>
      <c r="AB129" s="8" t="s">
        <v>379</v>
      </c>
      <c r="AC129" s="4" t="s">
        <v>380</v>
      </c>
      <c r="AD129" s="11" t="s">
        <v>26</v>
      </c>
      <c r="AE129" s="4" t="s">
        <v>183</v>
      </c>
    </row>
    <row r="130" spans="1:32" s="4" customFormat="1" x14ac:dyDescent="0.25">
      <c r="A130" s="4">
        <f t="shared" si="16"/>
        <v>80</v>
      </c>
      <c r="B130" s="5" t="s">
        <v>547</v>
      </c>
      <c r="C130" s="6" t="s">
        <v>50</v>
      </c>
      <c r="D130" s="4" t="s">
        <v>52</v>
      </c>
      <c r="E130" s="4" t="s">
        <v>183</v>
      </c>
      <c r="F130" s="10" t="s">
        <v>163</v>
      </c>
      <c r="G130" s="4" t="s">
        <v>9</v>
      </c>
      <c r="H130" s="4" t="s">
        <v>232</v>
      </c>
      <c r="I130" s="4" t="s">
        <v>340</v>
      </c>
      <c r="J130" s="7">
        <f t="shared" si="14"/>
        <v>77.433793360686309</v>
      </c>
      <c r="K130" s="4" t="str">
        <f>IF(J130&gt;=80, "More Conserved", IF(J130&gt;=70, "Conserved", "Less Conserved"))</f>
        <v>Conserved</v>
      </c>
      <c r="L130" s="7">
        <v>20.76</v>
      </c>
      <c r="M130" s="7">
        <f>L130*0.9</f>
        <v>18.684000000000001</v>
      </c>
      <c r="N130" s="7">
        <v>23.8</v>
      </c>
      <c r="O130" s="7">
        <v>268.10000000000002</v>
      </c>
      <c r="P130" s="7">
        <f t="shared" si="23"/>
        <v>241.29000000000002</v>
      </c>
      <c r="Q130" s="7">
        <f t="shared" si="24"/>
        <v>8.877284595300261E-2</v>
      </c>
      <c r="R130" s="8">
        <v>19.7</v>
      </c>
      <c r="S130" s="8">
        <v>29.7</v>
      </c>
      <c r="T130" s="4" t="str">
        <f t="shared" si="22"/>
        <v>Intermediate</v>
      </c>
      <c r="U130" s="4" t="s">
        <v>10</v>
      </c>
      <c r="V130" s="4" t="s">
        <v>51</v>
      </c>
      <c r="W130" s="4">
        <v>0</v>
      </c>
      <c r="X130" s="4">
        <v>1500</v>
      </c>
      <c r="Y130" s="4">
        <v>400</v>
      </c>
      <c r="Z130" s="4">
        <v>24</v>
      </c>
      <c r="AA130" s="4" t="s">
        <v>548</v>
      </c>
      <c r="AB130" s="8">
        <v>200</v>
      </c>
      <c r="AC130" s="4" t="s">
        <v>164</v>
      </c>
      <c r="AD130" s="11" t="s">
        <v>37</v>
      </c>
      <c r="AE130" s="5" t="s">
        <v>182</v>
      </c>
      <c r="AF130" s="4" t="s">
        <v>712</v>
      </c>
    </row>
    <row r="131" spans="1:32" s="4" customFormat="1" x14ac:dyDescent="0.25">
      <c r="A131" s="4">
        <f t="shared" si="16"/>
        <v>81</v>
      </c>
      <c r="B131" s="5" t="s">
        <v>547</v>
      </c>
      <c r="C131" s="6" t="s">
        <v>113</v>
      </c>
      <c r="D131" s="4" t="s">
        <v>114</v>
      </c>
      <c r="E131" s="4" t="s">
        <v>182</v>
      </c>
      <c r="F131" s="10" t="s">
        <v>264</v>
      </c>
      <c r="G131" s="4" t="s">
        <v>9</v>
      </c>
      <c r="H131" s="4" t="s">
        <v>232</v>
      </c>
      <c r="I131" s="4" t="s">
        <v>341</v>
      </c>
      <c r="J131" s="7">
        <f t="shared" ref="J131:J194" si="25">L131/(O131/1000)</f>
        <v>54.717514124293793</v>
      </c>
      <c r="K131" s="4" t="str">
        <f>IF(J131&gt;=80, "More Conserved", IF(J131&gt;=70, "Conserved", "Less Conserved"))</f>
        <v>Less Conserved</v>
      </c>
      <c r="L131" s="7">
        <v>19.37</v>
      </c>
      <c r="M131" s="7">
        <f>L131*0.9</f>
        <v>17.433</v>
      </c>
      <c r="N131" s="7">
        <v>14.6</v>
      </c>
      <c r="O131" s="7">
        <v>354</v>
      </c>
      <c r="P131" s="7">
        <f t="shared" si="23"/>
        <v>318.60000000000002</v>
      </c>
      <c r="Q131" s="7">
        <f t="shared" si="24"/>
        <v>4.1242937853107342E-2</v>
      </c>
      <c r="R131" s="8">
        <v>19</v>
      </c>
      <c r="S131" s="8">
        <v>28.9</v>
      </c>
      <c r="T131" s="4" t="str">
        <f t="shared" si="22"/>
        <v>Intermediate</v>
      </c>
      <c r="U131" s="4" t="s">
        <v>10</v>
      </c>
      <c r="V131" s="4" t="s">
        <v>32</v>
      </c>
      <c r="W131" s="4">
        <v>0</v>
      </c>
      <c r="X131" s="4">
        <v>1500</v>
      </c>
      <c r="Y131" s="4">
        <v>400</v>
      </c>
      <c r="Z131" s="4">
        <v>24</v>
      </c>
      <c r="AA131" s="4" t="s">
        <v>549</v>
      </c>
      <c r="AB131" s="8" t="s">
        <v>37</v>
      </c>
      <c r="AC131" s="4" t="s">
        <v>103</v>
      </c>
      <c r="AD131" s="11" t="s">
        <v>37</v>
      </c>
      <c r="AE131" s="9" t="s">
        <v>183</v>
      </c>
      <c r="AF131" s="4" t="s">
        <v>712</v>
      </c>
    </row>
    <row r="132" spans="1:32" s="4" customFormat="1" x14ac:dyDescent="0.25">
      <c r="A132" s="4">
        <f t="shared" si="16"/>
        <v>82</v>
      </c>
      <c r="B132" s="5" t="s">
        <v>620</v>
      </c>
      <c r="C132" s="6" t="s">
        <v>136</v>
      </c>
      <c r="D132" s="4" t="s">
        <v>137</v>
      </c>
      <c r="E132" s="4" t="s">
        <v>182</v>
      </c>
      <c r="F132" s="4" t="s">
        <v>622</v>
      </c>
      <c r="G132" s="4" t="s">
        <v>9</v>
      </c>
      <c r="H132" s="4" t="s">
        <v>232</v>
      </c>
      <c r="I132" s="4" t="s">
        <v>345</v>
      </c>
      <c r="J132" s="7">
        <f t="shared" si="25"/>
        <v>59.472081218274113</v>
      </c>
      <c r="K132" s="4" t="str">
        <f>IF(J132&gt;=80, "More Conserved", IF(J132&gt;=70, "Conserved", "Less Conserved"))</f>
        <v>Less Conserved</v>
      </c>
      <c r="L132" s="7">
        <v>29.29</v>
      </c>
      <c r="M132" s="7">
        <f>L132*0.9</f>
        <v>26.361000000000001</v>
      </c>
      <c r="N132" s="7">
        <v>84.3</v>
      </c>
      <c r="O132" s="7">
        <v>492.5</v>
      </c>
      <c r="P132" s="7">
        <f t="shared" si="23"/>
        <v>443.25</v>
      </c>
      <c r="Q132" s="7">
        <f t="shared" si="24"/>
        <v>0.17116751269035532</v>
      </c>
      <c r="R132" s="8">
        <v>13.878</v>
      </c>
      <c r="S132" s="8">
        <v>16.856999999999999</v>
      </c>
      <c r="T132" s="4" t="str">
        <f t="shared" si="22"/>
        <v>Fast</v>
      </c>
      <c r="U132" s="4" t="s">
        <v>10</v>
      </c>
      <c r="V132" s="4" t="s">
        <v>41</v>
      </c>
      <c r="W132" s="4">
        <v>50</v>
      </c>
      <c r="X132" s="4">
        <v>1500</v>
      </c>
      <c r="Y132" s="4">
        <v>400</v>
      </c>
      <c r="Z132" s="4">
        <v>33</v>
      </c>
      <c r="AA132" s="4" t="s">
        <v>623</v>
      </c>
      <c r="AB132" s="8" t="s">
        <v>37</v>
      </c>
      <c r="AC132" s="4" t="s">
        <v>37</v>
      </c>
      <c r="AD132" s="4" t="s">
        <v>37</v>
      </c>
      <c r="AE132" s="5" t="s">
        <v>182</v>
      </c>
      <c r="AF132" s="4" t="s">
        <v>713</v>
      </c>
    </row>
    <row r="133" spans="1:32" s="4" customFormat="1" x14ac:dyDescent="0.25">
      <c r="A133" s="4">
        <f t="shared" ref="A133:A196" si="26">IF(C133=C132, A132, A132+1)</f>
        <v>83</v>
      </c>
      <c r="B133" s="5" t="s">
        <v>620</v>
      </c>
      <c r="C133" s="6" t="s">
        <v>14</v>
      </c>
      <c r="D133" s="4" t="s">
        <v>13</v>
      </c>
      <c r="E133" s="4" t="s">
        <v>182</v>
      </c>
      <c r="F133" s="4" t="s">
        <v>621</v>
      </c>
      <c r="G133" s="4" t="s">
        <v>9</v>
      </c>
      <c r="H133" s="4" t="s">
        <v>232</v>
      </c>
      <c r="I133" s="4" t="s">
        <v>331</v>
      </c>
      <c r="J133" s="7">
        <f t="shared" si="25"/>
        <v>40.929678188319436</v>
      </c>
      <c r="K133" s="4" t="str">
        <f>IF(J133&gt;=80, "More Conserved", IF(J133&gt;=70, "Conserved", "Less Conserved"))</f>
        <v>Less Conserved</v>
      </c>
      <c r="L133" s="7">
        <v>34.340000000000003</v>
      </c>
      <c r="M133" s="7">
        <f>L133*0.9</f>
        <v>30.906000000000002</v>
      </c>
      <c r="N133" s="7">
        <v>56.7</v>
      </c>
      <c r="O133" s="7">
        <v>839</v>
      </c>
      <c r="P133" s="7">
        <f t="shared" si="23"/>
        <v>755.1</v>
      </c>
      <c r="Q133" s="7">
        <f t="shared" si="24"/>
        <v>6.758045292014303E-2</v>
      </c>
      <c r="R133" s="8">
        <v>8.2520000000000007</v>
      </c>
      <c r="S133" s="8">
        <v>10.958</v>
      </c>
      <c r="T133" s="4" t="str">
        <f t="shared" si="22"/>
        <v>Fast</v>
      </c>
      <c r="U133" s="4" t="s">
        <v>10</v>
      </c>
      <c r="V133" s="4" t="s">
        <v>32</v>
      </c>
      <c r="W133" s="4">
        <v>50</v>
      </c>
      <c r="X133" s="4">
        <v>1500</v>
      </c>
      <c r="Y133" s="4">
        <v>400</v>
      </c>
      <c r="Z133" s="4">
        <v>30</v>
      </c>
      <c r="AA133" s="4" t="s">
        <v>623</v>
      </c>
      <c r="AB133" s="8" t="s">
        <v>37</v>
      </c>
      <c r="AC133" s="4" t="s">
        <v>37</v>
      </c>
      <c r="AD133" s="4" t="s">
        <v>37</v>
      </c>
      <c r="AE133" s="5" t="s">
        <v>182</v>
      </c>
      <c r="AF133" s="4" t="s">
        <v>713</v>
      </c>
    </row>
    <row r="134" spans="1:32" s="4" customFormat="1" x14ac:dyDescent="0.25">
      <c r="A134" s="4">
        <f t="shared" si="26"/>
        <v>84</v>
      </c>
      <c r="B134" s="5" t="s">
        <v>462</v>
      </c>
      <c r="C134" s="6" t="s">
        <v>136</v>
      </c>
      <c r="D134" s="4" t="s">
        <v>137</v>
      </c>
      <c r="E134" s="4" t="s">
        <v>182</v>
      </c>
      <c r="F134" s="4" t="s">
        <v>138</v>
      </c>
      <c r="G134" s="4" t="s">
        <v>9</v>
      </c>
      <c r="H134" s="4" t="s">
        <v>232</v>
      </c>
      <c r="I134" s="4" t="s">
        <v>345</v>
      </c>
      <c r="J134" s="7" t="s">
        <v>26</v>
      </c>
      <c r="K134" s="7" t="s">
        <v>26</v>
      </c>
      <c r="L134" s="7" t="s">
        <v>26</v>
      </c>
      <c r="M134" s="7" t="s">
        <v>26</v>
      </c>
      <c r="N134" s="7" t="s">
        <v>26</v>
      </c>
      <c r="O134" s="7" t="s">
        <v>26</v>
      </c>
      <c r="P134" s="7" t="s">
        <v>26</v>
      </c>
      <c r="Q134" s="7" t="s">
        <v>26</v>
      </c>
      <c r="R134" s="8" t="s">
        <v>26</v>
      </c>
      <c r="S134" s="8" t="s">
        <v>26</v>
      </c>
      <c r="T134" s="4" t="s">
        <v>26</v>
      </c>
      <c r="U134" s="4" t="s">
        <v>10</v>
      </c>
      <c r="V134" s="4" t="s">
        <v>41</v>
      </c>
      <c r="W134" s="4">
        <v>50</v>
      </c>
      <c r="X134" s="4">
        <v>2000</v>
      </c>
      <c r="Y134" s="4">
        <v>380</v>
      </c>
      <c r="Z134" s="4">
        <v>30</v>
      </c>
      <c r="AA134" s="11">
        <v>0.65</v>
      </c>
      <c r="AB134" s="8" t="s">
        <v>37</v>
      </c>
      <c r="AC134" s="4" t="s">
        <v>37</v>
      </c>
      <c r="AD134" s="11" t="s">
        <v>37</v>
      </c>
      <c r="AE134" s="5" t="s">
        <v>182</v>
      </c>
      <c r="AF134" s="4" t="s">
        <v>714</v>
      </c>
    </row>
    <row r="135" spans="1:32" s="4" customFormat="1" x14ac:dyDescent="0.25">
      <c r="A135" s="4">
        <f t="shared" si="26"/>
        <v>84</v>
      </c>
      <c r="B135" s="5" t="s">
        <v>462</v>
      </c>
      <c r="C135" s="6" t="s">
        <v>136</v>
      </c>
      <c r="D135" s="4" t="s">
        <v>137</v>
      </c>
      <c r="E135" s="4" t="s">
        <v>182</v>
      </c>
      <c r="F135" s="4" t="s">
        <v>139</v>
      </c>
      <c r="G135" s="4" t="s">
        <v>9</v>
      </c>
      <c r="H135" s="4" t="s">
        <v>232</v>
      </c>
      <c r="I135" s="4" t="s">
        <v>345</v>
      </c>
      <c r="J135" s="7" t="s">
        <v>26</v>
      </c>
      <c r="K135" s="7" t="s">
        <v>26</v>
      </c>
      <c r="L135" s="7" t="s">
        <v>26</v>
      </c>
      <c r="M135" s="7" t="s">
        <v>26</v>
      </c>
      <c r="N135" s="7" t="s">
        <v>26</v>
      </c>
      <c r="O135" s="7" t="s">
        <v>26</v>
      </c>
      <c r="P135" s="7" t="s">
        <v>26</v>
      </c>
      <c r="Q135" s="7" t="s">
        <v>26</v>
      </c>
      <c r="R135" s="8" t="s">
        <v>26</v>
      </c>
      <c r="S135" s="8" t="s">
        <v>26</v>
      </c>
      <c r="T135" s="4" t="s">
        <v>26</v>
      </c>
      <c r="U135" s="4" t="s">
        <v>10</v>
      </c>
      <c r="V135" s="4" t="s">
        <v>41</v>
      </c>
      <c r="W135" s="4">
        <v>50</v>
      </c>
      <c r="X135" s="4">
        <v>2000</v>
      </c>
      <c r="Y135" s="4">
        <v>380</v>
      </c>
      <c r="Z135" s="4">
        <v>30</v>
      </c>
      <c r="AA135" s="11">
        <v>0.65</v>
      </c>
      <c r="AB135" s="8" t="s">
        <v>37</v>
      </c>
      <c r="AC135" s="4" t="s">
        <v>37</v>
      </c>
      <c r="AD135" s="11" t="s">
        <v>37</v>
      </c>
      <c r="AE135" s="5" t="s">
        <v>182</v>
      </c>
      <c r="AF135" s="4" t="s">
        <v>715</v>
      </c>
    </row>
    <row r="136" spans="1:32" s="4" customFormat="1" x14ac:dyDescent="0.25">
      <c r="A136" s="4">
        <f t="shared" si="26"/>
        <v>85</v>
      </c>
      <c r="B136" s="5" t="s">
        <v>567</v>
      </c>
      <c r="C136" s="6" t="s">
        <v>209</v>
      </c>
      <c r="D136" s="4" t="s">
        <v>210</v>
      </c>
      <c r="E136" s="4" t="s">
        <v>182</v>
      </c>
      <c r="F136" s="10" t="s">
        <v>569</v>
      </c>
      <c r="G136" s="4" t="s">
        <v>9</v>
      </c>
      <c r="H136" s="4" t="s">
        <v>232</v>
      </c>
      <c r="I136" s="4" t="s">
        <v>344</v>
      </c>
      <c r="J136" s="7">
        <f t="shared" si="25"/>
        <v>74.754558204768585</v>
      </c>
      <c r="K136" s="4" t="str">
        <f t="shared" ref="K136:K172" si="27">IF(J136&gt;=80, "More Conserved", IF(J136&gt;=70, "Conserved", "Less Conserved"))</f>
        <v>Conserved</v>
      </c>
      <c r="L136" s="7">
        <v>11.193</v>
      </c>
      <c r="M136" s="7">
        <f t="shared" ref="M136:M172" si="28">L136*0.9</f>
        <v>10.073700000000001</v>
      </c>
      <c r="N136" s="7">
        <v>81.22</v>
      </c>
      <c r="O136" s="7">
        <v>149.72999999999999</v>
      </c>
      <c r="P136" s="7">
        <f t="shared" ref="P136:P167" si="29">O136*0.9</f>
        <v>134.75700000000001</v>
      </c>
      <c r="Q136" s="7">
        <f t="shared" ref="Q136:Q157" si="30">N136/O136</f>
        <v>0.54244306418219468</v>
      </c>
      <c r="R136" s="8">
        <v>21.02</v>
      </c>
      <c r="S136" s="8">
        <v>34.69</v>
      </c>
      <c r="T136" s="4" t="str">
        <f t="shared" ref="T136:T167" si="31">IF(S136&gt;=45, "Slow", IF(S136&gt;=20, "Intermediate", "Fast"))</f>
        <v>Intermediate</v>
      </c>
      <c r="U136" s="4" t="s">
        <v>10</v>
      </c>
      <c r="V136" s="4" t="s">
        <v>41</v>
      </c>
      <c r="W136" s="4">
        <v>200</v>
      </c>
      <c r="X136" s="4">
        <v>600</v>
      </c>
      <c r="Y136" s="4">
        <v>370</v>
      </c>
      <c r="Z136" s="4">
        <v>22</v>
      </c>
      <c r="AA136" s="11">
        <v>0.5</v>
      </c>
      <c r="AB136" s="8">
        <v>600</v>
      </c>
      <c r="AC136" s="4" t="s">
        <v>38</v>
      </c>
      <c r="AD136" s="11" t="s">
        <v>37</v>
      </c>
      <c r="AE136" s="4" t="s">
        <v>183</v>
      </c>
      <c r="AF136" s="4" t="s">
        <v>716</v>
      </c>
    </row>
    <row r="137" spans="1:32" s="4" customFormat="1" x14ac:dyDescent="0.25">
      <c r="A137" s="4">
        <f t="shared" si="26"/>
        <v>85</v>
      </c>
      <c r="B137" s="5" t="s">
        <v>567</v>
      </c>
      <c r="C137" s="6" t="s">
        <v>209</v>
      </c>
      <c r="D137" s="4" t="s">
        <v>210</v>
      </c>
      <c r="E137" s="4" t="s">
        <v>182</v>
      </c>
      <c r="F137" s="10" t="s">
        <v>568</v>
      </c>
      <c r="G137" s="4" t="s">
        <v>9</v>
      </c>
      <c r="H137" s="4" t="s">
        <v>232</v>
      </c>
      <c r="I137" s="4" t="s">
        <v>344</v>
      </c>
      <c r="J137" s="7">
        <f t="shared" si="25"/>
        <v>50.016256638127246</v>
      </c>
      <c r="K137" s="4" t="str">
        <f t="shared" si="27"/>
        <v>Less Conserved</v>
      </c>
      <c r="L137" s="7">
        <v>9.23</v>
      </c>
      <c r="M137" s="7">
        <f t="shared" si="28"/>
        <v>8.3070000000000004</v>
      </c>
      <c r="N137" s="7">
        <v>145.55000000000001</v>
      </c>
      <c r="O137" s="7">
        <v>184.54</v>
      </c>
      <c r="P137" s="7">
        <f t="shared" si="29"/>
        <v>166.08599999999998</v>
      </c>
      <c r="Q137" s="7">
        <f t="shared" si="30"/>
        <v>0.78871789313969876</v>
      </c>
      <c r="R137" s="8">
        <v>1.46</v>
      </c>
      <c r="S137" s="8">
        <v>36.6</v>
      </c>
      <c r="T137" s="4" t="str">
        <f t="shared" si="31"/>
        <v>Intermediate</v>
      </c>
      <c r="U137" s="4" t="s">
        <v>10</v>
      </c>
      <c r="V137" s="4" t="s">
        <v>41</v>
      </c>
      <c r="W137" s="4">
        <v>200</v>
      </c>
      <c r="X137" s="4">
        <v>600</v>
      </c>
      <c r="Y137" s="4">
        <v>370</v>
      </c>
      <c r="Z137" s="4">
        <v>22</v>
      </c>
      <c r="AA137" s="11">
        <v>0.5</v>
      </c>
      <c r="AB137" s="8">
        <v>200</v>
      </c>
      <c r="AC137" s="4" t="s">
        <v>38</v>
      </c>
      <c r="AD137" s="11" t="s">
        <v>37</v>
      </c>
      <c r="AE137" s="4" t="s">
        <v>183</v>
      </c>
      <c r="AF137" s="4" t="s">
        <v>716</v>
      </c>
    </row>
    <row r="138" spans="1:32" s="4" customFormat="1" x14ac:dyDescent="0.25">
      <c r="A138" s="4">
        <f t="shared" si="26"/>
        <v>86</v>
      </c>
      <c r="B138" s="5" t="s">
        <v>556</v>
      </c>
      <c r="C138" s="6" t="s">
        <v>211</v>
      </c>
      <c r="D138" s="4" t="s">
        <v>212</v>
      </c>
      <c r="E138" s="4" t="s">
        <v>182</v>
      </c>
      <c r="F138" s="10" t="s">
        <v>256</v>
      </c>
      <c r="G138" s="4" t="s">
        <v>9</v>
      </c>
      <c r="H138" s="4" t="s">
        <v>232</v>
      </c>
      <c r="I138" s="4" t="s">
        <v>563</v>
      </c>
      <c r="J138" s="7">
        <f t="shared" si="25"/>
        <v>61.011193560558411</v>
      </c>
      <c r="K138" s="4" t="str">
        <f t="shared" si="27"/>
        <v>Less Conserved</v>
      </c>
      <c r="L138" s="7">
        <v>4.851</v>
      </c>
      <c r="M138" s="7">
        <f t="shared" si="28"/>
        <v>4.3658999999999999</v>
      </c>
      <c r="N138" s="7">
        <v>26.69</v>
      </c>
      <c r="O138" s="7">
        <v>79.510000000000005</v>
      </c>
      <c r="P138" s="7">
        <f t="shared" si="29"/>
        <v>71.559000000000012</v>
      </c>
      <c r="Q138" s="7">
        <f t="shared" si="30"/>
        <v>0.33568104640925667</v>
      </c>
      <c r="R138" s="8">
        <v>15.57</v>
      </c>
      <c r="S138" s="8">
        <v>16.52</v>
      </c>
      <c r="T138" s="4" t="str">
        <f t="shared" si="31"/>
        <v>Fast</v>
      </c>
      <c r="U138" s="4" t="s">
        <v>10</v>
      </c>
      <c r="V138" s="4" t="s">
        <v>41</v>
      </c>
      <c r="W138" s="4">
        <v>0</v>
      </c>
      <c r="X138" s="4">
        <v>100</v>
      </c>
      <c r="Y138" s="4">
        <v>400</v>
      </c>
      <c r="Z138" s="4">
        <v>25</v>
      </c>
      <c r="AA138" s="4" t="s">
        <v>562</v>
      </c>
      <c r="AB138" s="8" t="s">
        <v>557</v>
      </c>
      <c r="AC138" s="4" t="s">
        <v>38</v>
      </c>
      <c r="AD138" s="11" t="s">
        <v>559</v>
      </c>
      <c r="AE138" s="5" t="s">
        <v>182</v>
      </c>
      <c r="AF138" s="4" t="s">
        <v>560</v>
      </c>
    </row>
    <row r="139" spans="1:32" s="4" customFormat="1" x14ac:dyDescent="0.25">
      <c r="A139" s="4">
        <f t="shared" si="26"/>
        <v>86</v>
      </c>
      <c r="B139" s="5" t="s">
        <v>556</v>
      </c>
      <c r="C139" s="6" t="s">
        <v>211</v>
      </c>
      <c r="D139" s="4" t="s">
        <v>212</v>
      </c>
      <c r="E139" s="4" t="s">
        <v>182</v>
      </c>
      <c r="F139" s="10" t="s">
        <v>257</v>
      </c>
      <c r="G139" s="4" t="s">
        <v>9</v>
      </c>
      <c r="H139" s="4" t="s">
        <v>232</v>
      </c>
      <c r="I139" s="4" t="s">
        <v>563</v>
      </c>
      <c r="J139" s="7">
        <f t="shared" si="25"/>
        <v>41.346307226032863</v>
      </c>
      <c r="K139" s="4" t="str">
        <f t="shared" si="27"/>
        <v>Less Conserved</v>
      </c>
      <c r="L139" s="7">
        <v>2.5920000000000001</v>
      </c>
      <c r="M139" s="7">
        <f t="shared" si="28"/>
        <v>2.3328000000000002</v>
      </c>
      <c r="N139" s="7">
        <v>21.75</v>
      </c>
      <c r="O139" s="7">
        <v>62.69</v>
      </c>
      <c r="P139" s="7">
        <f t="shared" si="29"/>
        <v>56.420999999999999</v>
      </c>
      <c r="Q139" s="7">
        <f t="shared" si="30"/>
        <v>0.34694528632955818</v>
      </c>
      <c r="R139" s="8">
        <v>19.649999999999999</v>
      </c>
      <c r="S139" s="8">
        <v>17.32</v>
      </c>
      <c r="T139" s="4" t="str">
        <f t="shared" si="31"/>
        <v>Fast</v>
      </c>
      <c r="U139" s="4" t="s">
        <v>10</v>
      </c>
      <c r="V139" s="4" t="s">
        <v>41</v>
      </c>
      <c r="W139" s="4">
        <v>0</v>
      </c>
      <c r="X139" s="4">
        <v>100</v>
      </c>
      <c r="Y139" s="4">
        <v>400</v>
      </c>
      <c r="Z139" s="4">
        <v>25</v>
      </c>
      <c r="AA139" s="4" t="s">
        <v>562</v>
      </c>
      <c r="AB139" s="8" t="s">
        <v>558</v>
      </c>
      <c r="AC139" s="4" t="s">
        <v>38</v>
      </c>
      <c r="AD139" s="11" t="s">
        <v>559</v>
      </c>
      <c r="AE139" s="5" t="s">
        <v>182</v>
      </c>
      <c r="AF139" s="4" t="s">
        <v>560</v>
      </c>
    </row>
    <row r="140" spans="1:32" s="4" customFormat="1" x14ac:dyDescent="0.25">
      <c r="A140" s="4">
        <f t="shared" si="26"/>
        <v>86</v>
      </c>
      <c r="B140" s="5" t="s">
        <v>556</v>
      </c>
      <c r="C140" s="6" t="s">
        <v>211</v>
      </c>
      <c r="D140" s="4" t="s">
        <v>212</v>
      </c>
      <c r="E140" s="4" t="s">
        <v>182</v>
      </c>
      <c r="F140" s="10" t="s">
        <v>258</v>
      </c>
      <c r="G140" s="4" t="s">
        <v>9</v>
      </c>
      <c r="H140" s="4" t="s">
        <v>232</v>
      </c>
      <c r="I140" s="4" t="s">
        <v>563</v>
      </c>
      <c r="J140" s="7">
        <f t="shared" si="25"/>
        <v>59.414586151764851</v>
      </c>
      <c r="K140" s="4" t="str">
        <f t="shared" si="27"/>
        <v>Less Conserved</v>
      </c>
      <c r="L140" s="7">
        <v>4.8310000000000004</v>
      </c>
      <c r="M140" s="7">
        <f t="shared" si="28"/>
        <v>4.3479000000000001</v>
      </c>
      <c r="N140" s="7">
        <v>29.85</v>
      </c>
      <c r="O140" s="7">
        <v>81.31</v>
      </c>
      <c r="P140" s="7">
        <f t="shared" si="29"/>
        <v>73.179000000000002</v>
      </c>
      <c r="Q140" s="7">
        <f t="shared" si="30"/>
        <v>0.36711351617267252</v>
      </c>
      <c r="R140" s="8">
        <v>7.31</v>
      </c>
      <c r="S140" s="8">
        <v>7.14</v>
      </c>
      <c r="T140" s="4" t="str">
        <f t="shared" si="31"/>
        <v>Fast</v>
      </c>
      <c r="U140" s="4" t="s">
        <v>10</v>
      </c>
      <c r="V140" s="4" t="s">
        <v>41</v>
      </c>
      <c r="W140" s="4">
        <v>0</v>
      </c>
      <c r="X140" s="4">
        <v>100</v>
      </c>
      <c r="Y140" s="4">
        <v>400</v>
      </c>
      <c r="Z140" s="4">
        <v>25</v>
      </c>
      <c r="AA140" s="4" t="s">
        <v>562</v>
      </c>
      <c r="AB140" s="8" t="s">
        <v>557</v>
      </c>
      <c r="AC140" s="4" t="s">
        <v>38</v>
      </c>
      <c r="AD140" s="11" t="s">
        <v>559</v>
      </c>
      <c r="AE140" s="5" t="s">
        <v>182</v>
      </c>
      <c r="AF140" s="4" t="s">
        <v>561</v>
      </c>
    </row>
    <row r="141" spans="1:32" s="4" customFormat="1" x14ac:dyDescent="0.25">
      <c r="A141" s="4">
        <f t="shared" si="26"/>
        <v>86</v>
      </c>
      <c r="B141" s="5" t="s">
        <v>556</v>
      </c>
      <c r="C141" s="6" t="s">
        <v>211</v>
      </c>
      <c r="D141" s="4" t="s">
        <v>212</v>
      </c>
      <c r="E141" s="4" t="s">
        <v>182</v>
      </c>
      <c r="F141" s="10" t="s">
        <v>259</v>
      </c>
      <c r="G141" s="4" t="s">
        <v>9</v>
      </c>
      <c r="H141" s="4" t="s">
        <v>232</v>
      </c>
      <c r="I141" s="4" t="s">
        <v>563</v>
      </c>
      <c r="J141" s="7">
        <f t="shared" si="25"/>
        <v>32.456584049907264</v>
      </c>
      <c r="K141" s="4" t="str">
        <f t="shared" si="27"/>
        <v>Less Conserved</v>
      </c>
      <c r="L141" s="7">
        <v>1.925</v>
      </c>
      <c r="M141" s="7">
        <f t="shared" si="28"/>
        <v>1.7325000000000002</v>
      </c>
      <c r="N141" s="7">
        <v>14.63</v>
      </c>
      <c r="O141" s="7">
        <v>59.31</v>
      </c>
      <c r="P141" s="7">
        <f t="shared" si="29"/>
        <v>53.379000000000005</v>
      </c>
      <c r="Q141" s="7">
        <f t="shared" si="30"/>
        <v>0.24667003877929522</v>
      </c>
      <c r="R141" s="8">
        <v>14.98</v>
      </c>
      <c r="S141" s="8">
        <v>19.22</v>
      </c>
      <c r="T141" s="4" t="str">
        <f t="shared" si="31"/>
        <v>Fast</v>
      </c>
      <c r="U141" s="4" t="s">
        <v>10</v>
      </c>
      <c r="V141" s="4" t="s">
        <v>41</v>
      </c>
      <c r="W141" s="4">
        <v>0</v>
      </c>
      <c r="X141" s="4">
        <v>100</v>
      </c>
      <c r="Y141" s="4">
        <v>400</v>
      </c>
      <c r="Z141" s="4">
        <v>25</v>
      </c>
      <c r="AA141" s="4" t="s">
        <v>562</v>
      </c>
      <c r="AB141" s="8" t="s">
        <v>558</v>
      </c>
      <c r="AC141" s="4" t="s">
        <v>38</v>
      </c>
      <c r="AD141" s="11" t="s">
        <v>559</v>
      </c>
      <c r="AE141" s="5" t="s">
        <v>182</v>
      </c>
      <c r="AF141" s="4" t="s">
        <v>561</v>
      </c>
    </row>
    <row r="142" spans="1:32" s="4" customFormat="1" x14ac:dyDescent="0.25">
      <c r="A142" s="4">
        <f t="shared" si="26"/>
        <v>86</v>
      </c>
      <c r="B142" s="5" t="s">
        <v>556</v>
      </c>
      <c r="C142" s="6" t="s">
        <v>211</v>
      </c>
      <c r="D142" s="4" t="s">
        <v>212</v>
      </c>
      <c r="E142" s="4" t="s">
        <v>182</v>
      </c>
      <c r="F142" s="10" t="s">
        <v>256</v>
      </c>
      <c r="G142" s="4" t="s">
        <v>9</v>
      </c>
      <c r="H142" s="4" t="s">
        <v>232</v>
      </c>
      <c r="I142" s="4" t="s">
        <v>563</v>
      </c>
      <c r="J142" s="7">
        <f t="shared" si="25"/>
        <v>84.456893277630073</v>
      </c>
      <c r="K142" s="4" t="str">
        <f t="shared" si="27"/>
        <v>More Conserved</v>
      </c>
      <c r="L142" s="7">
        <v>8.8949999999999996</v>
      </c>
      <c r="M142" s="7">
        <f t="shared" si="28"/>
        <v>8.0054999999999996</v>
      </c>
      <c r="N142" s="7">
        <v>23.01</v>
      </c>
      <c r="O142" s="7">
        <v>105.32</v>
      </c>
      <c r="P142" s="7">
        <f t="shared" si="29"/>
        <v>94.787999999999997</v>
      </c>
      <c r="Q142" s="7">
        <f t="shared" si="30"/>
        <v>0.21847702240789976</v>
      </c>
      <c r="R142" s="8">
        <v>19.440000000000001</v>
      </c>
      <c r="S142" s="8">
        <v>19.88</v>
      </c>
      <c r="T142" s="4" t="str">
        <f t="shared" si="31"/>
        <v>Fast</v>
      </c>
      <c r="U142" s="4" t="s">
        <v>10</v>
      </c>
      <c r="V142" s="4" t="s">
        <v>41</v>
      </c>
      <c r="W142" s="4">
        <v>0</v>
      </c>
      <c r="X142" s="4">
        <v>600</v>
      </c>
      <c r="Y142" s="4">
        <v>400</v>
      </c>
      <c r="Z142" s="4">
        <v>25</v>
      </c>
      <c r="AA142" s="4" t="s">
        <v>562</v>
      </c>
      <c r="AB142" s="8" t="s">
        <v>557</v>
      </c>
      <c r="AC142" s="4" t="s">
        <v>38</v>
      </c>
      <c r="AD142" s="11" t="s">
        <v>559</v>
      </c>
      <c r="AE142" s="5" t="s">
        <v>182</v>
      </c>
      <c r="AF142" s="4" t="s">
        <v>560</v>
      </c>
    </row>
    <row r="143" spans="1:32" s="4" customFormat="1" x14ac:dyDescent="0.25">
      <c r="A143" s="4">
        <f t="shared" si="26"/>
        <v>86</v>
      </c>
      <c r="B143" s="5" t="s">
        <v>556</v>
      </c>
      <c r="C143" s="6" t="s">
        <v>211</v>
      </c>
      <c r="D143" s="4" t="s">
        <v>212</v>
      </c>
      <c r="E143" s="4" t="s">
        <v>182</v>
      </c>
      <c r="F143" s="10" t="s">
        <v>257</v>
      </c>
      <c r="G143" s="4" t="s">
        <v>9</v>
      </c>
      <c r="H143" s="4" t="s">
        <v>232</v>
      </c>
      <c r="I143" s="4" t="s">
        <v>563</v>
      </c>
      <c r="J143" s="7">
        <f t="shared" si="25"/>
        <v>62.297065644852267</v>
      </c>
      <c r="K143" s="4" t="str">
        <f t="shared" si="27"/>
        <v>Less Conserved</v>
      </c>
      <c r="L143" s="7">
        <v>6.1779999999999999</v>
      </c>
      <c r="M143" s="7">
        <f t="shared" si="28"/>
        <v>5.5602</v>
      </c>
      <c r="N143" s="7">
        <v>20.63</v>
      </c>
      <c r="O143" s="7">
        <v>99.17</v>
      </c>
      <c r="P143" s="7">
        <f t="shared" si="29"/>
        <v>89.253</v>
      </c>
      <c r="Q143" s="7">
        <f t="shared" si="30"/>
        <v>0.2080266209539175</v>
      </c>
      <c r="R143" s="8">
        <v>19.71</v>
      </c>
      <c r="S143" s="8">
        <v>19.920000000000002</v>
      </c>
      <c r="T143" s="4" t="str">
        <f t="shared" si="31"/>
        <v>Fast</v>
      </c>
      <c r="U143" s="4" t="s">
        <v>10</v>
      </c>
      <c r="V143" s="4" t="s">
        <v>41</v>
      </c>
      <c r="W143" s="4">
        <v>0</v>
      </c>
      <c r="X143" s="4">
        <v>600</v>
      </c>
      <c r="Y143" s="4">
        <v>400</v>
      </c>
      <c r="Z143" s="4">
        <v>25</v>
      </c>
      <c r="AA143" s="4" t="s">
        <v>562</v>
      </c>
      <c r="AB143" s="8" t="s">
        <v>558</v>
      </c>
      <c r="AC143" s="4" t="s">
        <v>38</v>
      </c>
      <c r="AD143" s="11" t="s">
        <v>559</v>
      </c>
      <c r="AE143" s="5" t="s">
        <v>182</v>
      </c>
      <c r="AF143" s="4" t="s">
        <v>560</v>
      </c>
    </row>
    <row r="144" spans="1:32" s="4" customFormat="1" x14ac:dyDescent="0.25">
      <c r="A144" s="4">
        <f t="shared" si="26"/>
        <v>86</v>
      </c>
      <c r="B144" s="5" t="s">
        <v>556</v>
      </c>
      <c r="C144" s="6" t="s">
        <v>211</v>
      </c>
      <c r="D144" s="4" t="s">
        <v>212</v>
      </c>
      <c r="E144" s="4" t="s">
        <v>182</v>
      </c>
      <c r="F144" s="10" t="s">
        <v>258</v>
      </c>
      <c r="G144" s="4" t="s">
        <v>9</v>
      </c>
      <c r="H144" s="4" t="s">
        <v>232</v>
      </c>
      <c r="I144" s="4" t="s">
        <v>563</v>
      </c>
      <c r="J144" s="7">
        <f t="shared" si="25"/>
        <v>92.197626462418995</v>
      </c>
      <c r="K144" s="4" t="str">
        <f t="shared" si="27"/>
        <v>More Conserved</v>
      </c>
      <c r="L144" s="7">
        <v>10.954000000000001</v>
      </c>
      <c r="M144" s="7">
        <f t="shared" si="28"/>
        <v>9.8586000000000009</v>
      </c>
      <c r="N144" s="7">
        <v>25.29</v>
      </c>
      <c r="O144" s="7">
        <v>118.81</v>
      </c>
      <c r="P144" s="7">
        <f t="shared" si="29"/>
        <v>106.929</v>
      </c>
      <c r="Q144" s="7">
        <f t="shared" si="30"/>
        <v>0.21286087029711304</v>
      </c>
      <c r="R144" s="8">
        <v>12.29</v>
      </c>
      <c r="S144" s="8">
        <v>15.02</v>
      </c>
      <c r="T144" s="4" t="str">
        <f t="shared" si="31"/>
        <v>Fast</v>
      </c>
      <c r="U144" s="4" t="s">
        <v>10</v>
      </c>
      <c r="V144" s="4" t="s">
        <v>41</v>
      </c>
      <c r="W144" s="4">
        <v>0</v>
      </c>
      <c r="X144" s="4">
        <v>600</v>
      </c>
      <c r="Y144" s="4">
        <v>400</v>
      </c>
      <c r="Z144" s="4">
        <v>25</v>
      </c>
      <c r="AA144" s="4" t="s">
        <v>562</v>
      </c>
      <c r="AB144" s="8" t="s">
        <v>557</v>
      </c>
      <c r="AC144" s="4" t="s">
        <v>38</v>
      </c>
      <c r="AD144" s="11" t="s">
        <v>559</v>
      </c>
      <c r="AE144" s="5" t="s">
        <v>182</v>
      </c>
      <c r="AF144" s="4" t="s">
        <v>561</v>
      </c>
    </row>
    <row r="145" spans="1:32" s="4" customFormat="1" x14ac:dyDescent="0.25">
      <c r="A145" s="4">
        <f t="shared" si="26"/>
        <v>86</v>
      </c>
      <c r="B145" s="5" t="s">
        <v>556</v>
      </c>
      <c r="C145" s="6" t="s">
        <v>211</v>
      </c>
      <c r="D145" s="4" t="s">
        <v>212</v>
      </c>
      <c r="E145" s="4" t="s">
        <v>182</v>
      </c>
      <c r="F145" s="10" t="s">
        <v>259</v>
      </c>
      <c r="G145" s="4" t="s">
        <v>9</v>
      </c>
      <c r="H145" s="4" t="s">
        <v>232</v>
      </c>
      <c r="I145" s="4" t="s">
        <v>563</v>
      </c>
      <c r="J145" s="7">
        <f t="shared" si="25"/>
        <v>63.797343826856867</v>
      </c>
      <c r="K145" s="4" t="str">
        <f t="shared" si="27"/>
        <v>Less Conserved</v>
      </c>
      <c r="L145" s="7">
        <v>5.1879999999999997</v>
      </c>
      <c r="M145" s="7">
        <f t="shared" si="28"/>
        <v>4.6692</v>
      </c>
      <c r="N145" s="7">
        <v>14.48</v>
      </c>
      <c r="O145" s="7">
        <v>81.319999999999993</v>
      </c>
      <c r="P145" s="7">
        <f t="shared" si="29"/>
        <v>73.188000000000002</v>
      </c>
      <c r="Q145" s="7">
        <f t="shared" si="30"/>
        <v>0.17806197737333992</v>
      </c>
      <c r="R145" s="8">
        <v>21.06</v>
      </c>
      <c r="S145" s="8">
        <v>20.62</v>
      </c>
      <c r="T145" s="4" t="str">
        <f t="shared" si="31"/>
        <v>Intermediate</v>
      </c>
      <c r="U145" s="4" t="s">
        <v>10</v>
      </c>
      <c r="V145" s="4" t="s">
        <v>41</v>
      </c>
      <c r="W145" s="4">
        <v>0</v>
      </c>
      <c r="X145" s="4">
        <v>600</v>
      </c>
      <c r="Y145" s="4">
        <v>400</v>
      </c>
      <c r="Z145" s="4">
        <v>25</v>
      </c>
      <c r="AA145" s="4" t="s">
        <v>562</v>
      </c>
      <c r="AB145" s="8" t="s">
        <v>558</v>
      </c>
      <c r="AC145" s="4" t="s">
        <v>38</v>
      </c>
      <c r="AD145" s="11" t="s">
        <v>559</v>
      </c>
      <c r="AE145" s="5" t="s">
        <v>182</v>
      </c>
      <c r="AF145" s="4" t="s">
        <v>561</v>
      </c>
    </row>
    <row r="146" spans="1:32" s="4" customFormat="1" x14ac:dyDescent="0.25">
      <c r="A146" s="4">
        <f t="shared" si="26"/>
        <v>87</v>
      </c>
      <c r="B146" s="5" t="s">
        <v>627</v>
      </c>
      <c r="C146" s="6" t="s">
        <v>14</v>
      </c>
      <c r="D146" s="4" t="s">
        <v>13</v>
      </c>
      <c r="E146" s="4" t="s">
        <v>182</v>
      </c>
      <c r="F146" s="10" t="s">
        <v>628</v>
      </c>
      <c r="G146" s="4" t="s">
        <v>9</v>
      </c>
      <c r="H146" s="4" t="s">
        <v>233</v>
      </c>
      <c r="I146" s="4" t="s">
        <v>331</v>
      </c>
      <c r="J146" s="7">
        <f t="shared" si="25"/>
        <v>22.375</v>
      </c>
      <c r="K146" s="4" t="str">
        <f t="shared" si="27"/>
        <v>Less Conserved</v>
      </c>
      <c r="L146" s="7">
        <v>28.64</v>
      </c>
      <c r="M146" s="7">
        <f t="shared" si="28"/>
        <v>25.776</v>
      </c>
      <c r="N146" s="7">
        <v>160</v>
      </c>
      <c r="O146" s="7">
        <v>1280</v>
      </c>
      <c r="P146" s="7">
        <f t="shared" si="29"/>
        <v>1152</v>
      </c>
      <c r="Q146" s="7">
        <f t="shared" si="30"/>
        <v>0.125</v>
      </c>
      <c r="R146" s="8">
        <v>10.88</v>
      </c>
      <c r="S146" s="8">
        <v>22.48</v>
      </c>
      <c r="T146" s="4" t="str">
        <f t="shared" si="31"/>
        <v>Intermediate</v>
      </c>
      <c r="U146" s="4" t="s">
        <v>10</v>
      </c>
      <c r="V146" s="4" t="s">
        <v>32</v>
      </c>
      <c r="W146" s="4">
        <v>100</v>
      </c>
      <c r="X146" s="4">
        <v>1500</v>
      </c>
      <c r="Y146" s="4">
        <v>400</v>
      </c>
      <c r="Z146" s="4">
        <v>28</v>
      </c>
      <c r="AA146" s="11">
        <v>0.6</v>
      </c>
      <c r="AB146" s="8" t="s">
        <v>37</v>
      </c>
      <c r="AC146" s="4" t="s">
        <v>37</v>
      </c>
      <c r="AD146" s="11" t="s">
        <v>37</v>
      </c>
      <c r="AE146" s="5" t="s">
        <v>182</v>
      </c>
      <c r="AF146" s="4" t="s">
        <v>717</v>
      </c>
    </row>
    <row r="147" spans="1:32" s="4" customFormat="1" x14ac:dyDescent="0.25">
      <c r="A147" s="4">
        <f t="shared" si="26"/>
        <v>87</v>
      </c>
      <c r="B147" s="5" t="s">
        <v>627</v>
      </c>
      <c r="C147" s="6" t="s">
        <v>14</v>
      </c>
      <c r="D147" s="4" t="s">
        <v>13</v>
      </c>
      <c r="E147" s="4" t="s">
        <v>182</v>
      </c>
      <c r="F147" s="10" t="s">
        <v>629</v>
      </c>
      <c r="G147" s="4" t="s">
        <v>9</v>
      </c>
      <c r="H147" s="4" t="s">
        <v>233</v>
      </c>
      <c r="I147" s="4" t="s">
        <v>331</v>
      </c>
      <c r="J147" s="7">
        <f t="shared" si="25"/>
        <v>35.020000000000003</v>
      </c>
      <c r="K147" s="4" t="str">
        <f t="shared" si="27"/>
        <v>Less Conserved</v>
      </c>
      <c r="L147" s="7">
        <v>17.510000000000002</v>
      </c>
      <c r="M147" s="7">
        <f t="shared" si="28"/>
        <v>15.759000000000002</v>
      </c>
      <c r="N147" s="7">
        <v>90</v>
      </c>
      <c r="O147" s="7">
        <v>500</v>
      </c>
      <c r="P147" s="7">
        <f t="shared" si="29"/>
        <v>450</v>
      </c>
      <c r="Q147" s="7">
        <f t="shared" si="30"/>
        <v>0.18</v>
      </c>
      <c r="R147" s="8">
        <v>17.91</v>
      </c>
      <c r="S147" s="8">
        <v>19.559999999999999</v>
      </c>
      <c r="T147" s="4" t="str">
        <f t="shared" si="31"/>
        <v>Fast</v>
      </c>
      <c r="U147" s="4" t="s">
        <v>10</v>
      </c>
      <c r="V147" s="4" t="s">
        <v>32</v>
      </c>
      <c r="W147" s="4">
        <v>100</v>
      </c>
      <c r="X147" s="4">
        <v>1500</v>
      </c>
      <c r="Y147" s="4">
        <v>400</v>
      </c>
      <c r="Z147" s="4">
        <v>28</v>
      </c>
      <c r="AA147" s="11">
        <v>0.6</v>
      </c>
      <c r="AB147" s="8" t="s">
        <v>37</v>
      </c>
      <c r="AC147" s="4" t="s">
        <v>37</v>
      </c>
      <c r="AD147" s="11" t="s">
        <v>37</v>
      </c>
      <c r="AE147" s="5" t="s">
        <v>182</v>
      </c>
      <c r="AF147" s="4" t="s">
        <v>717</v>
      </c>
    </row>
    <row r="148" spans="1:32" s="4" customFormat="1" x14ac:dyDescent="0.25">
      <c r="A148" s="4">
        <f t="shared" si="26"/>
        <v>88</v>
      </c>
      <c r="B148" s="5" t="s">
        <v>611</v>
      </c>
      <c r="C148" s="6" t="s">
        <v>39</v>
      </c>
      <c r="D148" s="4" t="s">
        <v>40</v>
      </c>
      <c r="E148" s="4" t="s">
        <v>182</v>
      </c>
      <c r="F148" s="10" t="s">
        <v>608</v>
      </c>
      <c r="G148" s="4" t="s">
        <v>9</v>
      </c>
      <c r="H148" s="4" t="s">
        <v>232</v>
      </c>
      <c r="I148" s="4" t="s">
        <v>341</v>
      </c>
      <c r="J148" s="7">
        <f t="shared" si="25"/>
        <v>60.997067448680355</v>
      </c>
      <c r="K148" s="4" t="str">
        <f t="shared" si="27"/>
        <v>Less Conserved</v>
      </c>
      <c r="L148" s="7">
        <v>18.72</v>
      </c>
      <c r="M148" s="7">
        <f t="shared" si="28"/>
        <v>16.847999999999999</v>
      </c>
      <c r="N148" s="7">
        <v>217.4</v>
      </c>
      <c r="O148" s="7">
        <v>306.89999999999998</v>
      </c>
      <c r="P148" s="7">
        <f t="shared" si="29"/>
        <v>276.20999999999998</v>
      </c>
      <c r="Q148" s="7">
        <f t="shared" si="30"/>
        <v>0.70837406321277296</v>
      </c>
      <c r="R148" s="8">
        <v>6.19</v>
      </c>
      <c r="S148" s="8">
        <v>14.4</v>
      </c>
      <c r="T148" s="4" t="str">
        <f t="shared" si="31"/>
        <v>Fast</v>
      </c>
      <c r="U148" s="4" t="s">
        <v>10</v>
      </c>
      <c r="V148" s="4" t="s">
        <v>32</v>
      </c>
      <c r="W148" s="4">
        <v>50</v>
      </c>
      <c r="X148" s="4">
        <v>1500</v>
      </c>
      <c r="Y148" s="4">
        <v>400</v>
      </c>
      <c r="Z148" s="4">
        <v>25</v>
      </c>
      <c r="AA148" s="4" t="s">
        <v>614</v>
      </c>
      <c r="AB148" s="8" t="s">
        <v>598</v>
      </c>
      <c r="AC148" s="4" t="s">
        <v>195</v>
      </c>
      <c r="AD148" s="11">
        <v>0.65</v>
      </c>
      <c r="AE148" s="5" t="s">
        <v>182</v>
      </c>
    </row>
    <row r="149" spans="1:32" s="4" customFormat="1" x14ac:dyDescent="0.25">
      <c r="A149" s="4">
        <f t="shared" si="26"/>
        <v>88</v>
      </c>
      <c r="B149" s="5" t="s">
        <v>611</v>
      </c>
      <c r="C149" s="6" t="s">
        <v>39</v>
      </c>
      <c r="D149" s="4" t="s">
        <v>40</v>
      </c>
      <c r="E149" s="4" t="s">
        <v>182</v>
      </c>
      <c r="F149" s="10" t="s">
        <v>609</v>
      </c>
      <c r="G149" s="4" t="s">
        <v>9</v>
      </c>
      <c r="H149" s="4" t="s">
        <v>232</v>
      </c>
      <c r="I149" s="4" t="s">
        <v>341</v>
      </c>
      <c r="J149" s="7">
        <f t="shared" si="25"/>
        <v>26.669716376944191</v>
      </c>
      <c r="K149" s="4" t="str">
        <f t="shared" si="27"/>
        <v>Less Conserved</v>
      </c>
      <c r="L149" s="7">
        <v>5.83</v>
      </c>
      <c r="M149" s="7">
        <f t="shared" si="28"/>
        <v>5.2469999999999999</v>
      </c>
      <c r="N149" s="7">
        <v>30.7</v>
      </c>
      <c r="O149" s="7">
        <v>218.6</v>
      </c>
      <c r="P149" s="7">
        <f t="shared" si="29"/>
        <v>196.74</v>
      </c>
      <c r="Q149" s="7">
        <f t="shared" si="30"/>
        <v>0.14043915827996339</v>
      </c>
      <c r="R149" s="8">
        <v>21.47</v>
      </c>
      <c r="S149" s="8">
        <v>25.05</v>
      </c>
      <c r="T149" s="4" t="str">
        <f t="shared" si="31"/>
        <v>Intermediate</v>
      </c>
      <c r="U149" s="4" t="s">
        <v>10</v>
      </c>
      <c r="V149" s="4" t="s">
        <v>32</v>
      </c>
      <c r="W149" s="4">
        <v>50</v>
      </c>
      <c r="X149" s="4">
        <v>1500</v>
      </c>
      <c r="Y149" s="4">
        <v>400</v>
      </c>
      <c r="Z149" s="4">
        <v>25</v>
      </c>
      <c r="AA149" s="4" t="s">
        <v>614</v>
      </c>
      <c r="AB149" s="8" t="s">
        <v>612</v>
      </c>
      <c r="AC149" s="4" t="s">
        <v>195</v>
      </c>
      <c r="AD149" s="11">
        <v>0.65</v>
      </c>
      <c r="AE149" s="5" t="s">
        <v>182</v>
      </c>
    </row>
    <row r="150" spans="1:32" s="4" customFormat="1" x14ac:dyDescent="0.25">
      <c r="A150" s="4">
        <f t="shared" si="26"/>
        <v>88</v>
      </c>
      <c r="B150" s="5" t="s">
        <v>611</v>
      </c>
      <c r="C150" s="6" t="s">
        <v>39</v>
      </c>
      <c r="D150" s="4" t="s">
        <v>40</v>
      </c>
      <c r="E150" s="4" t="s">
        <v>182</v>
      </c>
      <c r="F150" s="10" t="s">
        <v>610</v>
      </c>
      <c r="G150" s="4" t="s">
        <v>9</v>
      </c>
      <c r="H150" s="4" t="s">
        <v>232</v>
      </c>
      <c r="I150" s="4" t="s">
        <v>341</v>
      </c>
      <c r="J150" s="7">
        <f t="shared" si="25"/>
        <v>41.876523151909019</v>
      </c>
      <c r="K150" s="4" t="str">
        <f t="shared" si="27"/>
        <v>Less Conserved</v>
      </c>
      <c r="L150" s="7">
        <v>10.31</v>
      </c>
      <c r="M150" s="7">
        <f t="shared" si="28"/>
        <v>9.2789999999999999</v>
      </c>
      <c r="N150" s="7">
        <v>69.099999999999994</v>
      </c>
      <c r="O150" s="7">
        <v>246.2</v>
      </c>
      <c r="P150" s="7">
        <f t="shared" si="29"/>
        <v>221.57999999999998</v>
      </c>
      <c r="Q150" s="7">
        <f t="shared" si="30"/>
        <v>0.28066612510154343</v>
      </c>
      <c r="R150" s="8">
        <v>17.64</v>
      </c>
      <c r="S150" s="8">
        <v>21.84</v>
      </c>
      <c r="T150" s="4" t="str">
        <f t="shared" si="31"/>
        <v>Intermediate</v>
      </c>
      <c r="U150" s="4" t="s">
        <v>10</v>
      </c>
      <c r="V150" s="4" t="s">
        <v>32</v>
      </c>
      <c r="W150" s="4">
        <v>50</v>
      </c>
      <c r="X150" s="4">
        <v>1500</v>
      </c>
      <c r="Y150" s="4">
        <v>400</v>
      </c>
      <c r="Z150" s="4">
        <v>25</v>
      </c>
      <c r="AA150" s="4" t="s">
        <v>614</v>
      </c>
      <c r="AB150" s="8" t="s">
        <v>613</v>
      </c>
      <c r="AC150" s="4" t="s">
        <v>195</v>
      </c>
      <c r="AD150" s="11">
        <v>0.65</v>
      </c>
      <c r="AE150" s="5" t="s">
        <v>182</v>
      </c>
    </row>
    <row r="151" spans="1:32" s="4" customFormat="1" x14ac:dyDescent="0.25">
      <c r="A151" s="4">
        <f t="shared" si="26"/>
        <v>88</v>
      </c>
      <c r="B151" s="5" t="s">
        <v>596</v>
      </c>
      <c r="C151" s="6" t="s">
        <v>39</v>
      </c>
      <c r="D151" s="4" t="s">
        <v>40</v>
      </c>
      <c r="E151" s="4" t="s">
        <v>182</v>
      </c>
      <c r="F151" s="10" t="s">
        <v>597</v>
      </c>
      <c r="G151" s="4" t="s">
        <v>9</v>
      </c>
      <c r="H151" s="4" t="s">
        <v>232</v>
      </c>
      <c r="I151" s="4" t="s">
        <v>341</v>
      </c>
      <c r="J151" s="7">
        <f t="shared" si="25"/>
        <v>47.632653061224488</v>
      </c>
      <c r="K151" s="4" t="str">
        <f t="shared" si="27"/>
        <v>Less Conserved</v>
      </c>
      <c r="L151" s="7">
        <v>23.34</v>
      </c>
      <c r="M151" s="7">
        <f t="shared" si="28"/>
        <v>21.006</v>
      </c>
      <c r="N151" s="7">
        <v>324.3</v>
      </c>
      <c r="O151" s="7">
        <v>490</v>
      </c>
      <c r="P151" s="7">
        <f t="shared" si="29"/>
        <v>441</v>
      </c>
      <c r="Q151" s="7">
        <f t="shared" si="30"/>
        <v>0.6618367346938776</v>
      </c>
      <c r="R151" s="8">
        <v>8.17</v>
      </c>
      <c r="S151" s="8">
        <v>21.15</v>
      </c>
      <c r="T151" s="4" t="str">
        <f t="shared" si="31"/>
        <v>Intermediate</v>
      </c>
      <c r="U151" s="4" t="s">
        <v>10</v>
      </c>
      <c r="V151" s="4" t="s">
        <v>32</v>
      </c>
      <c r="W151" s="4">
        <v>100</v>
      </c>
      <c r="X151" s="4">
        <v>1500</v>
      </c>
      <c r="Y151" s="4">
        <v>400</v>
      </c>
      <c r="Z151" s="4">
        <v>25</v>
      </c>
      <c r="AA151" s="11">
        <v>0.6</v>
      </c>
      <c r="AB151" s="8" t="s">
        <v>598</v>
      </c>
      <c r="AC151" s="4" t="s">
        <v>195</v>
      </c>
      <c r="AD151" s="11">
        <v>0.65</v>
      </c>
      <c r="AE151" s="5" t="s">
        <v>182</v>
      </c>
      <c r="AF151" s="4" t="s">
        <v>196</v>
      </c>
    </row>
    <row r="152" spans="1:32" s="4" customFormat="1" x14ac:dyDescent="0.25">
      <c r="A152" s="4">
        <f t="shared" si="26"/>
        <v>89</v>
      </c>
      <c r="B152" s="5" t="s">
        <v>643</v>
      </c>
      <c r="C152" s="6" t="s">
        <v>14</v>
      </c>
      <c r="D152" s="4" t="s">
        <v>13</v>
      </c>
      <c r="E152" s="4" t="s">
        <v>182</v>
      </c>
      <c r="F152" s="4" t="s">
        <v>644</v>
      </c>
      <c r="G152" s="4" t="s">
        <v>9</v>
      </c>
      <c r="H152" s="4" t="s">
        <v>232</v>
      </c>
      <c r="I152" s="4" t="s">
        <v>331</v>
      </c>
      <c r="J152" s="7">
        <f t="shared" si="25"/>
        <v>53.84960718294051</v>
      </c>
      <c r="K152" s="4" t="str">
        <f t="shared" si="27"/>
        <v>Less Conserved</v>
      </c>
      <c r="L152" s="7">
        <v>23.99</v>
      </c>
      <c r="M152" s="7">
        <f t="shared" si="28"/>
        <v>21.590999999999998</v>
      </c>
      <c r="N152" s="4">
        <v>36.6</v>
      </c>
      <c r="O152" s="7">
        <v>445.5</v>
      </c>
      <c r="P152" s="7">
        <f t="shared" si="29"/>
        <v>400.95</v>
      </c>
      <c r="Q152" s="7">
        <f t="shared" si="30"/>
        <v>8.2154882154882161E-2</v>
      </c>
      <c r="R152" s="7">
        <f>14.71-10</f>
        <v>4.7100000000000009</v>
      </c>
      <c r="S152" s="8">
        <f>14.43-10</f>
        <v>4.43</v>
      </c>
      <c r="T152" s="4" t="str">
        <f t="shared" si="31"/>
        <v>Fast</v>
      </c>
      <c r="U152" s="4" t="s">
        <v>10</v>
      </c>
      <c r="V152" s="4" t="s">
        <v>32</v>
      </c>
      <c r="W152" s="4">
        <v>50</v>
      </c>
      <c r="X152" s="4">
        <v>1500</v>
      </c>
      <c r="Y152" s="4">
        <v>400</v>
      </c>
      <c r="Z152" s="4">
        <v>30</v>
      </c>
      <c r="AA152" s="4" t="s">
        <v>648</v>
      </c>
      <c r="AB152" s="8">
        <v>800</v>
      </c>
      <c r="AC152" s="4" t="s">
        <v>647</v>
      </c>
      <c r="AD152" s="4" t="s">
        <v>37</v>
      </c>
      <c r="AE152" s="5" t="s">
        <v>182</v>
      </c>
      <c r="AF152" s="4" t="s">
        <v>713</v>
      </c>
    </row>
    <row r="153" spans="1:32" s="4" customFormat="1" x14ac:dyDescent="0.25">
      <c r="A153" s="4">
        <f t="shared" si="26"/>
        <v>89</v>
      </c>
      <c r="B153" s="5" t="s">
        <v>643</v>
      </c>
      <c r="C153" s="6" t="s">
        <v>14</v>
      </c>
      <c r="D153" s="4" t="s">
        <v>13</v>
      </c>
      <c r="E153" s="4" t="s">
        <v>182</v>
      </c>
      <c r="F153" s="4" t="s">
        <v>646</v>
      </c>
      <c r="G153" s="4" t="s">
        <v>9</v>
      </c>
      <c r="H153" s="4" t="s">
        <v>232</v>
      </c>
      <c r="I153" s="4" t="s">
        <v>331</v>
      </c>
      <c r="J153" s="7">
        <f t="shared" si="25"/>
        <v>68.082368082368077</v>
      </c>
      <c r="K153" s="4" t="str">
        <f t="shared" si="27"/>
        <v>Less Conserved</v>
      </c>
      <c r="L153" s="7">
        <v>21.16</v>
      </c>
      <c r="M153" s="7">
        <f t="shared" si="28"/>
        <v>19.044</v>
      </c>
      <c r="N153" s="7">
        <v>23.7</v>
      </c>
      <c r="O153" s="7">
        <v>310.8</v>
      </c>
      <c r="P153" s="7">
        <f t="shared" si="29"/>
        <v>279.72000000000003</v>
      </c>
      <c r="Q153" s="7">
        <f t="shared" si="30"/>
        <v>7.6254826254826255E-2</v>
      </c>
      <c r="R153" s="8">
        <f>68.55-10</f>
        <v>58.55</v>
      </c>
      <c r="S153" s="8">
        <f>76.78-10</f>
        <v>66.78</v>
      </c>
      <c r="T153" s="4" t="str">
        <f t="shared" si="31"/>
        <v>Slow</v>
      </c>
      <c r="U153" s="4" t="s">
        <v>10</v>
      </c>
      <c r="V153" s="4" t="s">
        <v>41</v>
      </c>
      <c r="W153" s="4">
        <v>50</v>
      </c>
      <c r="X153" s="4">
        <v>1500</v>
      </c>
      <c r="Y153" s="4">
        <v>400</v>
      </c>
      <c r="Z153" s="4">
        <v>30</v>
      </c>
      <c r="AA153" s="4" t="s">
        <v>648</v>
      </c>
      <c r="AB153" s="8">
        <v>800</v>
      </c>
      <c r="AC153" s="4" t="s">
        <v>647</v>
      </c>
      <c r="AD153" s="4" t="s">
        <v>37</v>
      </c>
      <c r="AE153" s="5" t="s">
        <v>182</v>
      </c>
      <c r="AF153" s="4" t="s">
        <v>713</v>
      </c>
    </row>
    <row r="154" spans="1:32" s="4" customFormat="1" x14ac:dyDescent="0.25">
      <c r="A154" s="4">
        <f t="shared" si="26"/>
        <v>89</v>
      </c>
      <c r="B154" s="5" t="s">
        <v>643</v>
      </c>
      <c r="C154" s="6" t="s">
        <v>14</v>
      </c>
      <c r="D154" s="4" t="s">
        <v>13</v>
      </c>
      <c r="E154" s="4" t="s">
        <v>182</v>
      </c>
      <c r="F154" s="4" t="s">
        <v>645</v>
      </c>
      <c r="G154" s="4" t="s">
        <v>9</v>
      </c>
      <c r="H154" s="4" t="s">
        <v>232</v>
      </c>
      <c r="I154" s="4" t="s">
        <v>331</v>
      </c>
      <c r="J154" s="7">
        <f t="shared" si="25"/>
        <v>55.378572987126333</v>
      </c>
      <c r="K154" s="4" t="str">
        <f t="shared" si="27"/>
        <v>Less Conserved</v>
      </c>
      <c r="L154" s="7">
        <v>25.38</v>
      </c>
      <c r="M154" s="7">
        <f t="shared" si="28"/>
        <v>22.841999999999999</v>
      </c>
      <c r="N154" s="7">
        <v>45.4</v>
      </c>
      <c r="O154" s="7">
        <v>458.3</v>
      </c>
      <c r="P154" s="7">
        <f t="shared" si="29"/>
        <v>412.47</v>
      </c>
      <c r="Q154" s="7">
        <f t="shared" si="30"/>
        <v>9.906174994545057E-2</v>
      </c>
      <c r="R154" s="8">
        <f>18.33-10</f>
        <v>8.3299999999999983</v>
      </c>
      <c r="S154" s="8">
        <f>16.43-10</f>
        <v>6.43</v>
      </c>
      <c r="T154" s="4" t="str">
        <f t="shared" si="31"/>
        <v>Fast</v>
      </c>
      <c r="U154" s="4" t="s">
        <v>10</v>
      </c>
      <c r="V154" s="4" t="s">
        <v>41</v>
      </c>
      <c r="W154" s="4">
        <v>50</v>
      </c>
      <c r="X154" s="4">
        <v>1500</v>
      </c>
      <c r="Y154" s="4">
        <v>400</v>
      </c>
      <c r="Z154" s="4">
        <v>30</v>
      </c>
      <c r="AA154" s="4" t="s">
        <v>648</v>
      </c>
      <c r="AB154" s="8">
        <v>800</v>
      </c>
      <c r="AC154" s="4" t="s">
        <v>647</v>
      </c>
      <c r="AD154" s="4" t="s">
        <v>37</v>
      </c>
      <c r="AE154" s="5" t="s">
        <v>182</v>
      </c>
      <c r="AF154" s="4" t="s">
        <v>713</v>
      </c>
    </row>
    <row r="155" spans="1:32" s="4" customFormat="1" x14ac:dyDescent="0.25">
      <c r="A155" s="4">
        <f t="shared" si="26"/>
        <v>90</v>
      </c>
      <c r="B155" s="5" t="s">
        <v>463</v>
      </c>
      <c r="C155" s="6" t="s">
        <v>44</v>
      </c>
      <c r="D155" s="4" t="s">
        <v>43</v>
      </c>
      <c r="E155" s="4" t="s">
        <v>182</v>
      </c>
      <c r="F155" s="10" t="s">
        <v>281</v>
      </c>
      <c r="G155" s="4" t="s">
        <v>9</v>
      </c>
      <c r="H155" s="4" t="s">
        <v>233</v>
      </c>
      <c r="I155" s="4" t="s">
        <v>331</v>
      </c>
      <c r="J155" s="7">
        <f t="shared" si="25"/>
        <v>64.726316005837489</v>
      </c>
      <c r="K155" s="4" t="str">
        <f t="shared" si="27"/>
        <v>Less Conserved</v>
      </c>
      <c r="L155" s="7">
        <v>31.49</v>
      </c>
      <c r="M155" s="7">
        <f t="shared" si="28"/>
        <v>28.340999999999998</v>
      </c>
      <c r="N155" s="7">
        <v>344.3</v>
      </c>
      <c r="O155" s="7">
        <v>486.51</v>
      </c>
      <c r="P155" s="7">
        <f t="shared" si="29"/>
        <v>437.85899999999998</v>
      </c>
      <c r="Q155" s="7">
        <f t="shared" si="30"/>
        <v>0.70769357258843602</v>
      </c>
      <c r="R155" s="8">
        <v>7.4560000000000004</v>
      </c>
      <c r="S155" s="8">
        <v>7.72</v>
      </c>
      <c r="T155" s="4" t="str">
        <f t="shared" si="31"/>
        <v>Fast</v>
      </c>
      <c r="U155" s="4" t="s">
        <v>10</v>
      </c>
      <c r="V155" s="4" t="s">
        <v>41</v>
      </c>
      <c r="W155" s="4">
        <v>50</v>
      </c>
      <c r="X155" s="4">
        <v>1200</v>
      </c>
      <c r="Y155" s="4">
        <v>400</v>
      </c>
      <c r="Z155" s="4">
        <v>25</v>
      </c>
      <c r="AA155" s="4" t="s">
        <v>382</v>
      </c>
      <c r="AB155" s="8">
        <v>449</v>
      </c>
      <c r="AC155" s="4" t="s">
        <v>46</v>
      </c>
      <c r="AD155" s="11">
        <v>0.45</v>
      </c>
      <c r="AE155" s="5" t="s">
        <v>182</v>
      </c>
      <c r="AF155" s="4" t="s">
        <v>45</v>
      </c>
    </row>
    <row r="156" spans="1:32" s="4" customFormat="1" x14ac:dyDescent="0.25">
      <c r="A156" s="4">
        <f t="shared" si="26"/>
        <v>91</v>
      </c>
      <c r="B156" s="5" t="s">
        <v>550</v>
      </c>
      <c r="C156" s="6" t="s">
        <v>124</v>
      </c>
      <c r="D156" s="4" t="s">
        <v>750</v>
      </c>
      <c r="E156" s="4" t="s">
        <v>182</v>
      </c>
      <c r="F156" s="4" t="s">
        <v>246</v>
      </c>
      <c r="G156" s="4" t="s">
        <v>9</v>
      </c>
      <c r="H156" s="4" t="s">
        <v>232</v>
      </c>
      <c r="I156" s="4" t="s">
        <v>340</v>
      </c>
      <c r="J156" s="7">
        <f t="shared" si="25"/>
        <v>52.003058103975533</v>
      </c>
      <c r="K156" s="4" t="str">
        <f t="shared" si="27"/>
        <v>Less Conserved</v>
      </c>
      <c r="L156" s="7">
        <v>34.01</v>
      </c>
      <c r="M156" s="7">
        <f t="shared" si="28"/>
        <v>30.608999999999998</v>
      </c>
      <c r="N156" s="7">
        <v>324</v>
      </c>
      <c r="O156" s="7">
        <v>654</v>
      </c>
      <c r="P156" s="7">
        <f t="shared" si="29"/>
        <v>588.6</v>
      </c>
      <c r="Q156" s="7">
        <f t="shared" si="30"/>
        <v>0.49541284403669728</v>
      </c>
      <c r="R156" s="8">
        <v>8.6999999999999993</v>
      </c>
      <c r="S156" s="8">
        <v>20.25</v>
      </c>
      <c r="T156" s="4" t="str">
        <f t="shared" si="31"/>
        <v>Intermediate</v>
      </c>
      <c r="U156" s="4" t="s">
        <v>10</v>
      </c>
      <c r="V156" s="4" t="s">
        <v>41</v>
      </c>
      <c r="W156" s="4">
        <v>150</v>
      </c>
      <c r="X156" s="4">
        <v>1500</v>
      </c>
      <c r="Y156" s="4">
        <v>430</v>
      </c>
      <c r="Z156" s="4">
        <v>25</v>
      </c>
      <c r="AA156" s="11">
        <v>0.65</v>
      </c>
      <c r="AB156" s="8">
        <v>450</v>
      </c>
      <c r="AC156" s="4" t="s">
        <v>553</v>
      </c>
      <c r="AD156" s="11">
        <v>0.6</v>
      </c>
      <c r="AE156" s="9" t="s">
        <v>183</v>
      </c>
    </row>
    <row r="157" spans="1:32" s="4" customFormat="1" x14ac:dyDescent="0.25">
      <c r="A157" s="4">
        <f t="shared" si="26"/>
        <v>92</v>
      </c>
      <c r="B157" s="5" t="s">
        <v>550</v>
      </c>
      <c r="C157" s="6" t="s">
        <v>123</v>
      </c>
      <c r="D157" s="4" t="s">
        <v>581</v>
      </c>
      <c r="E157" s="4" t="s">
        <v>182</v>
      </c>
      <c r="F157" s="4" t="s">
        <v>551</v>
      </c>
      <c r="G157" s="4" t="s">
        <v>9</v>
      </c>
      <c r="H157" s="4" t="s">
        <v>232</v>
      </c>
      <c r="I157" s="4" t="s">
        <v>340</v>
      </c>
      <c r="J157" s="7">
        <f t="shared" si="25"/>
        <v>74.85933503836317</v>
      </c>
      <c r="K157" s="4" t="str">
        <f t="shared" si="27"/>
        <v>Conserved</v>
      </c>
      <c r="L157" s="7">
        <v>29.27</v>
      </c>
      <c r="M157" s="7">
        <f t="shared" si="28"/>
        <v>26.343</v>
      </c>
      <c r="N157" s="7">
        <v>233</v>
      </c>
      <c r="O157" s="7">
        <v>391</v>
      </c>
      <c r="P157" s="7">
        <f t="shared" si="29"/>
        <v>351.90000000000003</v>
      </c>
      <c r="Q157" s="7">
        <f t="shared" si="30"/>
        <v>0.59590792838874684</v>
      </c>
      <c r="R157" s="8">
        <v>16.7</v>
      </c>
      <c r="S157" s="8">
        <v>28.434000000000001</v>
      </c>
      <c r="T157" s="4" t="str">
        <f t="shared" si="31"/>
        <v>Intermediate</v>
      </c>
      <c r="U157" s="4" t="s">
        <v>10</v>
      </c>
      <c r="V157" s="4" t="s">
        <v>32</v>
      </c>
      <c r="W157" s="4">
        <v>150</v>
      </c>
      <c r="X157" s="4">
        <v>1500</v>
      </c>
      <c r="Y157" s="4">
        <v>430</v>
      </c>
      <c r="Z157" s="4">
        <v>25</v>
      </c>
      <c r="AA157" s="11">
        <v>0.65</v>
      </c>
      <c r="AB157" s="8">
        <v>450</v>
      </c>
      <c r="AC157" s="4" t="s">
        <v>553</v>
      </c>
      <c r="AD157" s="11">
        <v>0.6</v>
      </c>
      <c r="AE157" s="5" t="s">
        <v>182</v>
      </c>
    </row>
    <row r="158" spans="1:32" s="4" customFormat="1" x14ac:dyDescent="0.25">
      <c r="A158" s="4">
        <f t="shared" si="26"/>
        <v>93</v>
      </c>
      <c r="B158" s="5" t="s">
        <v>550</v>
      </c>
      <c r="C158" s="6" t="s">
        <v>125</v>
      </c>
      <c r="D158" s="4" t="s">
        <v>749</v>
      </c>
      <c r="E158" s="4" t="s">
        <v>182</v>
      </c>
      <c r="F158" s="4" t="s">
        <v>552</v>
      </c>
      <c r="G158" s="4" t="s">
        <v>9</v>
      </c>
      <c r="H158" s="4" t="s">
        <v>232</v>
      </c>
      <c r="I158" s="4" t="s">
        <v>340</v>
      </c>
      <c r="J158" s="7">
        <f t="shared" si="25"/>
        <v>49.929478138222848</v>
      </c>
      <c r="K158" s="4" t="str">
        <f t="shared" si="27"/>
        <v>Less Conserved</v>
      </c>
      <c r="L158" s="7">
        <v>35.4</v>
      </c>
      <c r="M158" s="7">
        <f t="shared" si="28"/>
        <v>31.86</v>
      </c>
      <c r="N158" s="7">
        <v>387</v>
      </c>
      <c r="O158" s="7">
        <v>709</v>
      </c>
      <c r="P158" s="7">
        <f t="shared" si="29"/>
        <v>638.1</v>
      </c>
      <c r="Q158" s="7">
        <f t="shared" ref="Q158:Q172" si="32">N158/O158</f>
        <v>0.54583921015514814</v>
      </c>
      <c r="R158" s="8">
        <v>7.4</v>
      </c>
      <c r="S158" s="8">
        <v>20.908999999999999</v>
      </c>
      <c r="T158" s="4" t="str">
        <f t="shared" si="31"/>
        <v>Intermediate</v>
      </c>
      <c r="U158" s="4" t="s">
        <v>10</v>
      </c>
      <c r="V158" s="4" t="s">
        <v>32</v>
      </c>
      <c r="W158" s="4">
        <v>150</v>
      </c>
      <c r="X158" s="4">
        <v>1500</v>
      </c>
      <c r="Y158" s="4">
        <v>430</v>
      </c>
      <c r="Z158" s="4">
        <v>25</v>
      </c>
      <c r="AA158" s="11">
        <v>0.65</v>
      </c>
      <c r="AB158" s="8">
        <v>450</v>
      </c>
      <c r="AC158" s="4" t="s">
        <v>553</v>
      </c>
      <c r="AD158" s="11">
        <v>0.6</v>
      </c>
      <c r="AE158" s="5" t="s">
        <v>182</v>
      </c>
    </row>
    <row r="159" spans="1:32" s="4" customFormat="1" x14ac:dyDescent="0.25">
      <c r="A159" s="4">
        <f t="shared" si="26"/>
        <v>94</v>
      </c>
      <c r="B159" s="5" t="s">
        <v>464</v>
      </c>
      <c r="C159" s="6" t="s">
        <v>49</v>
      </c>
      <c r="D159" s="4" t="s">
        <v>26</v>
      </c>
      <c r="E159" s="4" t="s">
        <v>183</v>
      </c>
      <c r="F159" s="10" t="s">
        <v>26</v>
      </c>
      <c r="G159" s="4" t="s">
        <v>9</v>
      </c>
      <c r="H159" s="9" t="s">
        <v>489</v>
      </c>
      <c r="I159" s="9" t="s">
        <v>346</v>
      </c>
      <c r="J159" s="7">
        <f t="shared" si="25"/>
        <v>20.857142857142858</v>
      </c>
      <c r="K159" s="4" t="str">
        <f t="shared" si="27"/>
        <v>Less Conserved</v>
      </c>
      <c r="L159" s="7">
        <v>4.38</v>
      </c>
      <c r="M159" s="7">
        <f t="shared" si="28"/>
        <v>3.9420000000000002</v>
      </c>
      <c r="N159" s="7">
        <v>31.4</v>
      </c>
      <c r="O159" s="7">
        <v>210</v>
      </c>
      <c r="P159" s="7">
        <f t="shared" si="29"/>
        <v>189</v>
      </c>
      <c r="Q159" s="7">
        <f t="shared" si="32"/>
        <v>0.1495238095238095</v>
      </c>
      <c r="R159" s="8">
        <v>26</v>
      </c>
      <c r="S159" s="8">
        <v>93</v>
      </c>
      <c r="T159" s="4" t="str">
        <f t="shared" si="31"/>
        <v>Slow</v>
      </c>
      <c r="U159" s="4" t="s">
        <v>10</v>
      </c>
      <c r="V159" s="4" t="s">
        <v>24</v>
      </c>
      <c r="W159" s="4">
        <v>10</v>
      </c>
      <c r="X159" s="4">
        <v>550</v>
      </c>
      <c r="Y159" s="4">
        <v>340</v>
      </c>
      <c r="Z159" s="4">
        <v>25</v>
      </c>
      <c r="AA159" s="4" t="s">
        <v>227</v>
      </c>
      <c r="AB159" s="8" t="s">
        <v>224</v>
      </c>
      <c r="AC159" s="4" t="s">
        <v>37</v>
      </c>
      <c r="AD159" s="11" t="s">
        <v>37</v>
      </c>
      <c r="AE159" s="9" t="s">
        <v>183</v>
      </c>
    </row>
    <row r="160" spans="1:32" s="4" customFormat="1" x14ac:dyDescent="0.25">
      <c r="A160" s="4">
        <f t="shared" si="26"/>
        <v>95</v>
      </c>
      <c r="B160" s="5" t="s">
        <v>464</v>
      </c>
      <c r="C160" s="6" t="s">
        <v>47</v>
      </c>
      <c r="D160" s="4" t="s">
        <v>48</v>
      </c>
      <c r="E160" s="4" t="s">
        <v>183</v>
      </c>
      <c r="F160" s="10" t="s">
        <v>26</v>
      </c>
      <c r="G160" s="4" t="s">
        <v>9</v>
      </c>
      <c r="H160" s="9" t="s">
        <v>489</v>
      </c>
      <c r="I160" s="9" t="s">
        <v>346</v>
      </c>
      <c r="J160" s="7">
        <f t="shared" si="25"/>
        <v>25.397456279809219</v>
      </c>
      <c r="K160" s="4" t="str">
        <f t="shared" si="27"/>
        <v>Less Conserved</v>
      </c>
      <c r="L160" s="7">
        <v>12.78</v>
      </c>
      <c r="M160" s="7">
        <f t="shared" si="28"/>
        <v>11.501999999999999</v>
      </c>
      <c r="N160" s="7">
        <v>197.7</v>
      </c>
      <c r="O160" s="7">
        <v>503.2</v>
      </c>
      <c r="P160" s="7">
        <f t="shared" si="29"/>
        <v>452.88</v>
      </c>
      <c r="Q160" s="7">
        <f t="shared" si="32"/>
        <v>0.39288553259141495</v>
      </c>
      <c r="R160" s="8">
        <v>20</v>
      </c>
      <c r="S160" s="8">
        <v>53</v>
      </c>
      <c r="T160" s="4" t="str">
        <f t="shared" si="31"/>
        <v>Slow</v>
      </c>
      <c r="U160" s="4" t="s">
        <v>10</v>
      </c>
      <c r="V160" s="4" t="s">
        <v>32</v>
      </c>
      <c r="W160" s="4">
        <v>20</v>
      </c>
      <c r="X160" s="4">
        <v>1100</v>
      </c>
      <c r="Y160" s="4">
        <v>340</v>
      </c>
      <c r="Z160" s="4">
        <v>25</v>
      </c>
      <c r="AA160" s="4" t="s">
        <v>227</v>
      </c>
      <c r="AB160" s="8" t="s">
        <v>225</v>
      </c>
      <c r="AC160" s="4" t="s">
        <v>37</v>
      </c>
      <c r="AD160" s="11" t="s">
        <v>37</v>
      </c>
      <c r="AE160" s="9" t="s">
        <v>183</v>
      </c>
    </row>
    <row r="161" spans="1:32" s="4" customFormat="1" x14ac:dyDescent="0.25">
      <c r="A161" s="4">
        <f t="shared" si="26"/>
        <v>96</v>
      </c>
      <c r="B161" s="5" t="s">
        <v>476</v>
      </c>
      <c r="C161" s="6" t="s">
        <v>482</v>
      </c>
      <c r="D161" s="4" t="s">
        <v>483</v>
      </c>
      <c r="E161" s="4" t="s">
        <v>183</v>
      </c>
      <c r="F161" s="4" t="s">
        <v>487</v>
      </c>
      <c r="G161" s="4" t="s">
        <v>9</v>
      </c>
      <c r="H161" s="4" t="s">
        <v>232</v>
      </c>
      <c r="I161" s="4" t="s">
        <v>425</v>
      </c>
      <c r="J161" s="7">
        <f t="shared" si="25"/>
        <v>92.5</v>
      </c>
      <c r="K161" s="4" t="str">
        <f t="shared" si="27"/>
        <v>More Conserved</v>
      </c>
      <c r="L161" s="7">
        <v>3.7</v>
      </c>
      <c r="M161" s="7">
        <f t="shared" si="28"/>
        <v>3.33</v>
      </c>
      <c r="N161" s="7">
        <v>8.44</v>
      </c>
      <c r="O161" s="7">
        <v>40</v>
      </c>
      <c r="P161" s="7">
        <f t="shared" si="29"/>
        <v>36</v>
      </c>
      <c r="Q161" s="7">
        <f t="shared" si="32"/>
        <v>0.21099999999999999</v>
      </c>
      <c r="R161" s="8">
        <v>42.42</v>
      </c>
      <c r="S161" s="8">
        <v>51.82</v>
      </c>
      <c r="T161" s="4" t="str">
        <f t="shared" si="31"/>
        <v>Slow</v>
      </c>
      <c r="U161" s="4" t="s">
        <v>10</v>
      </c>
      <c r="V161" s="4" t="s">
        <v>51</v>
      </c>
      <c r="W161" s="4">
        <v>0</v>
      </c>
      <c r="X161" s="4">
        <v>1500</v>
      </c>
      <c r="Y161" s="4">
        <v>375</v>
      </c>
      <c r="Z161" s="4">
        <v>20</v>
      </c>
      <c r="AA161" s="11">
        <v>0.6</v>
      </c>
      <c r="AB161" s="8" t="s">
        <v>37</v>
      </c>
      <c r="AC161" s="4" t="s">
        <v>37</v>
      </c>
      <c r="AD161" s="4" t="s">
        <v>37</v>
      </c>
      <c r="AE161" s="9" t="s">
        <v>183</v>
      </c>
      <c r="AF161" s="4" t="s">
        <v>718</v>
      </c>
    </row>
    <row r="162" spans="1:32" s="4" customFormat="1" x14ac:dyDescent="0.25">
      <c r="A162" s="4">
        <f t="shared" si="26"/>
        <v>96</v>
      </c>
      <c r="B162" s="5" t="s">
        <v>476</v>
      </c>
      <c r="C162" s="6" t="s">
        <v>482</v>
      </c>
      <c r="D162" s="4" t="s">
        <v>483</v>
      </c>
      <c r="E162" s="4" t="s">
        <v>183</v>
      </c>
      <c r="F162" s="4" t="s">
        <v>486</v>
      </c>
      <c r="G162" s="4" t="s">
        <v>9</v>
      </c>
      <c r="H162" s="4" t="s">
        <v>232</v>
      </c>
      <c r="I162" s="4" t="s">
        <v>425</v>
      </c>
      <c r="J162" s="7">
        <f t="shared" si="25"/>
        <v>26.785714285714285</v>
      </c>
      <c r="K162" s="4" t="str">
        <f t="shared" si="27"/>
        <v>Less Conserved</v>
      </c>
      <c r="L162" s="7">
        <v>7.5</v>
      </c>
      <c r="M162" s="7">
        <f t="shared" si="28"/>
        <v>6.75</v>
      </c>
      <c r="N162" s="7">
        <v>105.77</v>
      </c>
      <c r="O162" s="7">
        <v>280</v>
      </c>
      <c r="P162" s="7">
        <f t="shared" si="29"/>
        <v>252</v>
      </c>
      <c r="Q162" s="7">
        <f t="shared" si="32"/>
        <v>0.37774999999999997</v>
      </c>
      <c r="R162" s="8">
        <v>35.56</v>
      </c>
      <c r="S162" s="8">
        <v>45.55</v>
      </c>
      <c r="T162" s="4" t="str">
        <f t="shared" si="31"/>
        <v>Slow</v>
      </c>
      <c r="U162" s="4" t="s">
        <v>10</v>
      </c>
      <c r="V162" s="4" t="s">
        <v>51</v>
      </c>
      <c r="W162" s="4">
        <v>0</v>
      </c>
      <c r="X162" s="4">
        <v>1500</v>
      </c>
      <c r="Y162" s="4">
        <v>375</v>
      </c>
      <c r="Z162" s="4">
        <v>20</v>
      </c>
      <c r="AA162" s="11">
        <v>0.6</v>
      </c>
      <c r="AB162" s="8" t="s">
        <v>37</v>
      </c>
      <c r="AC162" s="4" t="s">
        <v>37</v>
      </c>
      <c r="AD162" s="4" t="s">
        <v>37</v>
      </c>
      <c r="AE162" s="9" t="s">
        <v>183</v>
      </c>
      <c r="AF162" s="4" t="s">
        <v>718</v>
      </c>
    </row>
    <row r="163" spans="1:32" s="4" customFormat="1" x14ac:dyDescent="0.25">
      <c r="A163" s="4">
        <f t="shared" si="26"/>
        <v>97</v>
      </c>
      <c r="B163" s="5" t="s">
        <v>476</v>
      </c>
      <c r="C163" s="6" t="s">
        <v>477</v>
      </c>
      <c r="D163" s="4" t="s">
        <v>478</v>
      </c>
      <c r="E163" s="4" t="s">
        <v>183</v>
      </c>
      <c r="F163" s="4" t="s">
        <v>487</v>
      </c>
      <c r="G163" s="4" t="s">
        <v>9</v>
      </c>
      <c r="H163" s="4" t="s">
        <v>232</v>
      </c>
      <c r="I163" s="4" t="s">
        <v>479</v>
      </c>
      <c r="J163" s="7">
        <f t="shared" si="25"/>
        <v>73.333333333333343</v>
      </c>
      <c r="K163" s="4" t="str">
        <f t="shared" si="27"/>
        <v>Conserved</v>
      </c>
      <c r="L163" s="7">
        <v>2.2000000000000002</v>
      </c>
      <c r="M163" s="7">
        <f t="shared" si="28"/>
        <v>1.9800000000000002</v>
      </c>
      <c r="N163" s="7">
        <v>6.55</v>
      </c>
      <c r="O163" s="7">
        <v>30</v>
      </c>
      <c r="P163" s="7">
        <f t="shared" si="29"/>
        <v>27</v>
      </c>
      <c r="Q163" s="7">
        <f t="shared" si="32"/>
        <v>0.21833333333333332</v>
      </c>
      <c r="R163" s="8">
        <v>21.36</v>
      </c>
      <c r="S163" s="8">
        <v>25.1</v>
      </c>
      <c r="T163" s="4" t="str">
        <f t="shared" si="31"/>
        <v>Intermediate</v>
      </c>
      <c r="U163" s="4" t="s">
        <v>10</v>
      </c>
      <c r="V163" s="4" t="s">
        <v>51</v>
      </c>
      <c r="W163" s="4">
        <v>0</v>
      </c>
      <c r="X163" s="4">
        <v>1500</v>
      </c>
      <c r="Y163" s="4">
        <v>375</v>
      </c>
      <c r="Z163" s="4">
        <v>20</v>
      </c>
      <c r="AA163" s="11">
        <v>0.6</v>
      </c>
      <c r="AB163" s="8" t="s">
        <v>37</v>
      </c>
      <c r="AC163" s="4" t="s">
        <v>37</v>
      </c>
      <c r="AD163" s="4" t="s">
        <v>37</v>
      </c>
      <c r="AE163" s="9" t="s">
        <v>183</v>
      </c>
      <c r="AF163" s="4" t="s">
        <v>718</v>
      </c>
    </row>
    <row r="164" spans="1:32" s="4" customFormat="1" x14ac:dyDescent="0.25">
      <c r="A164" s="4">
        <f t="shared" si="26"/>
        <v>97</v>
      </c>
      <c r="B164" s="5" t="s">
        <v>476</v>
      </c>
      <c r="C164" s="6" t="s">
        <v>477</v>
      </c>
      <c r="D164" s="4" t="s">
        <v>478</v>
      </c>
      <c r="E164" s="4" t="s">
        <v>183</v>
      </c>
      <c r="F164" s="4" t="s">
        <v>486</v>
      </c>
      <c r="G164" s="4" t="s">
        <v>9</v>
      </c>
      <c r="H164" s="4" t="s">
        <v>232</v>
      </c>
      <c r="I164" s="4" t="s">
        <v>479</v>
      </c>
      <c r="J164" s="7">
        <f t="shared" si="25"/>
        <v>95</v>
      </c>
      <c r="K164" s="4" t="str">
        <f t="shared" si="27"/>
        <v>More Conserved</v>
      </c>
      <c r="L164" s="7">
        <v>9.5</v>
      </c>
      <c r="M164" s="7">
        <f t="shared" si="28"/>
        <v>8.5500000000000007</v>
      </c>
      <c r="N164" s="7">
        <v>21.97</v>
      </c>
      <c r="O164" s="7">
        <v>100</v>
      </c>
      <c r="P164" s="7">
        <f t="shared" si="29"/>
        <v>90</v>
      </c>
      <c r="Q164" s="7">
        <f t="shared" si="32"/>
        <v>0.21969999999999998</v>
      </c>
      <c r="R164" s="8">
        <v>71.86</v>
      </c>
      <c r="S164" s="8">
        <v>74.510000000000005</v>
      </c>
      <c r="T164" s="4" t="str">
        <f t="shared" si="31"/>
        <v>Slow</v>
      </c>
      <c r="U164" s="4" t="s">
        <v>10</v>
      </c>
      <c r="V164" s="4" t="s">
        <v>51</v>
      </c>
      <c r="W164" s="4">
        <v>0</v>
      </c>
      <c r="X164" s="4">
        <v>1500</v>
      </c>
      <c r="Y164" s="4">
        <v>375</v>
      </c>
      <c r="Z164" s="4">
        <v>20</v>
      </c>
      <c r="AA164" s="11">
        <v>0.6</v>
      </c>
      <c r="AB164" s="8" t="s">
        <v>37</v>
      </c>
      <c r="AC164" s="4" t="s">
        <v>37</v>
      </c>
      <c r="AD164" s="4" t="s">
        <v>37</v>
      </c>
      <c r="AE164" s="9" t="s">
        <v>183</v>
      </c>
      <c r="AF164" s="4" t="s">
        <v>718</v>
      </c>
    </row>
    <row r="165" spans="1:32" s="4" customFormat="1" x14ac:dyDescent="0.25">
      <c r="A165" s="4">
        <f t="shared" si="26"/>
        <v>98</v>
      </c>
      <c r="B165" s="5" t="s">
        <v>476</v>
      </c>
      <c r="C165" s="6" t="s">
        <v>158</v>
      </c>
      <c r="D165" s="4" t="s">
        <v>161</v>
      </c>
      <c r="E165" s="4" t="s">
        <v>183</v>
      </c>
      <c r="F165" s="4" t="s">
        <v>487</v>
      </c>
      <c r="G165" s="4" t="s">
        <v>9</v>
      </c>
      <c r="H165" s="4" t="s">
        <v>232</v>
      </c>
      <c r="I165" s="4" t="s">
        <v>348</v>
      </c>
      <c r="J165" s="7">
        <f t="shared" si="25"/>
        <v>61.428571428571423</v>
      </c>
      <c r="K165" s="4" t="str">
        <f t="shared" si="27"/>
        <v>Less Conserved</v>
      </c>
      <c r="L165" s="7">
        <v>4.3</v>
      </c>
      <c r="M165" s="7">
        <f t="shared" si="28"/>
        <v>3.87</v>
      </c>
      <c r="N165" s="7">
        <v>4.2699999999999996</v>
      </c>
      <c r="O165" s="7">
        <v>70</v>
      </c>
      <c r="P165" s="7">
        <f t="shared" si="29"/>
        <v>63</v>
      </c>
      <c r="Q165" s="7">
        <f t="shared" si="32"/>
        <v>6.0999999999999992E-2</v>
      </c>
      <c r="R165" s="8">
        <v>19.46</v>
      </c>
      <c r="S165" s="8">
        <v>26.7</v>
      </c>
      <c r="T165" s="4" t="str">
        <f t="shared" si="31"/>
        <v>Intermediate</v>
      </c>
      <c r="U165" s="4" t="s">
        <v>10</v>
      </c>
      <c r="V165" s="4" t="s">
        <v>51</v>
      </c>
      <c r="W165" s="4">
        <v>0</v>
      </c>
      <c r="X165" s="4">
        <v>1500</v>
      </c>
      <c r="Y165" s="4">
        <v>375</v>
      </c>
      <c r="Z165" s="4">
        <v>20</v>
      </c>
      <c r="AA165" s="11">
        <v>0.6</v>
      </c>
      <c r="AB165" s="8" t="s">
        <v>37</v>
      </c>
      <c r="AC165" s="4" t="s">
        <v>37</v>
      </c>
      <c r="AD165" s="4" t="s">
        <v>37</v>
      </c>
      <c r="AE165" s="9" t="s">
        <v>183</v>
      </c>
      <c r="AF165" s="4" t="s">
        <v>718</v>
      </c>
    </row>
    <row r="166" spans="1:32" s="4" customFormat="1" x14ac:dyDescent="0.25">
      <c r="A166" s="4">
        <f t="shared" si="26"/>
        <v>98</v>
      </c>
      <c r="B166" s="5" t="s">
        <v>476</v>
      </c>
      <c r="C166" s="6" t="s">
        <v>158</v>
      </c>
      <c r="D166" s="4" t="s">
        <v>161</v>
      </c>
      <c r="E166" s="4" t="s">
        <v>183</v>
      </c>
      <c r="F166" s="4" t="s">
        <v>486</v>
      </c>
      <c r="G166" s="4" t="s">
        <v>9</v>
      </c>
      <c r="H166" s="4" t="s">
        <v>232</v>
      </c>
      <c r="I166" s="4" t="s">
        <v>348</v>
      </c>
      <c r="J166" s="7">
        <f t="shared" si="25"/>
        <v>54.782608695652172</v>
      </c>
      <c r="K166" s="4" t="str">
        <f t="shared" si="27"/>
        <v>Less Conserved</v>
      </c>
      <c r="L166" s="7">
        <v>12.6</v>
      </c>
      <c r="M166" s="7">
        <f t="shared" si="28"/>
        <v>11.34</v>
      </c>
      <c r="N166" s="7">
        <v>55.49</v>
      </c>
      <c r="O166" s="7">
        <v>230</v>
      </c>
      <c r="P166" s="7">
        <f t="shared" si="29"/>
        <v>207</v>
      </c>
      <c r="Q166" s="7">
        <f t="shared" si="32"/>
        <v>0.24126086956521739</v>
      </c>
      <c r="R166" s="8">
        <v>34.1</v>
      </c>
      <c r="S166" s="8">
        <v>49.32</v>
      </c>
      <c r="T166" s="4" t="str">
        <f t="shared" si="31"/>
        <v>Slow</v>
      </c>
      <c r="U166" s="4" t="s">
        <v>10</v>
      </c>
      <c r="V166" s="4" t="s">
        <v>51</v>
      </c>
      <c r="W166" s="4">
        <v>0</v>
      </c>
      <c r="X166" s="4">
        <v>1500</v>
      </c>
      <c r="Y166" s="4">
        <v>375</v>
      </c>
      <c r="Z166" s="4">
        <v>20</v>
      </c>
      <c r="AA166" s="11">
        <v>0.6</v>
      </c>
      <c r="AB166" s="8" t="s">
        <v>37</v>
      </c>
      <c r="AC166" s="4" t="s">
        <v>37</v>
      </c>
      <c r="AD166" s="4" t="s">
        <v>37</v>
      </c>
      <c r="AE166" s="9" t="s">
        <v>183</v>
      </c>
      <c r="AF166" s="4" t="s">
        <v>718</v>
      </c>
    </row>
    <row r="167" spans="1:32" s="4" customFormat="1" x14ac:dyDescent="0.25">
      <c r="A167" s="4">
        <f t="shared" si="26"/>
        <v>99</v>
      </c>
      <c r="B167" s="5" t="s">
        <v>476</v>
      </c>
      <c r="C167" s="6" t="s">
        <v>484</v>
      </c>
      <c r="D167" s="4" t="s">
        <v>485</v>
      </c>
      <c r="E167" s="4" t="s">
        <v>183</v>
      </c>
      <c r="F167" s="4" t="s">
        <v>487</v>
      </c>
      <c r="G167" s="4" t="s">
        <v>9</v>
      </c>
      <c r="H167" s="4" t="s">
        <v>232</v>
      </c>
      <c r="I167" s="4" t="s">
        <v>425</v>
      </c>
      <c r="J167" s="7">
        <f t="shared" si="25"/>
        <v>70</v>
      </c>
      <c r="K167" s="4" t="str">
        <f t="shared" si="27"/>
        <v>Conserved</v>
      </c>
      <c r="L167" s="7">
        <v>2.1</v>
      </c>
      <c r="M167" s="7">
        <f t="shared" si="28"/>
        <v>1.8900000000000001</v>
      </c>
      <c r="N167" s="7">
        <v>4.46</v>
      </c>
      <c r="O167" s="7">
        <v>30</v>
      </c>
      <c r="P167" s="7">
        <f t="shared" si="29"/>
        <v>27</v>
      </c>
      <c r="Q167" s="7">
        <f t="shared" si="32"/>
        <v>0.14866666666666667</v>
      </c>
      <c r="R167" s="8">
        <v>39.090000000000003</v>
      </c>
      <c r="S167" s="8">
        <v>10.1</v>
      </c>
      <c r="T167" s="4" t="str">
        <f t="shared" si="31"/>
        <v>Fast</v>
      </c>
      <c r="U167" s="4" t="s">
        <v>10</v>
      </c>
      <c r="V167" s="4" t="s">
        <v>51</v>
      </c>
      <c r="W167" s="4">
        <v>0</v>
      </c>
      <c r="X167" s="4">
        <v>1500</v>
      </c>
      <c r="Y167" s="4">
        <v>375</v>
      </c>
      <c r="Z167" s="4">
        <v>20</v>
      </c>
      <c r="AA167" s="11">
        <v>0.6</v>
      </c>
      <c r="AB167" s="8" t="s">
        <v>37</v>
      </c>
      <c r="AC167" s="4" t="s">
        <v>37</v>
      </c>
      <c r="AD167" s="4" t="s">
        <v>37</v>
      </c>
      <c r="AE167" s="9" t="s">
        <v>183</v>
      </c>
      <c r="AF167" s="4" t="s">
        <v>718</v>
      </c>
    </row>
    <row r="168" spans="1:32" s="4" customFormat="1" x14ac:dyDescent="0.25">
      <c r="A168" s="4">
        <f t="shared" si="26"/>
        <v>99</v>
      </c>
      <c r="B168" s="5" t="s">
        <v>476</v>
      </c>
      <c r="C168" s="6" t="s">
        <v>484</v>
      </c>
      <c r="D168" s="4" t="s">
        <v>485</v>
      </c>
      <c r="E168" s="4" t="s">
        <v>183</v>
      </c>
      <c r="F168" s="4" t="s">
        <v>486</v>
      </c>
      <c r="G168" s="4" t="s">
        <v>9</v>
      </c>
      <c r="H168" s="4" t="s">
        <v>232</v>
      </c>
      <c r="I168" s="4" t="s">
        <v>425</v>
      </c>
      <c r="J168" s="7">
        <f t="shared" si="25"/>
        <v>115.55555555555556</v>
      </c>
      <c r="K168" s="4" t="str">
        <f t="shared" si="27"/>
        <v>More Conserved</v>
      </c>
      <c r="L168" s="7">
        <v>10.4</v>
      </c>
      <c r="M168" s="7">
        <f t="shared" si="28"/>
        <v>9.3600000000000012</v>
      </c>
      <c r="N168" s="7">
        <v>20.68</v>
      </c>
      <c r="O168" s="7">
        <v>90</v>
      </c>
      <c r="P168" s="7">
        <f t="shared" ref="P168:P199" si="33">O168*0.9</f>
        <v>81</v>
      </c>
      <c r="Q168" s="7">
        <f t="shared" si="32"/>
        <v>0.22977777777777778</v>
      </c>
      <c r="R168" s="8">
        <v>57.07</v>
      </c>
      <c r="S168" s="8">
        <v>22.34</v>
      </c>
      <c r="T168" s="4" t="str">
        <f t="shared" ref="T168:T199" si="34">IF(S168&gt;=45, "Slow", IF(S168&gt;=20, "Intermediate", "Fast"))</f>
        <v>Intermediate</v>
      </c>
      <c r="U168" s="4" t="s">
        <v>10</v>
      </c>
      <c r="V168" s="4" t="s">
        <v>51</v>
      </c>
      <c r="W168" s="4">
        <v>0</v>
      </c>
      <c r="X168" s="4">
        <v>1500</v>
      </c>
      <c r="Y168" s="4">
        <v>375</v>
      </c>
      <c r="Z168" s="4">
        <v>20</v>
      </c>
      <c r="AA168" s="11">
        <v>0.6</v>
      </c>
      <c r="AB168" s="8" t="s">
        <v>37</v>
      </c>
      <c r="AC168" s="4" t="s">
        <v>37</v>
      </c>
      <c r="AD168" s="4" t="s">
        <v>37</v>
      </c>
      <c r="AE168" s="9" t="s">
        <v>183</v>
      </c>
      <c r="AF168" s="4" t="s">
        <v>718</v>
      </c>
    </row>
    <row r="169" spans="1:32" s="4" customFormat="1" x14ac:dyDescent="0.25">
      <c r="A169" s="4">
        <f t="shared" si="26"/>
        <v>100</v>
      </c>
      <c r="B169" s="5" t="s">
        <v>476</v>
      </c>
      <c r="C169" s="6" t="s">
        <v>480</v>
      </c>
      <c r="D169" s="4" t="s">
        <v>481</v>
      </c>
      <c r="E169" s="4" t="s">
        <v>183</v>
      </c>
      <c r="F169" s="4" t="s">
        <v>487</v>
      </c>
      <c r="G169" s="4" t="s">
        <v>9</v>
      </c>
      <c r="H169" s="4" t="s">
        <v>232</v>
      </c>
      <c r="I169" s="4" t="s">
        <v>415</v>
      </c>
      <c r="J169" s="7">
        <f t="shared" si="25"/>
        <v>52.222222222222229</v>
      </c>
      <c r="K169" s="4" t="str">
        <f t="shared" si="27"/>
        <v>Less Conserved</v>
      </c>
      <c r="L169" s="7">
        <v>4.7</v>
      </c>
      <c r="M169" s="7">
        <f t="shared" si="28"/>
        <v>4.2300000000000004</v>
      </c>
      <c r="N169" s="7">
        <v>12.62</v>
      </c>
      <c r="O169" s="7">
        <v>90</v>
      </c>
      <c r="P169" s="7">
        <f t="shared" si="33"/>
        <v>81</v>
      </c>
      <c r="Q169" s="7">
        <f t="shared" si="32"/>
        <v>0.14022222222222222</v>
      </c>
      <c r="R169" s="8">
        <v>20.14</v>
      </c>
      <c r="S169" s="8">
        <v>35.83</v>
      </c>
      <c r="T169" s="4" t="str">
        <f t="shared" si="34"/>
        <v>Intermediate</v>
      </c>
      <c r="U169" s="4" t="s">
        <v>10</v>
      </c>
      <c r="V169" s="4" t="s">
        <v>51</v>
      </c>
      <c r="W169" s="4">
        <v>0</v>
      </c>
      <c r="X169" s="4">
        <v>1500</v>
      </c>
      <c r="Y169" s="4">
        <v>375</v>
      </c>
      <c r="Z169" s="4">
        <v>20</v>
      </c>
      <c r="AA169" s="11">
        <v>0.6</v>
      </c>
      <c r="AB169" s="8" t="s">
        <v>37</v>
      </c>
      <c r="AC169" s="4" t="s">
        <v>37</v>
      </c>
      <c r="AD169" s="4" t="s">
        <v>37</v>
      </c>
      <c r="AE169" s="9" t="s">
        <v>183</v>
      </c>
      <c r="AF169" s="4" t="s">
        <v>718</v>
      </c>
    </row>
    <row r="170" spans="1:32" s="4" customFormat="1" x14ac:dyDescent="0.25">
      <c r="A170" s="4">
        <f t="shared" si="26"/>
        <v>100</v>
      </c>
      <c r="B170" s="5" t="s">
        <v>476</v>
      </c>
      <c r="C170" s="6" t="s">
        <v>480</v>
      </c>
      <c r="D170" s="4" t="s">
        <v>481</v>
      </c>
      <c r="E170" s="4" t="s">
        <v>183</v>
      </c>
      <c r="F170" s="4" t="s">
        <v>486</v>
      </c>
      <c r="G170" s="4" t="s">
        <v>9</v>
      </c>
      <c r="H170" s="4" t="s">
        <v>232</v>
      </c>
      <c r="I170" s="4" t="s">
        <v>415</v>
      </c>
      <c r="J170" s="7">
        <f t="shared" si="25"/>
        <v>67.777777777777771</v>
      </c>
      <c r="K170" s="4" t="str">
        <f t="shared" si="27"/>
        <v>Less Conserved</v>
      </c>
      <c r="L170" s="7">
        <v>12.2</v>
      </c>
      <c r="M170" s="7">
        <f t="shared" si="28"/>
        <v>10.98</v>
      </c>
      <c r="N170" s="7">
        <v>61.19</v>
      </c>
      <c r="O170" s="7">
        <v>180</v>
      </c>
      <c r="P170" s="7">
        <f t="shared" si="33"/>
        <v>162</v>
      </c>
      <c r="Q170" s="7">
        <f t="shared" si="32"/>
        <v>0.33994444444444444</v>
      </c>
      <c r="R170" s="8">
        <v>26.11</v>
      </c>
      <c r="S170" s="8">
        <v>34.950000000000003</v>
      </c>
      <c r="T170" s="4" t="str">
        <f t="shared" si="34"/>
        <v>Intermediate</v>
      </c>
      <c r="U170" s="4" t="s">
        <v>10</v>
      </c>
      <c r="V170" s="4" t="s">
        <v>51</v>
      </c>
      <c r="W170" s="4">
        <v>0</v>
      </c>
      <c r="X170" s="4">
        <v>1500</v>
      </c>
      <c r="Y170" s="4">
        <v>375</v>
      </c>
      <c r="Z170" s="4">
        <v>20</v>
      </c>
      <c r="AA170" s="11">
        <v>0.6</v>
      </c>
      <c r="AB170" s="8" t="s">
        <v>37</v>
      </c>
      <c r="AC170" s="4" t="s">
        <v>37</v>
      </c>
      <c r="AD170" s="4" t="s">
        <v>37</v>
      </c>
      <c r="AE170" s="9" t="s">
        <v>183</v>
      </c>
      <c r="AF170" s="4" t="s">
        <v>718</v>
      </c>
    </row>
    <row r="171" spans="1:32" s="4" customFormat="1" x14ac:dyDescent="0.25">
      <c r="A171" s="4">
        <f t="shared" si="26"/>
        <v>101</v>
      </c>
      <c r="B171" s="5" t="s">
        <v>465</v>
      </c>
      <c r="C171" s="12" t="s">
        <v>286</v>
      </c>
      <c r="D171" s="4" t="s">
        <v>26</v>
      </c>
      <c r="E171" s="4" t="s">
        <v>183</v>
      </c>
      <c r="F171" s="4" t="s">
        <v>26</v>
      </c>
      <c r="G171" s="4" t="s">
        <v>9</v>
      </c>
      <c r="H171" s="4" t="s">
        <v>232</v>
      </c>
      <c r="I171" s="4" t="s">
        <v>347</v>
      </c>
      <c r="J171" s="7">
        <f t="shared" si="25"/>
        <v>17.942519473542841</v>
      </c>
      <c r="K171" s="4" t="str">
        <f t="shared" si="27"/>
        <v>Less Conserved</v>
      </c>
      <c r="L171" s="7">
        <v>13.36</v>
      </c>
      <c r="M171" s="7">
        <f t="shared" si="28"/>
        <v>12.023999999999999</v>
      </c>
      <c r="N171" s="7">
        <v>422.2</v>
      </c>
      <c r="O171" s="7">
        <v>744.6</v>
      </c>
      <c r="P171" s="7">
        <f t="shared" si="33"/>
        <v>670.14</v>
      </c>
      <c r="Q171" s="7">
        <f t="shared" si="32"/>
        <v>0.56701584743486433</v>
      </c>
      <c r="R171" s="8">
        <f>14.4-4.295</f>
        <v>10.105</v>
      </c>
      <c r="S171" s="8">
        <f>21.298-4.35</f>
        <v>16.948</v>
      </c>
      <c r="T171" s="4" t="str">
        <f t="shared" si="34"/>
        <v>Fast</v>
      </c>
      <c r="U171" s="4" t="s">
        <v>10</v>
      </c>
      <c r="V171" s="4" t="s">
        <v>32</v>
      </c>
      <c r="W171" s="4">
        <v>5</v>
      </c>
      <c r="X171" s="4">
        <v>1150</v>
      </c>
      <c r="Y171" s="5">
        <v>363</v>
      </c>
      <c r="Z171" s="4" t="s">
        <v>26</v>
      </c>
      <c r="AA171" s="4" t="s">
        <v>26</v>
      </c>
      <c r="AB171" s="8" t="s">
        <v>287</v>
      </c>
      <c r="AC171" s="4" t="s">
        <v>37</v>
      </c>
      <c r="AD171" s="11" t="s">
        <v>37</v>
      </c>
      <c r="AE171" s="4" t="s">
        <v>183</v>
      </c>
      <c r="AF171" s="4" t="s">
        <v>719</v>
      </c>
    </row>
    <row r="172" spans="1:32" s="4" customFormat="1" x14ac:dyDescent="0.25">
      <c r="A172" s="4">
        <f t="shared" si="26"/>
        <v>102</v>
      </c>
      <c r="B172" s="5" t="s">
        <v>465</v>
      </c>
      <c r="C172" s="12" t="s">
        <v>288</v>
      </c>
      <c r="D172" s="4" t="s">
        <v>26</v>
      </c>
      <c r="E172" s="4" t="s">
        <v>183</v>
      </c>
      <c r="F172" s="4" t="s">
        <v>26</v>
      </c>
      <c r="G172" s="4" t="s">
        <v>9</v>
      </c>
      <c r="H172" s="4" t="s">
        <v>232</v>
      </c>
      <c r="I172" s="4" t="s">
        <v>347</v>
      </c>
      <c r="J172" s="7">
        <f t="shared" si="25"/>
        <v>66.976411722659037</v>
      </c>
      <c r="K172" s="4" t="str">
        <f t="shared" si="27"/>
        <v>Less Conserved</v>
      </c>
      <c r="L172" s="7">
        <v>9.3699999999999992</v>
      </c>
      <c r="M172" s="7">
        <f t="shared" si="28"/>
        <v>8.4329999999999998</v>
      </c>
      <c r="N172" s="7">
        <v>16.5</v>
      </c>
      <c r="O172" s="7">
        <v>139.9</v>
      </c>
      <c r="P172" s="7">
        <f t="shared" si="33"/>
        <v>125.91000000000001</v>
      </c>
      <c r="Q172" s="7">
        <f t="shared" si="32"/>
        <v>0.11794138670478913</v>
      </c>
      <c r="R172" s="8">
        <f>15.838-4.593</f>
        <v>11.244999999999999</v>
      </c>
      <c r="S172" s="8">
        <f>17.691-3.912</f>
        <v>13.779</v>
      </c>
      <c r="T172" s="4" t="str">
        <f t="shared" si="34"/>
        <v>Fast</v>
      </c>
      <c r="U172" s="4" t="s">
        <v>10</v>
      </c>
      <c r="V172" s="4" t="s">
        <v>24</v>
      </c>
      <c r="W172" s="4">
        <v>5</v>
      </c>
      <c r="X172" s="4">
        <v>1150</v>
      </c>
      <c r="Y172" s="5">
        <v>363</v>
      </c>
      <c r="Z172" s="4" t="s">
        <v>26</v>
      </c>
      <c r="AA172" s="4" t="s">
        <v>26</v>
      </c>
      <c r="AB172" s="8" t="s">
        <v>289</v>
      </c>
      <c r="AC172" s="4" t="s">
        <v>37</v>
      </c>
      <c r="AD172" s="11" t="s">
        <v>37</v>
      </c>
      <c r="AE172" s="4" t="s">
        <v>183</v>
      </c>
      <c r="AF172" s="4" t="s">
        <v>719</v>
      </c>
    </row>
    <row r="173" spans="1:32" s="4" customFormat="1" x14ac:dyDescent="0.25">
      <c r="A173" s="4">
        <f t="shared" si="26"/>
        <v>103</v>
      </c>
      <c r="B173" s="5" t="s">
        <v>466</v>
      </c>
      <c r="C173" s="6" t="s">
        <v>293</v>
      </c>
      <c r="D173" s="4" t="s">
        <v>297</v>
      </c>
      <c r="E173" s="4" t="s">
        <v>183</v>
      </c>
      <c r="F173" s="4" t="s">
        <v>26</v>
      </c>
      <c r="G173" s="4" t="s">
        <v>9</v>
      </c>
      <c r="H173" s="4" t="s">
        <v>232</v>
      </c>
      <c r="I173" s="4" t="s">
        <v>348</v>
      </c>
      <c r="J173" s="7" t="s">
        <v>26</v>
      </c>
      <c r="K173" s="7" t="s">
        <v>26</v>
      </c>
      <c r="L173" s="7" t="s">
        <v>26</v>
      </c>
      <c r="M173" s="7" t="s">
        <v>26</v>
      </c>
      <c r="N173" s="7" t="s">
        <v>26</v>
      </c>
      <c r="O173" s="7">
        <v>134.88</v>
      </c>
      <c r="P173" s="7">
        <f t="shared" si="33"/>
        <v>121.392</v>
      </c>
      <c r="Q173" s="7" t="s">
        <v>26</v>
      </c>
      <c r="R173" s="8" t="s">
        <v>26</v>
      </c>
      <c r="S173" s="8">
        <v>47.761000000000003</v>
      </c>
      <c r="T173" s="4" t="str">
        <f t="shared" si="34"/>
        <v>Slow</v>
      </c>
      <c r="U173" s="4" t="s">
        <v>10</v>
      </c>
      <c r="V173" s="4" t="s">
        <v>51</v>
      </c>
      <c r="W173" s="4">
        <v>0</v>
      </c>
      <c r="X173" s="4">
        <v>800</v>
      </c>
      <c r="Y173" s="4">
        <v>400</v>
      </c>
      <c r="Z173" s="4">
        <v>25</v>
      </c>
      <c r="AA173" s="4" t="s">
        <v>299</v>
      </c>
      <c r="AB173" s="8" t="s">
        <v>37</v>
      </c>
      <c r="AC173" s="4" t="s">
        <v>37</v>
      </c>
      <c r="AD173" s="4" t="s">
        <v>37</v>
      </c>
      <c r="AE173" s="4" t="s">
        <v>183</v>
      </c>
      <c r="AF173" s="4" t="s">
        <v>298</v>
      </c>
    </row>
    <row r="174" spans="1:32" s="4" customFormat="1" x14ac:dyDescent="0.25">
      <c r="A174" s="4">
        <f t="shared" si="26"/>
        <v>104</v>
      </c>
      <c r="B174" s="5" t="s">
        <v>466</v>
      </c>
      <c r="C174" s="6" t="s">
        <v>290</v>
      </c>
      <c r="D174" s="4" t="s">
        <v>294</v>
      </c>
      <c r="E174" s="4" t="s">
        <v>183</v>
      </c>
      <c r="F174" s="4" t="s">
        <v>26</v>
      </c>
      <c r="G174" s="4" t="s">
        <v>9</v>
      </c>
      <c r="H174" s="4" t="s">
        <v>232</v>
      </c>
      <c r="I174" s="4" t="s">
        <v>348</v>
      </c>
      <c r="J174" s="7" t="s">
        <v>26</v>
      </c>
      <c r="K174" s="7" t="s">
        <v>26</v>
      </c>
      <c r="L174" s="7" t="s">
        <v>26</v>
      </c>
      <c r="M174" s="7" t="s">
        <v>26</v>
      </c>
      <c r="N174" s="7" t="s">
        <v>26</v>
      </c>
      <c r="O174" s="7">
        <v>272.58999999999997</v>
      </c>
      <c r="P174" s="7">
        <f t="shared" si="33"/>
        <v>245.33099999999999</v>
      </c>
      <c r="Q174" s="7" t="s">
        <v>26</v>
      </c>
      <c r="R174" s="8" t="s">
        <v>26</v>
      </c>
      <c r="S174" s="8">
        <v>39.729999999999997</v>
      </c>
      <c r="T174" s="4" t="str">
        <f t="shared" si="34"/>
        <v>Intermediate</v>
      </c>
      <c r="U174" s="4" t="s">
        <v>10</v>
      </c>
      <c r="V174" s="4" t="s">
        <v>41</v>
      </c>
      <c r="W174" s="4">
        <v>0</v>
      </c>
      <c r="X174" s="4">
        <v>800</v>
      </c>
      <c r="Y174" s="4">
        <v>400</v>
      </c>
      <c r="Z174" s="4">
        <v>25</v>
      </c>
      <c r="AA174" s="4" t="s">
        <v>299</v>
      </c>
      <c r="AB174" s="8" t="s">
        <v>37</v>
      </c>
      <c r="AC174" s="4" t="s">
        <v>37</v>
      </c>
      <c r="AD174" s="4" t="s">
        <v>37</v>
      </c>
      <c r="AE174" s="4" t="s">
        <v>183</v>
      </c>
      <c r="AF174" s="4" t="s">
        <v>298</v>
      </c>
    </row>
    <row r="175" spans="1:32" s="4" customFormat="1" x14ac:dyDescent="0.25">
      <c r="A175" s="4">
        <f t="shared" si="26"/>
        <v>105</v>
      </c>
      <c r="B175" s="5" t="s">
        <v>466</v>
      </c>
      <c r="C175" s="6" t="s">
        <v>292</v>
      </c>
      <c r="D175" s="4" t="s">
        <v>296</v>
      </c>
      <c r="E175" s="4" t="s">
        <v>183</v>
      </c>
      <c r="F175" s="4" t="s">
        <v>26</v>
      </c>
      <c r="G175" s="4" t="s">
        <v>9</v>
      </c>
      <c r="H175" s="4" t="s">
        <v>232</v>
      </c>
      <c r="I175" s="4" t="s">
        <v>348</v>
      </c>
      <c r="J175" s="7" t="s">
        <v>26</v>
      </c>
      <c r="K175" s="7" t="s">
        <v>26</v>
      </c>
      <c r="L175" s="7" t="s">
        <v>26</v>
      </c>
      <c r="M175" s="7" t="s">
        <v>26</v>
      </c>
      <c r="N175" s="7" t="s">
        <v>26</v>
      </c>
      <c r="O175" s="7">
        <v>314.45</v>
      </c>
      <c r="P175" s="7">
        <f t="shared" si="33"/>
        <v>283.005</v>
      </c>
      <c r="Q175" s="7" t="s">
        <v>26</v>
      </c>
      <c r="R175" s="8" t="s">
        <v>26</v>
      </c>
      <c r="S175" s="8">
        <v>22.625</v>
      </c>
      <c r="T175" s="4" t="str">
        <f t="shared" si="34"/>
        <v>Intermediate</v>
      </c>
      <c r="U175" s="4" t="s">
        <v>10</v>
      </c>
      <c r="V175" s="4" t="s">
        <v>41</v>
      </c>
      <c r="W175" s="4">
        <v>0</v>
      </c>
      <c r="X175" s="4">
        <v>800</v>
      </c>
      <c r="Y175" s="4">
        <v>400</v>
      </c>
      <c r="Z175" s="4">
        <v>25</v>
      </c>
      <c r="AA175" s="4" t="s">
        <v>299</v>
      </c>
      <c r="AB175" s="8" t="s">
        <v>37</v>
      </c>
      <c r="AC175" s="4" t="s">
        <v>37</v>
      </c>
      <c r="AD175" s="4" t="s">
        <v>37</v>
      </c>
      <c r="AE175" s="4" t="s">
        <v>183</v>
      </c>
      <c r="AF175" s="4" t="s">
        <v>298</v>
      </c>
    </row>
    <row r="176" spans="1:32" s="4" customFormat="1" x14ac:dyDescent="0.25">
      <c r="A176" s="4">
        <f t="shared" si="26"/>
        <v>106</v>
      </c>
      <c r="B176" s="5" t="s">
        <v>466</v>
      </c>
      <c r="C176" s="6" t="s">
        <v>291</v>
      </c>
      <c r="D176" s="4" t="s">
        <v>295</v>
      </c>
      <c r="E176" s="4" t="s">
        <v>183</v>
      </c>
      <c r="F176" s="4" t="s">
        <v>26</v>
      </c>
      <c r="G176" s="4" t="s">
        <v>9</v>
      </c>
      <c r="H176" s="4" t="s">
        <v>232</v>
      </c>
      <c r="I176" s="4" t="s">
        <v>348</v>
      </c>
      <c r="J176" s="7" t="s">
        <v>26</v>
      </c>
      <c r="K176" s="7" t="s">
        <v>26</v>
      </c>
      <c r="L176" s="7" t="s">
        <v>26</v>
      </c>
      <c r="M176" s="7" t="s">
        <v>26</v>
      </c>
      <c r="N176" s="7" t="s">
        <v>26</v>
      </c>
      <c r="O176" s="7">
        <v>234.9</v>
      </c>
      <c r="P176" s="7">
        <f t="shared" si="33"/>
        <v>211.41</v>
      </c>
      <c r="Q176" s="7" t="s">
        <v>26</v>
      </c>
      <c r="R176" s="8" t="s">
        <v>26</v>
      </c>
      <c r="S176" s="8">
        <v>22.431999999999999</v>
      </c>
      <c r="T176" s="4" t="str">
        <f t="shared" si="34"/>
        <v>Intermediate</v>
      </c>
      <c r="U176" s="4" t="s">
        <v>10</v>
      </c>
      <c r="V176" s="4" t="s">
        <v>51</v>
      </c>
      <c r="W176" s="4">
        <v>0</v>
      </c>
      <c r="X176" s="4">
        <v>800</v>
      </c>
      <c r="Y176" s="4">
        <v>400</v>
      </c>
      <c r="Z176" s="4">
        <v>25</v>
      </c>
      <c r="AA176" s="4" t="s">
        <v>299</v>
      </c>
      <c r="AB176" s="8" t="s">
        <v>37</v>
      </c>
      <c r="AC176" s="4" t="s">
        <v>37</v>
      </c>
      <c r="AD176" s="4" t="s">
        <v>37</v>
      </c>
      <c r="AE176" s="4" t="s">
        <v>183</v>
      </c>
      <c r="AF176" s="4" t="s">
        <v>298</v>
      </c>
    </row>
    <row r="177" spans="1:32" s="4" customFormat="1" x14ac:dyDescent="0.25">
      <c r="A177" s="4">
        <f t="shared" si="26"/>
        <v>107</v>
      </c>
      <c r="B177" s="5" t="s">
        <v>467</v>
      </c>
      <c r="C177" s="6" t="s">
        <v>157</v>
      </c>
      <c r="D177" s="4" t="s">
        <v>160</v>
      </c>
      <c r="E177" s="4" t="s">
        <v>183</v>
      </c>
      <c r="F177" s="4" t="s">
        <v>26</v>
      </c>
      <c r="G177" s="4" t="s">
        <v>9</v>
      </c>
      <c r="H177" s="4" t="s">
        <v>232</v>
      </c>
      <c r="I177" s="4" t="s">
        <v>353</v>
      </c>
      <c r="J177" s="7">
        <f t="shared" si="25"/>
        <v>138.83175647881532</v>
      </c>
      <c r="K177" s="4" t="str">
        <f t="shared" ref="K177:K190" si="35">IF(J177&gt;=80, "More Conserved", IF(J177&gt;=70, "Conserved", "Less Conserved"))</f>
        <v>More Conserved</v>
      </c>
      <c r="L177" s="7">
        <v>13.5</v>
      </c>
      <c r="M177" s="7">
        <f t="shared" ref="M177:M208" si="36">L177*0.9</f>
        <v>12.15</v>
      </c>
      <c r="N177" s="7">
        <v>7</v>
      </c>
      <c r="O177" s="7">
        <v>97.24</v>
      </c>
      <c r="P177" s="7">
        <f t="shared" si="33"/>
        <v>87.515999999999991</v>
      </c>
      <c r="Q177" s="7">
        <f t="shared" ref="Q177:Q208" si="37">N177/O177</f>
        <v>7.1986836692719047E-2</v>
      </c>
      <c r="R177" s="8">
        <v>45.6</v>
      </c>
      <c r="S177" s="8">
        <v>51.61</v>
      </c>
      <c r="T177" s="4" t="str">
        <f t="shared" si="34"/>
        <v>Slow</v>
      </c>
      <c r="U177" s="4" t="s">
        <v>10</v>
      </c>
      <c r="V177" s="4" t="s">
        <v>41</v>
      </c>
      <c r="W177" s="4">
        <v>0</v>
      </c>
      <c r="X177" s="4">
        <v>1000</v>
      </c>
      <c r="Y177" s="4">
        <v>390</v>
      </c>
      <c r="Z177" s="4">
        <v>25</v>
      </c>
      <c r="AA177" s="4" t="s">
        <v>385</v>
      </c>
      <c r="AB177" s="8" t="s">
        <v>37</v>
      </c>
      <c r="AC177" s="4" t="s">
        <v>37</v>
      </c>
      <c r="AD177" s="11" t="s">
        <v>37</v>
      </c>
      <c r="AE177" s="9" t="s">
        <v>183</v>
      </c>
      <c r="AF177" s="4" t="s">
        <v>720</v>
      </c>
    </row>
    <row r="178" spans="1:32" s="4" customFormat="1" x14ac:dyDescent="0.25">
      <c r="A178" s="4">
        <f t="shared" si="26"/>
        <v>107</v>
      </c>
      <c r="B178" s="5" t="s">
        <v>467</v>
      </c>
      <c r="C178" s="6" t="s">
        <v>157</v>
      </c>
      <c r="D178" s="4" t="s">
        <v>160</v>
      </c>
      <c r="E178" s="4" t="s">
        <v>183</v>
      </c>
      <c r="F178" s="4" t="s">
        <v>26</v>
      </c>
      <c r="G178" s="4" t="s">
        <v>9</v>
      </c>
      <c r="H178" s="4" t="s">
        <v>232</v>
      </c>
      <c r="I178" s="4" t="s">
        <v>353</v>
      </c>
      <c r="J178" s="7">
        <f t="shared" si="25"/>
        <v>149.58448753462605</v>
      </c>
      <c r="K178" s="4" t="str">
        <f t="shared" si="35"/>
        <v>More Conserved</v>
      </c>
      <c r="L178" s="7">
        <v>13.5</v>
      </c>
      <c r="M178" s="7">
        <f t="shared" si="36"/>
        <v>12.15</v>
      </c>
      <c r="N178" s="7">
        <v>35</v>
      </c>
      <c r="O178" s="7">
        <v>90.25</v>
      </c>
      <c r="P178" s="7">
        <f t="shared" si="33"/>
        <v>81.225000000000009</v>
      </c>
      <c r="Q178" s="7">
        <f t="shared" si="37"/>
        <v>0.38781163434903049</v>
      </c>
      <c r="R178" s="8">
        <v>9</v>
      </c>
      <c r="S178" s="8">
        <v>10.86</v>
      </c>
      <c r="T178" s="4" t="str">
        <f t="shared" si="34"/>
        <v>Fast</v>
      </c>
      <c r="U178" s="4" t="s">
        <v>10</v>
      </c>
      <c r="V178" s="4" t="s">
        <v>41</v>
      </c>
      <c r="W178" s="4">
        <v>0</v>
      </c>
      <c r="X178" s="4">
        <v>1000</v>
      </c>
      <c r="Y178" s="4">
        <v>390</v>
      </c>
      <c r="Z178" s="4">
        <v>25</v>
      </c>
      <c r="AA178" s="4" t="s">
        <v>385</v>
      </c>
      <c r="AB178" s="8" t="s">
        <v>37</v>
      </c>
      <c r="AC178" s="4" t="s">
        <v>37</v>
      </c>
      <c r="AD178" s="11" t="s">
        <v>37</v>
      </c>
      <c r="AE178" s="9" t="s">
        <v>183</v>
      </c>
      <c r="AF178" s="4" t="s">
        <v>720</v>
      </c>
    </row>
    <row r="179" spans="1:32" s="4" customFormat="1" x14ac:dyDescent="0.25">
      <c r="A179" s="4">
        <f t="shared" si="26"/>
        <v>108</v>
      </c>
      <c r="B179" s="5" t="s">
        <v>467</v>
      </c>
      <c r="C179" s="6" t="s">
        <v>156</v>
      </c>
      <c r="D179" s="4" t="s">
        <v>159</v>
      </c>
      <c r="E179" s="4" t="s">
        <v>183</v>
      </c>
      <c r="F179" s="4" t="s">
        <v>26</v>
      </c>
      <c r="G179" s="4" t="s">
        <v>9</v>
      </c>
      <c r="H179" s="4" t="s">
        <v>232</v>
      </c>
      <c r="I179" s="4" t="s">
        <v>353</v>
      </c>
      <c r="J179" s="7">
        <f t="shared" si="25"/>
        <v>96.685082872928191</v>
      </c>
      <c r="K179" s="4" t="str">
        <f t="shared" si="35"/>
        <v>More Conserved</v>
      </c>
      <c r="L179" s="7">
        <v>10.5</v>
      </c>
      <c r="M179" s="7">
        <f t="shared" si="36"/>
        <v>9.4500000000000011</v>
      </c>
      <c r="N179" s="7">
        <v>21</v>
      </c>
      <c r="O179" s="7">
        <v>108.6</v>
      </c>
      <c r="P179" s="7">
        <f t="shared" si="33"/>
        <v>97.74</v>
      </c>
      <c r="Q179" s="7">
        <f t="shared" si="37"/>
        <v>0.19337016574585636</v>
      </c>
      <c r="R179" s="8">
        <v>76.599999999999994</v>
      </c>
      <c r="S179" s="8">
        <v>66.33</v>
      </c>
      <c r="T179" s="4" t="str">
        <f t="shared" si="34"/>
        <v>Slow</v>
      </c>
      <c r="U179" s="4" t="s">
        <v>10</v>
      </c>
      <c r="V179" s="4" t="s">
        <v>41</v>
      </c>
      <c r="W179" s="4">
        <v>0</v>
      </c>
      <c r="X179" s="4">
        <v>1000</v>
      </c>
      <c r="Y179" s="4">
        <v>390</v>
      </c>
      <c r="Z179" s="4">
        <v>25</v>
      </c>
      <c r="AA179" s="4" t="s">
        <v>385</v>
      </c>
      <c r="AB179" s="8" t="s">
        <v>37</v>
      </c>
      <c r="AC179" s="4" t="s">
        <v>37</v>
      </c>
      <c r="AD179" s="11" t="s">
        <v>37</v>
      </c>
      <c r="AE179" s="9" t="s">
        <v>183</v>
      </c>
      <c r="AF179" s="4" t="s">
        <v>720</v>
      </c>
    </row>
    <row r="180" spans="1:32" s="4" customFormat="1" x14ac:dyDescent="0.25">
      <c r="A180" s="4">
        <f t="shared" si="26"/>
        <v>108</v>
      </c>
      <c r="B180" s="5" t="s">
        <v>467</v>
      </c>
      <c r="C180" s="6" t="s">
        <v>156</v>
      </c>
      <c r="D180" s="4" t="s">
        <v>159</v>
      </c>
      <c r="E180" s="4" t="s">
        <v>183</v>
      </c>
      <c r="F180" s="4" t="s">
        <v>26</v>
      </c>
      <c r="G180" s="4" t="s">
        <v>9</v>
      </c>
      <c r="H180" s="4" t="s">
        <v>232</v>
      </c>
      <c r="I180" s="4" t="s">
        <v>353</v>
      </c>
      <c r="J180" s="7">
        <f t="shared" si="25"/>
        <v>81.92244675040962</v>
      </c>
      <c r="K180" s="4" t="str">
        <f t="shared" si="35"/>
        <v>More Conserved</v>
      </c>
      <c r="L180" s="7">
        <v>10.5</v>
      </c>
      <c r="M180" s="7">
        <f t="shared" si="36"/>
        <v>9.4500000000000011</v>
      </c>
      <c r="N180" s="7">
        <v>85</v>
      </c>
      <c r="O180" s="7">
        <v>128.16999999999999</v>
      </c>
      <c r="P180" s="7">
        <f t="shared" si="33"/>
        <v>115.35299999999999</v>
      </c>
      <c r="Q180" s="7">
        <f t="shared" si="37"/>
        <v>0.66318171178903029</v>
      </c>
      <c r="R180" s="8">
        <v>21.8</v>
      </c>
      <c r="S180" s="8">
        <v>3.95</v>
      </c>
      <c r="T180" s="4" t="str">
        <f t="shared" si="34"/>
        <v>Fast</v>
      </c>
      <c r="U180" s="4" t="s">
        <v>10</v>
      </c>
      <c r="V180" s="4" t="s">
        <v>41</v>
      </c>
      <c r="W180" s="4">
        <v>0</v>
      </c>
      <c r="X180" s="4">
        <v>1000</v>
      </c>
      <c r="Y180" s="4">
        <v>390</v>
      </c>
      <c r="Z180" s="4">
        <v>25</v>
      </c>
      <c r="AA180" s="4" t="s">
        <v>385</v>
      </c>
      <c r="AB180" s="8" t="s">
        <v>37</v>
      </c>
      <c r="AC180" s="4" t="s">
        <v>37</v>
      </c>
      <c r="AD180" s="11" t="s">
        <v>37</v>
      </c>
      <c r="AE180" s="9" t="s">
        <v>183</v>
      </c>
      <c r="AF180" s="4" t="s">
        <v>720</v>
      </c>
    </row>
    <row r="181" spans="1:32" s="4" customFormat="1" x14ac:dyDescent="0.25">
      <c r="A181" s="4">
        <f t="shared" si="26"/>
        <v>109</v>
      </c>
      <c r="B181" s="5" t="s">
        <v>467</v>
      </c>
      <c r="C181" s="6" t="s">
        <v>158</v>
      </c>
      <c r="D181" s="4" t="s">
        <v>161</v>
      </c>
      <c r="E181" s="4" t="s">
        <v>183</v>
      </c>
      <c r="F181" s="4" t="s">
        <v>26</v>
      </c>
      <c r="G181" s="4" t="s">
        <v>9</v>
      </c>
      <c r="H181" s="4" t="s">
        <v>232</v>
      </c>
      <c r="I181" s="4" t="s">
        <v>348</v>
      </c>
      <c r="J181" s="7">
        <f t="shared" si="25"/>
        <v>79.934412789506041</v>
      </c>
      <c r="K181" s="4" t="str">
        <f t="shared" si="35"/>
        <v>Conserved</v>
      </c>
      <c r="L181" s="7">
        <v>7.8</v>
      </c>
      <c r="M181" s="7">
        <f t="shared" si="36"/>
        <v>7.02</v>
      </c>
      <c r="N181" s="7">
        <v>4</v>
      </c>
      <c r="O181" s="7">
        <v>97.58</v>
      </c>
      <c r="P181" s="7">
        <f t="shared" si="33"/>
        <v>87.822000000000003</v>
      </c>
      <c r="Q181" s="7">
        <f t="shared" si="37"/>
        <v>4.0992006558721053E-2</v>
      </c>
      <c r="R181" s="8">
        <v>25.5</v>
      </c>
      <c r="S181" s="8">
        <v>54.5</v>
      </c>
      <c r="T181" s="4" t="str">
        <f t="shared" si="34"/>
        <v>Slow</v>
      </c>
      <c r="U181" s="4" t="s">
        <v>10</v>
      </c>
      <c r="V181" s="4" t="s">
        <v>51</v>
      </c>
      <c r="W181" s="4">
        <v>0</v>
      </c>
      <c r="X181" s="4">
        <v>1000</v>
      </c>
      <c r="Y181" s="4">
        <v>390</v>
      </c>
      <c r="Z181" s="4">
        <v>25</v>
      </c>
      <c r="AA181" s="4" t="s">
        <v>385</v>
      </c>
      <c r="AB181" s="8" t="s">
        <v>37</v>
      </c>
      <c r="AC181" s="4" t="s">
        <v>37</v>
      </c>
      <c r="AD181" s="11" t="s">
        <v>37</v>
      </c>
      <c r="AE181" s="9" t="s">
        <v>183</v>
      </c>
      <c r="AF181" s="4" t="s">
        <v>720</v>
      </c>
    </row>
    <row r="182" spans="1:32" s="4" customFormat="1" x14ac:dyDescent="0.25">
      <c r="A182" s="4">
        <f t="shared" si="26"/>
        <v>109</v>
      </c>
      <c r="B182" s="5" t="s">
        <v>467</v>
      </c>
      <c r="C182" s="6" t="s">
        <v>158</v>
      </c>
      <c r="D182" s="4" t="s">
        <v>161</v>
      </c>
      <c r="E182" s="4" t="s">
        <v>183</v>
      </c>
      <c r="F182" s="4" t="s">
        <v>26</v>
      </c>
      <c r="G182" s="4" t="s">
        <v>9</v>
      </c>
      <c r="H182" s="4" t="s">
        <v>232</v>
      </c>
      <c r="I182" s="4" t="s">
        <v>348</v>
      </c>
      <c r="J182" s="7">
        <f t="shared" si="25"/>
        <v>49.414000633512828</v>
      </c>
      <c r="K182" s="4" t="str">
        <f t="shared" si="35"/>
        <v>Less Conserved</v>
      </c>
      <c r="L182" s="7">
        <v>7.8</v>
      </c>
      <c r="M182" s="7">
        <f t="shared" si="36"/>
        <v>7.02</v>
      </c>
      <c r="N182" s="7">
        <v>37</v>
      </c>
      <c r="O182" s="7">
        <v>157.85</v>
      </c>
      <c r="P182" s="7">
        <f t="shared" si="33"/>
        <v>142.065</v>
      </c>
      <c r="Q182" s="7">
        <f t="shared" si="37"/>
        <v>0.23439974659486856</v>
      </c>
      <c r="R182" s="8">
        <v>26.1</v>
      </c>
      <c r="S182" s="8">
        <v>38.79</v>
      </c>
      <c r="T182" s="4" t="str">
        <f t="shared" si="34"/>
        <v>Intermediate</v>
      </c>
      <c r="U182" s="4" t="s">
        <v>10</v>
      </c>
      <c r="V182" s="4" t="s">
        <v>51</v>
      </c>
      <c r="W182" s="4">
        <v>0</v>
      </c>
      <c r="X182" s="4">
        <v>1000</v>
      </c>
      <c r="Y182" s="4">
        <v>390</v>
      </c>
      <c r="Z182" s="4">
        <v>25</v>
      </c>
      <c r="AA182" s="4" t="s">
        <v>385</v>
      </c>
      <c r="AB182" s="8" t="s">
        <v>37</v>
      </c>
      <c r="AC182" s="4" t="s">
        <v>37</v>
      </c>
      <c r="AD182" s="11" t="s">
        <v>37</v>
      </c>
      <c r="AE182" s="9" t="s">
        <v>183</v>
      </c>
      <c r="AF182" s="4" t="s">
        <v>720</v>
      </c>
    </row>
    <row r="183" spans="1:32" s="4" customFormat="1" x14ac:dyDescent="0.25">
      <c r="A183" s="4">
        <f t="shared" si="26"/>
        <v>110</v>
      </c>
      <c r="B183" s="5" t="s">
        <v>467</v>
      </c>
      <c r="C183" s="6" t="s">
        <v>101</v>
      </c>
      <c r="D183" s="4" t="s">
        <v>121</v>
      </c>
      <c r="E183" s="4" t="s">
        <v>182</v>
      </c>
      <c r="F183" s="4" t="s">
        <v>26</v>
      </c>
      <c r="G183" s="4" t="s">
        <v>9</v>
      </c>
      <c r="H183" s="4" t="s">
        <v>232</v>
      </c>
      <c r="I183" s="4" t="s">
        <v>344</v>
      </c>
      <c r="J183" s="7">
        <f t="shared" si="25"/>
        <v>47.666934835076432</v>
      </c>
      <c r="K183" s="4" t="str">
        <f t="shared" si="35"/>
        <v>Less Conserved</v>
      </c>
      <c r="L183" s="7">
        <v>23.7</v>
      </c>
      <c r="M183" s="7">
        <f t="shared" si="36"/>
        <v>21.33</v>
      </c>
      <c r="N183" s="7">
        <v>13</v>
      </c>
      <c r="O183" s="7">
        <v>497.2</v>
      </c>
      <c r="P183" s="7">
        <f t="shared" si="33"/>
        <v>447.48</v>
      </c>
      <c r="Q183" s="7">
        <f t="shared" si="37"/>
        <v>2.6146419951729685E-2</v>
      </c>
      <c r="R183" s="8">
        <v>42.5</v>
      </c>
      <c r="S183" s="8">
        <v>56.95</v>
      </c>
      <c r="T183" s="4" t="str">
        <f t="shared" si="34"/>
        <v>Slow</v>
      </c>
      <c r="U183" s="4" t="s">
        <v>10</v>
      </c>
      <c r="V183" s="4" t="s">
        <v>41</v>
      </c>
      <c r="W183" s="4">
        <v>0</v>
      </c>
      <c r="X183" s="4">
        <v>1000</v>
      </c>
      <c r="Y183" s="4">
        <v>390</v>
      </c>
      <c r="Z183" s="4">
        <v>25</v>
      </c>
      <c r="AA183" s="4" t="s">
        <v>385</v>
      </c>
      <c r="AB183" s="8">
        <v>700</v>
      </c>
      <c r="AC183" s="4" t="s">
        <v>155</v>
      </c>
      <c r="AD183" s="11">
        <v>0.4</v>
      </c>
      <c r="AE183" s="5" t="s">
        <v>182</v>
      </c>
      <c r="AF183" s="4" t="s">
        <v>720</v>
      </c>
    </row>
    <row r="184" spans="1:32" s="4" customFormat="1" x14ac:dyDescent="0.25">
      <c r="A184" s="4">
        <f t="shared" si="26"/>
        <v>110</v>
      </c>
      <c r="B184" s="5" t="s">
        <v>467</v>
      </c>
      <c r="C184" s="6" t="s">
        <v>101</v>
      </c>
      <c r="D184" s="4" t="s">
        <v>121</v>
      </c>
      <c r="E184" s="4" t="s">
        <v>182</v>
      </c>
      <c r="F184" s="4" t="s">
        <v>26</v>
      </c>
      <c r="G184" s="4" t="s">
        <v>9</v>
      </c>
      <c r="H184" s="4" t="s">
        <v>232</v>
      </c>
      <c r="I184" s="4" t="s">
        <v>344</v>
      </c>
      <c r="J184" s="7">
        <f t="shared" si="25"/>
        <v>48.505935325419564</v>
      </c>
      <c r="K184" s="4" t="str">
        <f t="shared" si="35"/>
        <v>Less Conserved</v>
      </c>
      <c r="L184" s="7">
        <v>23.7</v>
      </c>
      <c r="M184" s="7">
        <f t="shared" si="36"/>
        <v>21.33</v>
      </c>
      <c r="N184" s="7">
        <v>70</v>
      </c>
      <c r="O184" s="7">
        <v>488.6</v>
      </c>
      <c r="P184" s="7">
        <f t="shared" si="33"/>
        <v>439.74</v>
      </c>
      <c r="Q184" s="7">
        <f t="shared" si="37"/>
        <v>0.14326647564469913</v>
      </c>
      <c r="R184" s="8">
        <v>12</v>
      </c>
      <c r="S184" s="8">
        <v>34.450000000000003</v>
      </c>
      <c r="T184" s="4" t="str">
        <f t="shared" si="34"/>
        <v>Intermediate</v>
      </c>
      <c r="U184" s="4" t="s">
        <v>10</v>
      </c>
      <c r="V184" s="4" t="s">
        <v>41</v>
      </c>
      <c r="W184" s="4">
        <v>0</v>
      </c>
      <c r="X184" s="4">
        <v>1000</v>
      </c>
      <c r="Y184" s="4">
        <v>390</v>
      </c>
      <c r="Z184" s="4">
        <v>25</v>
      </c>
      <c r="AA184" s="4" t="s">
        <v>385</v>
      </c>
      <c r="AB184" s="8">
        <v>700</v>
      </c>
      <c r="AC184" s="4" t="s">
        <v>155</v>
      </c>
      <c r="AD184" s="11">
        <v>0.4</v>
      </c>
      <c r="AE184" s="5" t="s">
        <v>182</v>
      </c>
      <c r="AF184" s="4" t="s">
        <v>720</v>
      </c>
    </row>
    <row r="185" spans="1:32" s="4" customFormat="1" x14ac:dyDescent="0.25">
      <c r="A185" s="4">
        <f t="shared" si="26"/>
        <v>111</v>
      </c>
      <c r="B185" s="5" t="s">
        <v>626</v>
      </c>
      <c r="C185" s="6" t="s">
        <v>219</v>
      </c>
      <c r="D185" s="4" t="s">
        <v>214</v>
      </c>
      <c r="E185" s="4" t="s">
        <v>182</v>
      </c>
      <c r="F185" s="10" t="s">
        <v>272</v>
      </c>
      <c r="G185" s="4" t="s">
        <v>9</v>
      </c>
      <c r="H185" s="4" t="s">
        <v>232</v>
      </c>
      <c r="I185" s="4" t="s">
        <v>361</v>
      </c>
      <c r="J185" s="7">
        <f t="shared" si="25"/>
        <v>67.998480820357003</v>
      </c>
      <c r="K185" s="4" t="str">
        <f t="shared" si="35"/>
        <v>Less Conserved</v>
      </c>
      <c r="L185" s="7">
        <v>17.904</v>
      </c>
      <c r="M185" s="7">
        <f t="shared" si="36"/>
        <v>16.113600000000002</v>
      </c>
      <c r="N185" s="7">
        <v>263.3</v>
      </c>
      <c r="O185" s="7">
        <v>263.3</v>
      </c>
      <c r="P185" s="7">
        <f t="shared" si="33"/>
        <v>236.97000000000003</v>
      </c>
      <c r="Q185" s="7">
        <f t="shared" si="37"/>
        <v>1</v>
      </c>
      <c r="R185" s="8">
        <v>1.4259999999999999</v>
      </c>
      <c r="S185" s="8">
        <v>0</v>
      </c>
      <c r="T185" s="4" t="str">
        <f t="shared" si="34"/>
        <v>Fast</v>
      </c>
      <c r="U185" s="4" t="s">
        <v>10</v>
      </c>
      <c r="V185" s="4" t="s">
        <v>41</v>
      </c>
      <c r="W185" s="4">
        <v>100</v>
      </c>
      <c r="X185" s="4">
        <v>1500</v>
      </c>
      <c r="Y185" s="4">
        <v>400</v>
      </c>
      <c r="Z185" s="4">
        <v>25</v>
      </c>
      <c r="AA185" s="11">
        <v>0.6</v>
      </c>
      <c r="AB185" s="8">
        <v>1000</v>
      </c>
      <c r="AC185" s="4" t="s">
        <v>218</v>
      </c>
      <c r="AD185" s="11">
        <v>0.5</v>
      </c>
      <c r="AE185" s="4" t="s">
        <v>183</v>
      </c>
      <c r="AF185" s="4" t="s">
        <v>721</v>
      </c>
    </row>
    <row r="186" spans="1:32" s="4" customFormat="1" x14ac:dyDescent="0.25">
      <c r="A186" s="4">
        <f t="shared" si="26"/>
        <v>112</v>
      </c>
      <c r="B186" s="5" t="s">
        <v>626</v>
      </c>
      <c r="C186" s="6" t="s">
        <v>213</v>
      </c>
      <c r="D186" s="4" t="s">
        <v>214</v>
      </c>
      <c r="E186" s="4" t="s">
        <v>182</v>
      </c>
      <c r="F186" s="10" t="s">
        <v>277</v>
      </c>
      <c r="G186" s="4" t="s">
        <v>9</v>
      </c>
      <c r="H186" s="4" t="s">
        <v>232</v>
      </c>
      <c r="I186" s="4" t="s">
        <v>361</v>
      </c>
      <c r="J186" s="7">
        <f t="shared" si="25"/>
        <v>61.968114348543153</v>
      </c>
      <c r="K186" s="4" t="str">
        <f t="shared" si="35"/>
        <v>Less Conserved</v>
      </c>
      <c r="L186" s="7">
        <v>22.544</v>
      </c>
      <c r="M186" s="7">
        <f t="shared" si="36"/>
        <v>20.2896</v>
      </c>
      <c r="N186" s="7">
        <v>363.8</v>
      </c>
      <c r="O186" s="7">
        <v>363.8</v>
      </c>
      <c r="P186" s="7">
        <f t="shared" si="33"/>
        <v>327.42</v>
      </c>
      <c r="Q186" s="7">
        <f t="shared" si="37"/>
        <v>1</v>
      </c>
      <c r="R186" s="8">
        <v>1.573</v>
      </c>
      <c r="S186" s="8">
        <v>0</v>
      </c>
      <c r="T186" s="4" t="str">
        <f t="shared" si="34"/>
        <v>Fast</v>
      </c>
      <c r="U186" s="4" t="s">
        <v>10</v>
      </c>
      <c r="V186" s="4" t="s">
        <v>41</v>
      </c>
      <c r="W186" s="4">
        <v>100</v>
      </c>
      <c r="X186" s="4">
        <v>1500</v>
      </c>
      <c r="Y186" s="4">
        <v>400</v>
      </c>
      <c r="Z186" s="4">
        <v>25</v>
      </c>
      <c r="AA186" s="11">
        <v>0.6</v>
      </c>
      <c r="AB186" s="8">
        <v>1000</v>
      </c>
      <c r="AC186" s="4" t="s">
        <v>218</v>
      </c>
      <c r="AD186" s="11">
        <v>0.5</v>
      </c>
      <c r="AE186" s="4" t="s">
        <v>183</v>
      </c>
      <c r="AF186" s="4" t="s">
        <v>721</v>
      </c>
    </row>
    <row r="187" spans="1:32" s="4" customFormat="1" x14ac:dyDescent="0.25">
      <c r="A187" s="4">
        <f t="shared" si="26"/>
        <v>112</v>
      </c>
      <c r="B187" s="5" t="s">
        <v>626</v>
      </c>
      <c r="C187" s="6" t="s">
        <v>213</v>
      </c>
      <c r="D187" s="4" t="s">
        <v>214</v>
      </c>
      <c r="E187" s="4" t="s">
        <v>182</v>
      </c>
      <c r="F187" s="10" t="s">
        <v>276</v>
      </c>
      <c r="G187" s="4" t="s">
        <v>9</v>
      </c>
      <c r="H187" s="4" t="s">
        <v>232</v>
      </c>
      <c r="I187" s="4" t="s">
        <v>361</v>
      </c>
      <c r="J187" s="7">
        <f t="shared" si="25"/>
        <v>69.573838413731877</v>
      </c>
      <c r="K187" s="4" t="str">
        <f t="shared" si="35"/>
        <v>Less Conserved</v>
      </c>
      <c r="L187" s="7">
        <v>23.509</v>
      </c>
      <c r="M187" s="7">
        <f t="shared" si="36"/>
        <v>21.158100000000001</v>
      </c>
      <c r="N187" s="7">
        <v>337.9</v>
      </c>
      <c r="O187" s="7">
        <v>337.9</v>
      </c>
      <c r="P187" s="7">
        <f t="shared" si="33"/>
        <v>304.11</v>
      </c>
      <c r="Q187" s="7">
        <f t="shared" si="37"/>
        <v>1</v>
      </c>
      <c r="R187" s="8">
        <v>1.7869999999999999</v>
      </c>
      <c r="S187" s="8">
        <v>0</v>
      </c>
      <c r="T187" s="4" t="str">
        <f t="shared" si="34"/>
        <v>Fast</v>
      </c>
      <c r="U187" s="4" t="s">
        <v>10</v>
      </c>
      <c r="V187" s="4" t="s">
        <v>41</v>
      </c>
      <c r="W187" s="4">
        <v>100</v>
      </c>
      <c r="X187" s="4">
        <v>1500</v>
      </c>
      <c r="Y187" s="4">
        <v>400</v>
      </c>
      <c r="Z187" s="4">
        <v>25</v>
      </c>
      <c r="AA187" s="11">
        <v>0.6</v>
      </c>
      <c r="AB187" s="8">
        <v>1000</v>
      </c>
      <c r="AC187" s="4" t="s">
        <v>218</v>
      </c>
      <c r="AD187" s="11">
        <v>0.5</v>
      </c>
      <c r="AE187" s="4" t="s">
        <v>183</v>
      </c>
      <c r="AF187" s="4" t="s">
        <v>721</v>
      </c>
    </row>
    <row r="188" spans="1:32" s="4" customFormat="1" x14ac:dyDescent="0.25">
      <c r="A188" s="4">
        <f t="shared" si="26"/>
        <v>113</v>
      </c>
      <c r="B188" s="5" t="s">
        <v>468</v>
      </c>
      <c r="C188" s="6" t="s">
        <v>102</v>
      </c>
      <c r="D188" s="4" t="s">
        <v>414</v>
      </c>
      <c r="E188" s="4" t="s">
        <v>183</v>
      </c>
      <c r="F188" s="10" t="s">
        <v>26</v>
      </c>
      <c r="G188" s="4" t="s">
        <v>9</v>
      </c>
      <c r="H188" s="4" t="s">
        <v>232</v>
      </c>
      <c r="I188" s="4" t="s">
        <v>413</v>
      </c>
      <c r="J188" s="7">
        <f t="shared" si="25"/>
        <v>98.93461335830942</v>
      </c>
      <c r="K188" s="4" t="str">
        <f t="shared" si="35"/>
        <v>More Conserved</v>
      </c>
      <c r="L188" s="7">
        <v>16.901</v>
      </c>
      <c r="M188" s="7">
        <f t="shared" si="36"/>
        <v>15.210900000000001</v>
      </c>
      <c r="N188" s="7">
        <v>5</v>
      </c>
      <c r="O188" s="7">
        <v>170.83</v>
      </c>
      <c r="P188" s="7">
        <f t="shared" si="33"/>
        <v>153.74700000000001</v>
      </c>
      <c r="Q188" s="7">
        <f t="shared" si="37"/>
        <v>2.9268863782707953E-2</v>
      </c>
      <c r="R188" s="8">
        <f>61.66-15.39</f>
        <v>46.269999999999996</v>
      </c>
      <c r="S188" s="8">
        <f>65.61-14.56</f>
        <v>51.05</v>
      </c>
      <c r="T188" s="4" t="str">
        <f t="shared" si="34"/>
        <v>Slow</v>
      </c>
      <c r="U188" s="4" t="s">
        <v>10</v>
      </c>
      <c r="V188" s="4" t="s">
        <v>24</v>
      </c>
      <c r="W188" s="4">
        <v>0</v>
      </c>
      <c r="X188" s="4">
        <v>1500</v>
      </c>
      <c r="Y188" s="4">
        <v>400</v>
      </c>
      <c r="Z188" s="4">
        <v>25</v>
      </c>
      <c r="AA188" s="4" t="s">
        <v>418</v>
      </c>
      <c r="AB188" s="8" t="s">
        <v>37</v>
      </c>
      <c r="AC188" s="4" t="s">
        <v>37</v>
      </c>
      <c r="AD188" s="11" t="s">
        <v>37</v>
      </c>
      <c r="AE188" s="9" t="s">
        <v>183</v>
      </c>
      <c r="AF188" s="4" t="s">
        <v>162</v>
      </c>
    </row>
    <row r="189" spans="1:32" s="4" customFormat="1" x14ac:dyDescent="0.25">
      <c r="A189" s="4">
        <f t="shared" si="26"/>
        <v>114</v>
      </c>
      <c r="B189" s="5" t="s">
        <v>468</v>
      </c>
      <c r="C189" s="6" t="s">
        <v>96</v>
      </c>
      <c r="D189" s="4" t="s">
        <v>93</v>
      </c>
      <c r="E189" s="4" t="s">
        <v>183</v>
      </c>
      <c r="F189" s="10" t="s">
        <v>26</v>
      </c>
      <c r="G189" s="4" t="s">
        <v>9</v>
      </c>
      <c r="H189" s="4" t="s">
        <v>65</v>
      </c>
      <c r="I189" s="4" t="s">
        <v>343</v>
      </c>
      <c r="J189" s="7">
        <f t="shared" si="25"/>
        <v>117.13244228432565</v>
      </c>
      <c r="K189" s="4" t="str">
        <f t="shared" si="35"/>
        <v>More Conserved</v>
      </c>
      <c r="L189" s="7">
        <v>9.64</v>
      </c>
      <c r="M189" s="7">
        <f t="shared" si="36"/>
        <v>8.6760000000000002</v>
      </c>
      <c r="N189" s="7">
        <v>5.98</v>
      </c>
      <c r="O189" s="7">
        <v>82.3</v>
      </c>
      <c r="P189" s="7">
        <f t="shared" si="33"/>
        <v>74.069999999999993</v>
      </c>
      <c r="Q189" s="7">
        <f t="shared" si="37"/>
        <v>7.2660996354799529E-2</v>
      </c>
      <c r="R189" s="8">
        <f>77.68-14.98</f>
        <v>62.7</v>
      </c>
      <c r="S189" s="8">
        <f>83.45-15.71</f>
        <v>67.740000000000009</v>
      </c>
      <c r="T189" s="4" t="str">
        <f t="shared" si="34"/>
        <v>Slow</v>
      </c>
      <c r="U189" s="4" t="s">
        <v>10</v>
      </c>
      <c r="V189" s="4" t="s">
        <v>41</v>
      </c>
      <c r="W189" s="4">
        <v>0</v>
      </c>
      <c r="X189" s="4">
        <v>1500</v>
      </c>
      <c r="Y189" s="4">
        <v>400</v>
      </c>
      <c r="Z189" s="4">
        <v>25</v>
      </c>
      <c r="AA189" s="4" t="s">
        <v>418</v>
      </c>
      <c r="AB189" s="8" t="s">
        <v>37</v>
      </c>
      <c r="AC189" s="4" t="s">
        <v>37</v>
      </c>
      <c r="AD189" s="11" t="s">
        <v>37</v>
      </c>
      <c r="AE189" s="9" t="s">
        <v>183</v>
      </c>
      <c r="AF189" s="4" t="s">
        <v>98</v>
      </c>
    </row>
    <row r="190" spans="1:32" s="4" customFormat="1" x14ac:dyDescent="0.25">
      <c r="A190" s="4">
        <f t="shared" si="26"/>
        <v>115</v>
      </c>
      <c r="B190" s="5" t="s">
        <v>468</v>
      </c>
      <c r="C190" s="6" t="s">
        <v>76</v>
      </c>
      <c r="D190" s="4" t="s">
        <v>77</v>
      </c>
      <c r="E190" s="4" t="s">
        <v>182</v>
      </c>
      <c r="F190" s="10" t="s">
        <v>26</v>
      </c>
      <c r="G190" s="4" t="s">
        <v>9</v>
      </c>
      <c r="H190" s="4" t="s">
        <v>232</v>
      </c>
      <c r="I190" s="4" t="s">
        <v>415</v>
      </c>
      <c r="J190" s="7">
        <f t="shared" si="25"/>
        <v>90.323781168589505</v>
      </c>
      <c r="K190" s="4" t="str">
        <f t="shared" si="35"/>
        <v>More Conserved</v>
      </c>
      <c r="L190" s="7">
        <v>24.27</v>
      </c>
      <c r="M190" s="7">
        <f t="shared" si="36"/>
        <v>21.843</v>
      </c>
      <c r="N190" s="7">
        <v>31.3</v>
      </c>
      <c r="O190" s="7">
        <v>268.7</v>
      </c>
      <c r="P190" s="7">
        <f t="shared" si="33"/>
        <v>241.82999999999998</v>
      </c>
      <c r="Q190" s="7">
        <f t="shared" si="37"/>
        <v>0.1164867882396725</v>
      </c>
      <c r="R190" s="8">
        <f>119.33-10.21</f>
        <v>109.12</v>
      </c>
      <c r="S190" s="8">
        <f>145.4-10.75</f>
        <v>134.65</v>
      </c>
      <c r="T190" s="4" t="str">
        <f t="shared" si="34"/>
        <v>Slow</v>
      </c>
      <c r="U190" s="4" t="s">
        <v>10</v>
      </c>
      <c r="V190" s="4" t="s">
        <v>32</v>
      </c>
      <c r="W190" s="4">
        <v>0</v>
      </c>
      <c r="X190" s="4">
        <v>1500</v>
      </c>
      <c r="Y190" s="4">
        <v>400</v>
      </c>
      <c r="Z190" s="4">
        <v>25</v>
      </c>
      <c r="AA190" s="4" t="s">
        <v>418</v>
      </c>
      <c r="AB190" s="8" t="s">
        <v>37</v>
      </c>
      <c r="AC190" s="4" t="s">
        <v>37</v>
      </c>
      <c r="AD190" s="11" t="s">
        <v>37</v>
      </c>
      <c r="AE190" s="5" t="s">
        <v>182</v>
      </c>
      <c r="AF190" s="4" t="s">
        <v>722</v>
      </c>
    </row>
    <row r="191" spans="1:32" s="4" customFormat="1" x14ac:dyDescent="0.25">
      <c r="A191" s="4">
        <f t="shared" si="26"/>
        <v>116</v>
      </c>
      <c r="B191" s="5" t="s">
        <v>468</v>
      </c>
      <c r="C191" s="6" t="s">
        <v>101</v>
      </c>
      <c r="D191" s="4" t="s">
        <v>121</v>
      </c>
      <c r="E191" s="4" t="s">
        <v>182</v>
      </c>
      <c r="F191" s="4" t="s">
        <v>26</v>
      </c>
      <c r="G191" s="4" t="s">
        <v>9</v>
      </c>
      <c r="H191" s="4" t="s">
        <v>232</v>
      </c>
      <c r="I191" s="4" t="s">
        <v>344</v>
      </c>
      <c r="J191" s="7">
        <f t="shared" si="25"/>
        <v>64.491308064975769</v>
      </c>
      <c r="K191" s="4" t="str">
        <f>IF(J164&gt;=80, "More Conserved", IF(J164&gt;=70, "Conserved", "Less Conserved"))</f>
        <v>More Conserved</v>
      </c>
      <c r="L191" s="7">
        <v>45.26</v>
      </c>
      <c r="M191" s="7">
        <f t="shared" si="36"/>
        <v>40.734000000000002</v>
      </c>
      <c r="N191" s="7">
        <v>133.1</v>
      </c>
      <c r="O191" s="7">
        <v>701.8</v>
      </c>
      <c r="P191" s="7">
        <f t="shared" si="33"/>
        <v>631.62</v>
      </c>
      <c r="Q191" s="7">
        <f t="shared" si="37"/>
        <v>0.18965517241379309</v>
      </c>
      <c r="R191" s="8">
        <f>26.81-9.07</f>
        <v>17.739999999999998</v>
      </c>
      <c r="S191" s="8">
        <f>36.09-10.52</f>
        <v>25.570000000000004</v>
      </c>
      <c r="T191" s="4" t="str">
        <f t="shared" si="34"/>
        <v>Intermediate</v>
      </c>
      <c r="U191" s="4" t="s">
        <v>10</v>
      </c>
      <c r="V191" s="4" t="s">
        <v>41</v>
      </c>
      <c r="W191" s="4">
        <v>0</v>
      </c>
      <c r="X191" s="4">
        <v>1500</v>
      </c>
      <c r="Y191" s="4">
        <v>400</v>
      </c>
      <c r="Z191" s="4">
        <v>25</v>
      </c>
      <c r="AA191" s="4" t="s">
        <v>418</v>
      </c>
      <c r="AB191" s="8" t="s">
        <v>37</v>
      </c>
      <c r="AC191" s="4" t="s">
        <v>37</v>
      </c>
      <c r="AD191" s="11" t="s">
        <v>37</v>
      </c>
      <c r="AE191" s="5" t="s">
        <v>182</v>
      </c>
      <c r="AF191" s="4" t="s">
        <v>723</v>
      </c>
    </row>
    <row r="192" spans="1:32" s="4" customFormat="1" x14ac:dyDescent="0.25">
      <c r="A192" s="4">
        <f t="shared" si="26"/>
        <v>117</v>
      </c>
      <c r="B192" s="5" t="s">
        <v>468</v>
      </c>
      <c r="C192" s="6" t="s">
        <v>94</v>
      </c>
      <c r="D192" s="4" t="s">
        <v>95</v>
      </c>
      <c r="E192" s="4" t="s">
        <v>183</v>
      </c>
      <c r="F192" s="10" t="s">
        <v>26</v>
      </c>
      <c r="G192" s="4" t="s">
        <v>9</v>
      </c>
      <c r="H192" s="4" t="s">
        <v>232</v>
      </c>
      <c r="I192" s="4" t="s">
        <v>416</v>
      </c>
      <c r="J192" s="7">
        <f t="shared" si="25"/>
        <v>78.085471629924101</v>
      </c>
      <c r="K192" s="4" t="str">
        <f>IF(J193&gt;=80, "More Conserved", IF(J193&gt;=70, "Conserved", "Less Conserved"))</f>
        <v>Less Conserved</v>
      </c>
      <c r="L192" s="7">
        <v>17.285</v>
      </c>
      <c r="M192" s="7">
        <f t="shared" si="36"/>
        <v>15.5565</v>
      </c>
      <c r="N192" s="7">
        <v>19.079999999999998</v>
      </c>
      <c r="O192" s="7">
        <v>221.36</v>
      </c>
      <c r="P192" s="7">
        <f t="shared" si="33"/>
        <v>199.22400000000002</v>
      </c>
      <c r="Q192" s="7">
        <f t="shared" si="37"/>
        <v>8.6194434405493306E-2</v>
      </c>
      <c r="R192" s="8">
        <f>28.51-15.86</f>
        <v>12.650000000000002</v>
      </c>
      <c r="S192" s="8">
        <f>45.28-20.11</f>
        <v>25.17</v>
      </c>
      <c r="T192" s="4" t="str">
        <f t="shared" si="34"/>
        <v>Intermediate</v>
      </c>
      <c r="U192" s="4" t="s">
        <v>10</v>
      </c>
      <c r="V192" s="4" t="s">
        <v>41</v>
      </c>
      <c r="W192" s="4">
        <v>0</v>
      </c>
      <c r="X192" s="4">
        <v>1500</v>
      </c>
      <c r="Y192" s="4">
        <v>400</v>
      </c>
      <c r="Z192" s="4">
        <v>25</v>
      </c>
      <c r="AA192" s="4" t="s">
        <v>418</v>
      </c>
      <c r="AB192" s="8" t="s">
        <v>37</v>
      </c>
      <c r="AC192" s="4" t="s">
        <v>37</v>
      </c>
      <c r="AD192" s="11" t="s">
        <v>37</v>
      </c>
      <c r="AE192" s="9" t="s">
        <v>183</v>
      </c>
      <c r="AF192" s="4" t="s">
        <v>724</v>
      </c>
    </row>
    <row r="193" spans="1:32" s="4" customFormat="1" x14ac:dyDescent="0.25">
      <c r="A193" s="4">
        <f t="shared" si="26"/>
        <v>118</v>
      </c>
      <c r="B193" s="5" t="s">
        <v>468</v>
      </c>
      <c r="C193" s="6" t="s">
        <v>14</v>
      </c>
      <c r="D193" s="4" t="s">
        <v>13</v>
      </c>
      <c r="E193" s="4" t="s">
        <v>182</v>
      </c>
      <c r="F193" s="10" t="s">
        <v>268</v>
      </c>
      <c r="G193" s="4" t="s">
        <v>9</v>
      </c>
      <c r="H193" s="4" t="s">
        <v>233</v>
      </c>
      <c r="I193" s="4" t="s">
        <v>331</v>
      </c>
      <c r="J193" s="7">
        <f t="shared" si="25"/>
        <v>61.606756171502816</v>
      </c>
      <c r="K193" s="4" t="str">
        <f t="shared" ref="K193:K224" si="38">IF(J193&gt;=80, "More Conserved", IF(J193&gt;=70, "Conserved", "Less Conserved"))</f>
        <v>Less Conserved</v>
      </c>
      <c r="L193" s="7">
        <v>14.225</v>
      </c>
      <c r="M193" s="7">
        <f t="shared" si="36"/>
        <v>12.8025</v>
      </c>
      <c r="N193" s="7">
        <v>14</v>
      </c>
      <c r="O193" s="7">
        <v>230.9</v>
      </c>
      <c r="P193" s="7">
        <f t="shared" si="33"/>
        <v>207.81</v>
      </c>
      <c r="Q193" s="7">
        <f t="shared" si="37"/>
        <v>6.0632308358596794E-2</v>
      </c>
      <c r="R193" s="8">
        <f>57.17-9.5</f>
        <v>47.67</v>
      </c>
      <c r="S193" s="8">
        <f>60.94-9.28</f>
        <v>51.66</v>
      </c>
      <c r="T193" s="4" t="str">
        <f t="shared" si="34"/>
        <v>Slow</v>
      </c>
      <c r="U193" s="4" t="s">
        <v>10</v>
      </c>
      <c r="V193" s="4" t="s">
        <v>32</v>
      </c>
      <c r="W193" s="4">
        <v>0</v>
      </c>
      <c r="X193" s="4">
        <v>1500</v>
      </c>
      <c r="Y193" s="4">
        <v>400</v>
      </c>
      <c r="Z193" s="4">
        <v>25</v>
      </c>
      <c r="AA193" s="4" t="s">
        <v>418</v>
      </c>
      <c r="AB193" s="8">
        <v>350</v>
      </c>
      <c r="AC193" s="4" t="s">
        <v>103</v>
      </c>
      <c r="AD193" s="11">
        <v>0.5</v>
      </c>
      <c r="AE193" s="5" t="s">
        <v>182</v>
      </c>
      <c r="AF193" s="4" t="s">
        <v>723</v>
      </c>
    </row>
    <row r="194" spans="1:32" s="4" customFormat="1" x14ac:dyDescent="0.25">
      <c r="A194" s="4">
        <f t="shared" si="26"/>
        <v>119</v>
      </c>
      <c r="B194" s="5" t="s">
        <v>468</v>
      </c>
      <c r="C194" s="6" t="s">
        <v>99</v>
      </c>
      <c r="D194" s="4" t="s">
        <v>100</v>
      </c>
      <c r="E194" s="4" t="s">
        <v>183</v>
      </c>
      <c r="F194" s="10" t="s">
        <v>26</v>
      </c>
      <c r="G194" s="4" t="s">
        <v>9</v>
      </c>
      <c r="H194" s="4" t="s">
        <v>232</v>
      </c>
      <c r="I194" s="4" t="s">
        <v>350</v>
      </c>
      <c r="J194" s="7">
        <f t="shared" si="25"/>
        <v>46.366470384482156</v>
      </c>
      <c r="K194" s="4" t="str">
        <f t="shared" si="38"/>
        <v>Less Conserved</v>
      </c>
      <c r="L194" s="4">
        <v>13.385999999999999</v>
      </c>
      <c r="M194" s="7">
        <f t="shared" si="36"/>
        <v>12.0474</v>
      </c>
      <c r="N194" s="7">
        <v>29.3</v>
      </c>
      <c r="O194" s="7">
        <v>288.7</v>
      </c>
      <c r="P194" s="7">
        <f t="shared" si="33"/>
        <v>259.83</v>
      </c>
      <c r="Q194" s="7">
        <f t="shared" si="37"/>
        <v>0.10148943540006929</v>
      </c>
      <c r="R194" s="4">
        <f>94.37-14.14</f>
        <v>80.23</v>
      </c>
      <c r="S194" s="8">
        <f>111.07-14.03</f>
        <v>97.039999999999992</v>
      </c>
      <c r="T194" s="4" t="str">
        <f t="shared" si="34"/>
        <v>Slow</v>
      </c>
      <c r="U194" s="4" t="s">
        <v>10</v>
      </c>
      <c r="V194" s="4" t="s">
        <v>41</v>
      </c>
      <c r="W194" s="4">
        <v>0</v>
      </c>
      <c r="X194" s="4">
        <v>1500</v>
      </c>
      <c r="Y194" s="4">
        <v>400</v>
      </c>
      <c r="Z194" s="4">
        <v>25</v>
      </c>
      <c r="AA194" s="4" t="s">
        <v>418</v>
      </c>
      <c r="AB194" s="8" t="s">
        <v>37</v>
      </c>
      <c r="AC194" s="4" t="s">
        <v>37</v>
      </c>
      <c r="AD194" s="11" t="s">
        <v>37</v>
      </c>
      <c r="AE194" s="5" t="s">
        <v>182</v>
      </c>
      <c r="AF194" s="4" t="s">
        <v>725</v>
      </c>
    </row>
    <row r="195" spans="1:32" s="4" customFormat="1" x14ac:dyDescent="0.25">
      <c r="A195" s="4">
        <f t="shared" si="26"/>
        <v>120</v>
      </c>
      <c r="B195" s="5" t="s">
        <v>468</v>
      </c>
      <c r="C195" s="6" t="s">
        <v>91</v>
      </c>
      <c r="D195" s="4" t="s">
        <v>92</v>
      </c>
      <c r="E195" s="4" t="s">
        <v>183</v>
      </c>
      <c r="F195" s="10" t="s">
        <v>26</v>
      </c>
      <c r="G195" s="4" t="s">
        <v>9</v>
      </c>
      <c r="H195" s="4" t="s">
        <v>65</v>
      </c>
      <c r="I195" s="4" t="s">
        <v>417</v>
      </c>
      <c r="J195" s="7">
        <f t="shared" ref="J195:J258" si="39">L195/(O195/1000)</f>
        <v>90.383034686832161</v>
      </c>
      <c r="K195" s="4" t="str">
        <f t="shared" si="38"/>
        <v>More Conserved</v>
      </c>
      <c r="L195" s="7">
        <v>5.4980000000000002</v>
      </c>
      <c r="M195" s="7">
        <f t="shared" si="36"/>
        <v>4.9481999999999999</v>
      </c>
      <c r="N195" s="7">
        <v>19.3</v>
      </c>
      <c r="O195" s="7">
        <v>60.83</v>
      </c>
      <c r="P195" s="7">
        <f t="shared" si="33"/>
        <v>54.747</v>
      </c>
      <c r="Q195" s="7">
        <f t="shared" si="37"/>
        <v>0.31727765904981098</v>
      </c>
      <c r="R195" s="8">
        <f>23.99-9.76</f>
        <v>14.229999999999999</v>
      </c>
      <c r="S195" s="8">
        <f>27.84-9.73</f>
        <v>18.11</v>
      </c>
      <c r="T195" s="4" t="str">
        <f t="shared" si="34"/>
        <v>Fast</v>
      </c>
      <c r="U195" s="4" t="s">
        <v>10</v>
      </c>
      <c r="V195" s="4" t="s">
        <v>24</v>
      </c>
      <c r="W195" s="4">
        <v>0</v>
      </c>
      <c r="X195" s="4">
        <v>1500</v>
      </c>
      <c r="Y195" s="4">
        <v>400</v>
      </c>
      <c r="Z195" s="4">
        <v>25</v>
      </c>
      <c r="AA195" s="4" t="s">
        <v>418</v>
      </c>
      <c r="AB195" s="8" t="s">
        <v>37</v>
      </c>
      <c r="AC195" s="4" t="s">
        <v>37</v>
      </c>
      <c r="AD195" s="11" t="s">
        <v>37</v>
      </c>
      <c r="AE195" s="9" t="s">
        <v>183</v>
      </c>
      <c r="AF195" s="4" t="s">
        <v>97</v>
      </c>
    </row>
    <row r="196" spans="1:32" s="4" customFormat="1" x14ac:dyDescent="0.25">
      <c r="A196" s="4">
        <f t="shared" si="26"/>
        <v>121</v>
      </c>
      <c r="B196" s="5" t="s">
        <v>468</v>
      </c>
      <c r="C196" s="6" t="s">
        <v>89</v>
      </c>
      <c r="D196" s="4" t="s">
        <v>90</v>
      </c>
      <c r="E196" s="4" t="s">
        <v>183</v>
      </c>
      <c r="F196" s="10" t="s">
        <v>26</v>
      </c>
      <c r="G196" s="4" t="s">
        <v>8</v>
      </c>
      <c r="H196" s="4" t="s">
        <v>231</v>
      </c>
      <c r="I196" s="4" t="s">
        <v>334</v>
      </c>
      <c r="J196" s="7">
        <f t="shared" si="39"/>
        <v>156.7601916120833</v>
      </c>
      <c r="K196" s="4" t="str">
        <f t="shared" si="38"/>
        <v>More Conserved</v>
      </c>
      <c r="L196" s="7">
        <v>3.2069999999999999</v>
      </c>
      <c r="M196" s="7">
        <f t="shared" si="36"/>
        <v>2.8862999999999999</v>
      </c>
      <c r="N196" s="7">
        <v>6.0659999999999998</v>
      </c>
      <c r="O196" s="7">
        <v>20.457999999999998</v>
      </c>
      <c r="P196" s="7">
        <f t="shared" si="33"/>
        <v>18.412199999999999</v>
      </c>
      <c r="Q196" s="7">
        <f t="shared" si="37"/>
        <v>0.29650992276859911</v>
      </c>
      <c r="R196" s="8">
        <f>52.24-15.62</f>
        <v>36.620000000000005</v>
      </c>
      <c r="S196" s="8">
        <f>80.2-15.95</f>
        <v>64.25</v>
      </c>
      <c r="T196" s="4" t="str">
        <f t="shared" si="34"/>
        <v>Slow</v>
      </c>
      <c r="U196" s="4" t="s">
        <v>10</v>
      </c>
      <c r="V196" s="4" t="s">
        <v>24</v>
      </c>
      <c r="W196" s="4">
        <v>0</v>
      </c>
      <c r="X196" s="4">
        <v>1500</v>
      </c>
      <c r="Y196" s="4">
        <v>400</v>
      </c>
      <c r="Z196" s="4">
        <v>25</v>
      </c>
      <c r="AA196" s="4" t="s">
        <v>418</v>
      </c>
      <c r="AB196" s="8" t="s">
        <v>37</v>
      </c>
      <c r="AC196" s="4" t="s">
        <v>37</v>
      </c>
      <c r="AD196" s="11" t="s">
        <v>37</v>
      </c>
      <c r="AE196" s="9" t="s">
        <v>183</v>
      </c>
      <c r="AF196" s="4" t="s">
        <v>723</v>
      </c>
    </row>
    <row r="197" spans="1:32" s="4" customFormat="1" x14ac:dyDescent="0.25">
      <c r="A197" s="4">
        <f t="shared" ref="A197:A260" si="40">IF(C197=C196, A196, A196+1)</f>
        <v>122</v>
      </c>
      <c r="B197" s="5" t="s">
        <v>468</v>
      </c>
      <c r="C197" s="6" t="s">
        <v>87</v>
      </c>
      <c r="D197" s="4" t="s">
        <v>88</v>
      </c>
      <c r="E197" s="4" t="s">
        <v>183</v>
      </c>
      <c r="F197" s="10" t="s">
        <v>26</v>
      </c>
      <c r="G197" s="4" t="s">
        <v>8</v>
      </c>
      <c r="H197" s="4" t="s">
        <v>231</v>
      </c>
      <c r="I197" s="4" t="s">
        <v>337</v>
      </c>
      <c r="J197" s="7">
        <f t="shared" si="39"/>
        <v>136.73923610222823</v>
      </c>
      <c r="K197" s="4" t="str">
        <f t="shared" si="38"/>
        <v>More Conserved</v>
      </c>
      <c r="L197" s="7">
        <v>5.3449999999999998</v>
      </c>
      <c r="M197" s="7">
        <f t="shared" si="36"/>
        <v>4.8105000000000002</v>
      </c>
      <c r="N197" s="7">
        <v>24.417999999999999</v>
      </c>
      <c r="O197" s="7">
        <v>39.088999999999999</v>
      </c>
      <c r="P197" s="7">
        <f t="shared" si="33"/>
        <v>35.180100000000003</v>
      </c>
      <c r="Q197" s="7">
        <f t="shared" si="37"/>
        <v>0.62467701911023565</v>
      </c>
      <c r="R197" s="8">
        <f>14-8</f>
        <v>6</v>
      </c>
      <c r="S197" s="8">
        <f>20.4-7.71</f>
        <v>12.689999999999998</v>
      </c>
      <c r="T197" s="4" t="str">
        <f t="shared" si="34"/>
        <v>Fast</v>
      </c>
      <c r="U197" s="4" t="s">
        <v>10</v>
      </c>
      <c r="V197" s="4" t="s">
        <v>24</v>
      </c>
      <c r="W197" s="4">
        <v>0</v>
      </c>
      <c r="X197" s="4">
        <v>1500</v>
      </c>
      <c r="Y197" s="4">
        <v>400</v>
      </c>
      <c r="Z197" s="4">
        <v>25</v>
      </c>
      <c r="AA197" s="4" t="s">
        <v>418</v>
      </c>
      <c r="AB197" s="8" t="s">
        <v>37</v>
      </c>
      <c r="AC197" s="4" t="s">
        <v>37</v>
      </c>
      <c r="AD197" s="11" t="s">
        <v>37</v>
      </c>
      <c r="AE197" s="9" t="s">
        <v>183</v>
      </c>
      <c r="AF197" s="4" t="s">
        <v>723</v>
      </c>
    </row>
    <row r="198" spans="1:32" s="4" customFormat="1" x14ac:dyDescent="0.25">
      <c r="A198" s="4">
        <f t="shared" si="40"/>
        <v>123</v>
      </c>
      <c r="B198" s="5" t="s">
        <v>632</v>
      </c>
      <c r="C198" s="6" t="s">
        <v>14</v>
      </c>
      <c r="D198" s="4" t="s">
        <v>13</v>
      </c>
      <c r="E198" s="4" t="s">
        <v>182</v>
      </c>
      <c r="F198" s="10" t="s">
        <v>269</v>
      </c>
      <c r="G198" s="4" t="s">
        <v>9</v>
      </c>
      <c r="H198" s="4" t="s">
        <v>233</v>
      </c>
      <c r="I198" s="4" t="s">
        <v>331</v>
      </c>
      <c r="J198" s="7">
        <f t="shared" si="39"/>
        <v>29.248184536522849</v>
      </c>
      <c r="K198" s="4" t="str">
        <f t="shared" si="38"/>
        <v>Less Conserved</v>
      </c>
      <c r="L198" s="7">
        <v>34.234999999999999</v>
      </c>
      <c r="M198" s="7">
        <f t="shared" si="36"/>
        <v>30.811499999999999</v>
      </c>
      <c r="N198" s="7">
        <v>41.4</v>
      </c>
      <c r="O198" s="7">
        <v>1170.5</v>
      </c>
      <c r="P198" s="7">
        <f t="shared" si="33"/>
        <v>1053.45</v>
      </c>
      <c r="Q198" s="7">
        <f t="shared" si="37"/>
        <v>3.536950021358394E-2</v>
      </c>
      <c r="R198" s="8">
        <f>233/60</f>
        <v>3.8833333333333333</v>
      </c>
      <c r="S198" s="8">
        <f>287/60</f>
        <v>4.7833333333333332</v>
      </c>
      <c r="T198" s="4" t="str">
        <f t="shared" si="34"/>
        <v>Fast</v>
      </c>
      <c r="U198" s="4" t="s">
        <v>10</v>
      </c>
      <c r="V198" s="4" t="s">
        <v>32</v>
      </c>
      <c r="W198" s="4">
        <v>50</v>
      </c>
      <c r="X198" s="4">
        <v>1500</v>
      </c>
      <c r="Y198" s="4">
        <v>400</v>
      </c>
      <c r="Z198" s="4">
        <v>28</v>
      </c>
      <c r="AA198" s="11">
        <v>0.75</v>
      </c>
      <c r="AB198" s="8">
        <v>400</v>
      </c>
      <c r="AC198" s="4" t="s">
        <v>191</v>
      </c>
      <c r="AD198" s="11" t="s">
        <v>37</v>
      </c>
      <c r="AE198" s="5" t="s">
        <v>182</v>
      </c>
      <c r="AF198" s="4" t="s">
        <v>717</v>
      </c>
    </row>
    <row r="199" spans="1:32" s="4" customFormat="1" x14ac:dyDescent="0.25">
      <c r="A199" s="4">
        <f t="shared" si="40"/>
        <v>123</v>
      </c>
      <c r="B199" s="5" t="s">
        <v>632</v>
      </c>
      <c r="C199" s="6" t="s">
        <v>14</v>
      </c>
      <c r="D199" s="4" t="s">
        <v>13</v>
      </c>
      <c r="E199" s="4" t="s">
        <v>182</v>
      </c>
      <c r="F199" s="10" t="s">
        <v>633</v>
      </c>
      <c r="G199" s="4" t="s">
        <v>9</v>
      </c>
      <c r="H199" s="4" t="s">
        <v>233</v>
      </c>
      <c r="I199" s="4" t="s">
        <v>331</v>
      </c>
      <c r="J199" s="7">
        <f t="shared" si="39"/>
        <v>35.866740905716412</v>
      </c>
      <c r="K199" s="4" t="str">
        <f t="shared" si="38"/>
        <v>Less Conserved</v>
      </c>
      <c r="L199" s="7">
        <v>19.324999999999999</v>
      </c>
      <c r="M199" s="7">
        <f t="shared" si="36"/>
        <v>17.392499999999998</v>
      </c>
      <c r="N199" s="7">
        <v>16.8</v>
      </c>
      <c r="O199" s="7">
        <v>538.79999999999995</v>
      </c>
      <c r="P199" s="7">
        <f t="shared" si="33"/>
        <v>484.91999999999996</v>
      </c>
      <c r="Q199" s="7">
        <f t="shared" si="37"/>
        <v>3.1180400890868602E-2</v>
      </c>
      <c r="R199" s="8">
        <f>340/60</f>
        <v>5.666666666666667</v>
      </c>
      <c r="S199" s="8">
        <f>478/60</f>
        <v>7.9666666666666668</v>
      </c>
      <c r="T199" s="4" t="str">
        <f t="shared" si="34"/>
        <v>Fast</v>
      </c>
      <c r="U199" s="4" t="s">
        <v>10</v>
      </c>
      <c r="V199" s="4" t="s">
        <v>32</v>
      </c>
      <c r="W199" s="4">
        <v>50</v>
      </c>
      <c r="X199" s="4">
        <v>1500</v>
      </c>
      <c r="Y199" s="4">
        <v>400</v>
      </c>
      <c r="Z199" s="4">
        <v>28</v>
      </c>
      <c r="AA199" s="11">
        <v>0.75</v>
      </c>
      <c r="AB199" s="8">
        <v>400</v>
      </c>
      <c r="AC199" s="4" t="s">
        <v>191</v>
      </c>
      <c r="AD199" s="11" t="s">
        <v>37</v>
      </c>
      <c r="AE199" s="5" t="s">
        <v>182</v>
      </c>
      <c r="AF199" s="4" t="s">
        <v>717</v>
      </c>
    </row>
    <row r="200" spans="1:32" s="4" customFormat="1" x14ac:dyDescent="0.25">
      <c r="A200" s="4">
        <f t="shared" si="40"/>
        <v>123</v>
      </c>
      <c r="B200" s="5" t="s">
        <v>632</v>
      </c>
      <c r="C200" s="6" t="s">
        <v>14</v>
      </c>
      <c r="D200" s="4" t="s">
        <v>13</v>
      </c>
      <c r="E200" s="4" t="s">
        <v>182</v>
      </c>
      <c r="F200" s="10" t="s">
        <v>270</v>
      </c>
      <c r="G200" s="4" t="s">
        <v>9</v>
      </c>
      <c r="H200" s="4" t="s">
        <v>233</v>
      </c>
      <c r="I200" s="4" t="s">
        <v>331</v>
      </c>
      <c r="J200" s="7">
        <f t="shared" si="39"/>
        <v>35.020356234096688</v>
      </c>
      <c r="K200" s="4" t="str">
        <f t="shared" si="38"/>
        <v>Less Conserved</v>
      </c>
      <c r="L200" s="7">
        <v>27.526</v>
      </c>
      <c r="M200" s="7">
        <f t="shared" si="36"/>
        <v>24.773399999999999</v>
      </c>
      <c r="N200" s="7">
        <v>32.4</v>
      </c>
      <c r="O200" s="7">
        <v>786</v>
      </c>
      <c r="P200" s="7">
        <f t="shared" ref="P200:P231" si="41">O200*0.9</f>
        <v>707.4</v>
      </c>
      <c r="Q200" s="7">
        <f t="shared" si="37"/>
        <v>4.1221374045801527E-2</v>
      </c>
      <c r="R200" s="8">
        <f>296/60</f>
        <v>4.9333333333333336</v>
      </c>
      <c r="S200" s="8">
        <f>350/60</f>
        <v>5.833333333333333</v>
      </c>
      <c r="T200" s="4" t="str">
        <f t="shared" ref="T200:T202" si="42">IF(S200&gt;=45, "Slow", IF(S200&gt;=20, "Intermediate", "Fast"))</f>
        <v>Fast</v>
      </c>
      <c r="U200" s="4" t="s">
        <v>10</v>
      </c>
      <c r="V200" s="4" t="s">
        <v>32</v>
      </c>
      <c r="W200" s="4">
        <v>50</v>
      </c>
      <c r="X200" s="4">
        <v>1500</v>
      </c>
      <c r="Y200" s="4">
        <v>400</v>
      </c>
      <c r="Z200" s="4">
        <v>28</v>
      </c>
      <c r="AA200" s="11">
        <v>0.75</v>
      </c>
      <c r="AB200" s="8">
        <v>400</v>
      </c>
      <c r="AC200" s="4" t="s">
        <v>191</v>
      </c>
      <c r="AD200" s="11" t="s">
        <v>37</v>
      </c>
      <c r="AE200" s="5" t="s">
        <v>182</v>
      </c>
      <c r="AF200" s="4" t="s">
        <v>717</v>
      </c>
    </row>
    <row r="201" spans="1:32" s="4" customFormat="1" x14ac:dyDescent="0.25">
      <c r="A201" s="4">
        <f t="shared" si="40"/>
        <v>123</v>
      </c>
      <c r="B201" s="5" t="s">
        <v>630</v>
      </c>
      <c r="C201" s="6" t="s">
        <v>14</v>
      </c>
      <c r="D201" s="4" t="s">
        <v>13</v>
      </c>
      <c r="E201" s="4" t="s">
        <v>182</v>
      </c>
      <c r="F201" s="10" t="s">
        <v>631</v>
      </c>
      <c r="G201" s="4" t="s">
        <v>9</v>
      </c>
      <c r="H201" s="4" t="s">
        <v>233</v>
      </c>
      <c r="I201" s="4" t="s">
        <v>331</v>
      </c>
      <c r="J201" s="7">
        <f t="shared" si="39"/>
        <v>64.736963014013327</v>
      </c>
      <c r="K201" s="4" t="str">
        <f t="shared" si="38"/>
        <v>Less Conserved</v>
      </c>
      <c r="L201" s="7">
        <v>28.18</v>
      </c>
      <c r="M201" s="7">
        <f t="shared" si="36"/>
        <v>25.362000000000002</v>
      </c>
      <c r="N201" s="7">
        <v>20.6</v>
      </c>
      <c r="O201" s="7">
        <v>435.3</v>
      </c>
      <c r="P201" s="7">
        <f t="shared" si="41"/>
        <v>391.77000000000004</v>
      </c>
      <c r="Q201" s="7">
        <f t="shared" si="37"/>
        <v>4.7323684815070072E-2</v>
      </c>
      <c r="R201" s="8">
        <f>29.93-15</f>
        <v>14.93</v>
      </c>
      <c r="S201" s="8">
        <f>50.4-15</f>
        <v>35.4</v>
      </c>
      <c r="T201" s="4" t="str">
        <f t="shared" si="42"/>
        <v>Intermediate</v>
      </c>
      <c r="U201" s="4" t="s">
        <v>10</v>
      </c>
      <c r="V201" s="4" t="s">
        <v>32</v>
      </c>
      <c r="W201" s="4">
        <v>0</v>
      </c>
      <c r="X201" s="4">
        <v>1500</v>
      </c>
      <c r="Y201" s="4">
        <v>400</v>
      </c>
      <c r="Z201" s="4" t="s">
        <v>26</v>
      </c>
      <c r="AA201" s="11">
        <v>0.7</v>
      </c>
      <c r="AB201" s="8">
        <v>600</v>
      </c>
      <c r="AC201" s="4" t="s">
        <v>191</v>
      </c>
      <c r="AD201" s="11">
        <v>0.7</v>
      </c>
      <c r="AE201" s="5" t="s">
        <v>182</v>
      </c>
    </row>
    <row r="202" spans="1:32" s="4" customFormat="1" x14ac:dyDescent="0.25">
      <c r="A202" s="4">
        <f t="shared" si="40"/>
        <v>124</v>
      </c>
      <c r="B202" s="5" t="s">
        <v>469</v>
      </c>
      <c r="C202" s="6" t="s">
        <v>401</v>
      </c>
      <c r="D202" s="4" t="s">
        <v>403</v>
      </c>
      <c r="E202" s="4" t="s">
        <v>183</v>
      </c>
      <c r="F202" s="4" t="s">
        <v>26</v>
      </c>
      <c r="G202" s="4" t="s">
        <v>9</v>
      </c>
      <c r="H202" s="4" t="s">
        <v>232</v>
      </c>
      <c r="I202" s="4" t="s">
        <v>404</v>
      </c>
      <c r="J202" s="7">
        <f t="shared" si="39"/>
        <v>56.664006384676775</v>
      </c>
      <c r="K202" s="4" t="str">
        <f t="shared" si="38"/>
        <v>Less Conserved</v>
      </c>
      <c r="L202" s="7">
        <v>7.1</v>
      </c>
      <c r="M202" s="7">
        <f t="shared" si="36"/>
        <v>6.39</v>
      </c>
      <c r="N202" s="7">
        <v>7.5</v>
      </c>
      <c r="O202" s="7">
        <v>125.3</v>
      </c>
      <c r="P202" s="7">
        <f t="shared" si="41"/>
        <v>112.77</v>
      </c>
      <c r="Q202" s="7">
        <f t="shared" si="37"/>
        <v>5.9856344772545894E-2</v>
      </c>
      <c r="R202" s="8">
        <v>13.8</v>
      </c>
      <c r="S202" s="8">
        <v>17.741</v>
      </c>
      <c r="T202" s="4" t="str">
        <f t="shared" si="42"/>
        <v>Fast</v>
      </c>
      <c r="U202" s="4" t="s">
        <v>10</v>
      </c>
      <c r="V202" s="4" t="s">
        <v>24</v>
      </c>
      <c r="W202" s="4">
        <v>20</v>
      </c>
      <c r="X202" s="4">
        <v>523</v>
      </c>
      <c r="Y202" s="4">
        <v>380</v>
      </c>
      <c r="Z202" s="4" t="s">
        <v>26</v>
      </c>
      <c r="AA202" s="11">
        <v>0.8</v>
      </c>
      <c r="AB202" s="8" t="s">
        <v>37</v>
      </c>
      <c r="AC202" s="4" t="s">
        <v>37</v>
      </c>
      <c r="AD202" s="4" t="s">
        <v>37</v>
      </c>
      <c r="AE202" s="9" t="s">
        <v>183</v>
      </c>
      <c r="AF202" s="4" t="s">
        <v>726</v>
      </c>
    </row>
    <row r="203" spans="1:32" s="4" customFormat="1" x14ac:dyDescent="0.25">
      <c r="A203" s="4">
        <f t="shared" si="40"/>
        <v>125</v>
      </c>
      <c r="B203" s="5" t="s">
        <v>469</v>
      </c>
      <c r="C203" s="6" t="s">
        <v>405</v>
      </c>
      <c r="D203" s="4" t="s">
        <v>406</v>
      </c>
      <c r="E203" s="4" t="s">
        <v>183</v>
      </c>
      <c r="F203" s="4" t="s">
        <v>26</v>
      </c>
      <c r="G203" s="4" t="s">
        <v>9</v>
      </c>
      <c r="H203" s="4" t="s">
        <v>232</v>
      </c>
      <c r="I203" s="4" t="s">
        <v>404</v>
      </c>
      <c r="J203" s="7">
        <f t="shared" si="39"/>
        <v>35.237388724035604</v>
      </c>
      <c r="K203" s="4" t="str">
        <f t="shared" si="38"/>
        <v>Less Conserved</v>
      </c>
      <c r="L203" s="7">
        <v>9.5</v>
      </c>
      <c r="M203" s="7">
        <f t="shared" si="36"/>
        <v>8.5500000000000007</v>
      </c>
      <c r="N203" s="7">
        <v>181.2</v>
      </c>
      <c r="O203" s="7">
        <v>269.60000000000002</v>
      </c>
      <c r="P203" s="7">
        <f t="shared" si="41"/>
        <v>242.64000000000001</v>
      </c>
      <c r="Q203" s="7">
        <f t="shared" si="37"/>
        <v>0.67210682492581597</v>
      </c>
      <c r="R203" s="8">
        <v>5.2</v>
      </c>
      <c r="S203" s="8" t="s">
        <v>26</v>
      </c>
      <c r="T203" s="4" t="s">
        <v>26</v>
      </c>
      <c r="U203" s="4" t="s">
        <v>10</v>
      </c>
      <c r="V203" s="4" t="s">
        <v>24</v>
      </c>
      <c r="W203" s="4">
        <v>20</v>
      </c>
      <c r="X203" s="4">
        <v>680</v>
      </c>
      <c r="Y203" s="4">
        <v>380</v>
      </c>
      <c r="Z203" s="4" t="s">
        <v>26</v>
      </c>
      <c r="AA203" s="11">
        <v>0.8</v>
      </c>
      <c r="AB203" s="8" t="s">
        <v>37</v>
      </c>
      <c r="AC203" s="4" t="s">
        <v>37</v>
      </c>
      <c r="AD203" s="4" t="s">
        <v>37</v>
      </c>
      <c r="AE203" s="9" t="s">
        <v>183</v>
      </c>
      <c r="AF203" s="4" t="s">
        <v>727</v>
      </c>
    </row>
    <row r="204" spans="1:32" s="4" customFormat="1" x14ac:dyDescent="0.25">
      <c r="A204" s="4">
        <f t="shared" si="40"/>
        <v>126</v>
      </c>
      <c r="B204" s="5" t="s">
        <v>469</v>
      </c>
      <c r="C204" s="6" t="s">
        <v>399</v>
      </c>
      <c r="D204" s="4" t="s">
        <v>26</v>
      </c>
      <c r="E204" s="4" t="s">
        <v>183</v>
      </c>
      <c r="F204" s="4" t="s">
        <v>26</v>
      </c>
      <c r="G204" s="4" t="s">
        <v>9</v>
      </c>
      <c r="H204" s="4" t="s">
        <v>232</v>
      </c>
      <c r="I204" s="4" t="s">
        <v>404</v>
      </c>
      <c r="J204" s="7">
        <f t="shared" si="39"/>
        <v>121.80451127819548</v>
      </c>
      <c r="K204" s="4" t="str">
        <f t="shared" si="38"/>
        <v>More Conserved</v>
      </c>
      <c r="L204" s="7">
        <v>8.1</v>
      </c>
      <c r="M204" s="7">
        <f t="shared" si="36"/>
        <v>7.29</v>
      </c>
      <c r="N204" s="7">
        <v>5.9</v>
      </c>
      <c r="O204" s="7">
        <v>66.5</v>
      </c>
      <c r="P204" s="7">
        <f t="shared" si="41"/>
        <v>59.85</v>
      </c>
      <c r="Q204" s="7">
        <f t="shared" si="37"/>
        <v>8.8721804511278202E-2</v>
      </c>
      <c r="R204" s="8">
        <v>13.1</v>
      </c>
      <c r="S204" s="8" t="s">
        <v>26</v>
      </c>
      <c r="T204" s="4" t="s">
        <v>26</v>
      </c>
      <c r="U204" s="4" t="s">
        <v>10</v>
      </c>
      <c r="V204" s="4" t="s">
        <v>24</v>
      </c>
      <c r="W204" s="4">
        <v>20</v>
      </c>
      <c r="X204" s="4">
        <v>523</v>
      </c>
      <c r="Y204" s="4">
        <v>380</v>
      </c>
      <c r="Z204" s="4" t="s">
        <v>26</v>
      </c>
      <c r="AA204" s="11">
        <v>0.8</v>
      </c>
      <c r="AB204" s="8" t="s">
        <v>37</v>
      </c>
      <c r="AC204" s="4" t="s">
        <v>37</v>
      </c>
      <c r="AD204" s="4" t="s">
        <v>37</v>
      </c>
      <c r="AE204" s="9" t="s">
        <v>183</v>
      </c>
      <c r="AF204" s="4" t="s">
        <v>726</v>
      </c>
    </row>
    <row r="205" spans="1:32" s="4" customFormat="1" x14ac:dyDescent="0.25">
      <c r="A205" s="4">
        <f t="shared" si="40"/>
        <v>127</v>
      </c>
      <c r="B205" s="5" t="s">
        <v>469</v>
      </c>
      <c r="C205" s="6" t="s">
        <v>400</v>
      </c>
      <c r="D205" s="4" t="s">
        <v>402</v>
      </c>
      <c r="E205" s="4" t="s">
        <v>183</v>
      </c>
      <c r="F205" s="4" t="s">
        <v>26</v>
      </c>
      <c r="G205" s="4" t="s">
        <v>9</v>
      </c>
      <c r="H205" s="4" t="s">
        <v>232</v>
      </c>
      <c r="I205" s="4" t="s">
        <v>404</v>
      </c>
      <c r="J205" s="7">
        <f t="shared" si="39"/>
        <v>52.364864864864863</v>
      </c>
      <c r="K205" s="4" t="str">
        <f t="shared" si="38"/>
        <v>Less Conserved</v>
      </c>
      <c r="L205" s="7">
        <v>6.2</v>
      </c>
      <c r="M205" s="7">
        <f t="shared" si="36"/>
        <v>5.58</v>
      </c>
      <c r="N205" s="7">
        <v>20.8</v>
      </c>
      <c r="O205" s="7">
        <v>118.4</v>
      </c>
      <c r="P205" s="7">
        <f t="shared" si="41"/>
        <v>106.56</v>
      </c>
      <c r="Q205" s="7">
        <f t="shared" si="37"/>
        <v>0.17567567567567569</v>
      </c>
      <c r="R205" s="8">
        <v>20.399999999999999</v>
      </c>
      <c r="S205" s="8" t="s">
        <v>26</v>
      </c>
      <c r="T205" s="4" t="s">
        <v>26</v>
      </c>
      <c r="U205" s="4" t="s">
        <v>10</v>
      </c>
      <c r="V205" s="4" t="s">
        <v>24</v>
      </c>
      <c r="W205" s="4">
        <v>20</v>
      </c>
      <c r="X205" s="4">
        <v>523</v>
      </c>
      <c r="Y205" s="4">
        <v>380</v>
      </c>
      <c r="Z205" s="4" t="s">
        <v>26</v>
      </c>
      <c r="AA205" s="11">
        <v>0.8</v>
      </c>
      <c r="AB205" s="8" t="s">
        <v>37</v>
      </c>
      <c r="AC205" s="4" t="s">
        <v>37</v>
      </c>
      <c r="AD205" s="4" t="s">
        <v>37</v>
      </c>
      <c r="AE205" s="9" t="s">
        <v>183</v>
      </c>
      <c r="AF205" s="4" t="s">
        <v>726</v>
      </c>
    </row>
    <row r="206" spans="1:32" s="4" customFormat="1" ht="14.25" customHeight="1" x14ac:dyDescent="0.25">
      <c r="A206" s="4">
        <f t="shared" si="40"/>
        <v>128</v>
      </c>
      <c r="B206" s="5" t="s">
        <v>469</v>
      </c>
      <c r="C206" s="6" t="s">
        <v>408</v>
      </c>
      <c r="D206" s="4" t="s">
        <v>26</v>
      </c>
      <c r="E206" s="4" t="s">
        <v>183</v>
      </c>
      <c r="F206" s="4" t="s">
        <v>26</v>
      </c>
      <c r="G206" s="4" t="s">
        <v>9</v>
      </c>
      <c r="H206" s="4" t="s">
        <v>232</v>
      </c>
      <c r="I206" s="4" t="s">
        <v>404</v>
      </c>
      <c r="J206" s="7">
        <f t="shared" si="39"/>
        <v>57.93602896801449</v>
      </c>
      <c r="K206" s="4" t="str">
        <f t="shared" si="38"/>
        <v>Less Conserved</v>
      </c>
      <c r="L206" s="7">
        <v>9.6</v>
      </c>
      <c r="M206" s="7">
        <f t="shared" si="36"/>
        <v>8.64</v>
      </c>
      <c r="N206" s="7">
        <v>105.6</v>
      </c>
      <c r="O206" s="7">
        <v>165.7</v>
      </c>
      <c r="P206" s="7">
        <f t="shared" si="41"/>
        <v>149.13</v>
      </c>
      <c r="Q206" s="7">
        <f t="shared" si="37"/>
        <v>0.63729631864815939</v>
      </c>
      <c r="R206" s="8">
        <v>7.8</v>
      </c>
      <c r="S206" s="8" t="s">
        <v>26</v>
      </c>
      <c r="T206" s="4" t="s">
        <v>26</v>
      </c>
      <c r="U206" s="4" t="s">
        <v>10</v>
      </c>
      <c r="V206" s="4" t="s">
        <v>24</v>
      </c>
      <c r="W206" s="4">
        <v>20</v>
      </c>
      <c r="X206" s="4">
        <v>680</v>
      </c>
      <c r="Y206" s="4">
        <v>380</v>
      </c>
      <c r="Z206" s="4" t="s">
        <v>26</v>
      </c>
      <c r="AA206" s="11">
        <v>0.8</v>
      </c>
      <c r="AB206" s="8" t="s">
        <v>37</v>
      </c>
      <c r="AC206" s="4" t="s">
        <v>37</v>
      </c>
      <c r="AD206" s="4" t="s">
        <v>37</v>
      </c>
      <c r="AE206" s="9" t="s">
        <v>183</v>
      </c>
      <c r="AF206" s="4" t="s">
        <v>727</v>
      </c>
    </row>
    <row r="207" spans="1:32" s="4" customFormat="1" x14ac:dyDescent="0.25">
      <c r="A207" s="4">
        <f t="shared" si="40"/>
        <v>129</v>
      </c>
      <c r="B207" s="5" t="s">
        <v>469</v>
      </c>
      <c r="C207" s="6" t="s">
        <v>407</v>
      </c>
      <c r="D207" s="4" t="s">
        <v>406</v>
      </c>
      <c r="E207" s="4" t="s">
        <v>183</v>
      </c>
      <c r="F207" s="4" t="s">
        <v>26</v>
      </c>
      <c r="G207" s="4" t="s">
        <v>9</v>
      </c>
      <c r="H207" s="4" t="s">
        <v>232</v>
      </c>
      <c r="I207" s="4" t="s">
        <v>404</v>
      </c>
      <c r="J207" s="7">
        <f t="shared" si="39"/>
        <v>44.853635505193573</v>
      </c>
      <c r="K207" s="4" t="str">
        <f t="shared" si="38"/>
        <v>Less Conserved</v>
      </c>
      <c r="L207" s="7">
        <v>9.5</v>
      </c>
      <c r="M207" s="7">
        <f t="shared" si="36"/>
        <v>8.5500000000000007</v>
      </c>
      <c r="N207" s="7">
        <v>142.69999999999999</v>
      </c>
      <c r="O207" s="7">
        <v>211.8</v>
      </c>
      <c r="P207" s="7">
        <f t="shared" si="41"/>
        <v>190.62</v>
      </c>
      <c r="Q207" s="7">
        <f t="shared" si="37"/>
        <v>0.67374881964117084</v>
      </c>
      <c r="R207" s="8">
        <v>7.6</v>
      </c>
      <c r="S207" s="8">
        <v>12.818</v>
      </c>
      <c r="T207" s="4" t="str">
        <f>IF(S207&gt;=45, "Slow", IF(S207&gt;=20, "Intermediate", "Fast"))</f>
        <v>Fast</v>
      </c>
      <c r="U207" s="4" t="s">
        <v>10</v>
      </c>
      <c r="V207" s="4" t="s">
        <v>24</v>
      </c>
      <c r="W207" s="4">
        <v>20</v>
      </c>
      <c r="X207" s="4">
        <v>680</v>
      </c>
      <c r="Y207" s="4">
        <v>380</v>
      </c>
      <c r="Z207" s="4" t="s">
        <v>26</v>
      </c>
      <c r="AA207" s="11">
        <v>0.8</v>
      </c>
      <c r="AB207" s="8" t="s">
        <v>37</v>
      </c>
      <c r="AC207" s="4" t="s">
        <v>37</v>
      </c>
      <c r="AD207" s="4" t="s">
        <v>37</v>
      </c>
      <c r="AE207" s="9" t="s">
        <v>183</v>
      </c>
      <c r="AF207" s="4" t="s">
        <v>728</v>
      </c>
    </row>
    <row r="208" spans="1:32" s="4" customFormat="1" x14ac:dyDescent="0.25">
      <c r="A208" s="4">
        <f t="shared" si="40"/>
        <v>130</v>
      </c>
      <c r="B208" s="5" t="s">
        <v>469</v>
      </c>
      <c r="C208" s="6" t="s">
        <v>395</v>
      </c>
      <c r="D208" s="4" t="s">
        <v>26</v>
      </c>
      <c r="E208" s="4" t="s">
        <v>183</v>
      </c>
      <c r="F208" s="4" t="s">
        <v>26</v>
      </c>
      <c r="G208" s="4" t="s">
        <v>8</v>
      </c>
      <c r="H208" s="4" t="s">
        <v>231</v>
      </c>
      <c r="I208" s="4" t="s">
        <v>333</v>
      </c>
      <c r="J208" s="7">
        <f t="shared" si="39"/>
        <v>44.619422572178472</v>
      </c>
      <c r="K208" s="4" t="str">
        <f t="shared" si="38"/>
        <v>Less Conserved</v>
      </c>
      <c r="L208" s="7">
        <v>3.4</v>
      </c>
      <c r="M208" s="7">
        <f t="shared" si="36"/>
        <v>3.06</v>
      </c>
      <c r="N208" s="7">
        <v>62.2</v>
      </c>
      <c r="O208" s="7">
        <v>76.2</v>
      </c>
      <c r="P208" s="7">
        <f t="shared" si="41"/>
        <v>68.58</v>
      </c>
      <c r="Q208" s="7">
        <f t="shared" si="37"/>
        <v>0.81627296587926512</v>
      </c>
      <c r="R208" s="8">
        <v>5.9</v>
      </c>
      <c r="S208" s="8">
        <v>23.123999999999999</v>
      </c>
      <c r="T208" s="4" t="str">
        <f>IF(S208&gt;=45, "Slow", IF(S208&gt;=20, "Intermediate", "Fast"))</f>
        <v>Intermediate</v>
      </c>
      <c r="U208" s="4" t="s">
        <v>10</v>
      </c>
      <c r="V208" s="4" t="s">
        <v>24</v>
      </c>
      <c r="W208" s="4">
        <v>20</v>
      </c>
      <c r="X208" s="4">
        <v>277</v>
      </c>
      <c r="Y208" s="4">
        <v>380</v>
      </c>
      <c r="Z208" s="4" t="s">
        <v>26</v>
      </c>
      <c r="AA208" s="11">
        <v>0.8</v>
      </c>
      <c r="AB208" s="8" t="s">
        <v>37</v>
      </c>
      <c r="AC208" s="4" t="s">
        <v>37</v>
      </c>
      <c r="AD208" s="4" t="s">
        <v>37</v>
      </c>
      <c r="AE208" s="9" t="s">
        <v>183</v>
      </c>
      <c r="AF208" s="4" t="s">
        <v>729</v>
      </c>
    </row>
    <row r="209" spans="1:32" s="4" customFormat="1" x14ac:dyDescent="0.25">
      <c r="A209" s="4">
        <f t="shared" si="40"/>
        <v>131</v>
      </c>
      <c r="B209" s="5" t="s">
        <v>469</v>
      </c>
      <c r="C209" s="6" t="s">
        <v>391</v>
      </c>
      <c r="D209" s="4" t="s">
        <v>390</v>
      </c>
      <c r="E209" s="4" t="s">
        <v>183</v>
      </c>
      <c r="F209" s="4" t="s">
        <v>26</v>
      </c>
      <c r="G209" s="4" t="s">
        <v>8</v>
      </c>
      <c r="H209" s="4" t="s">
        <v>231</v>
      </c>
      <c r="I209" s="4" t="s">
        <v>333</v>
      </c>
      <c r="J209" s="7">
        <f t="shared" si="39"/>
        <v>102.99003322259136</v>
      </c>
      <c r="K209" s="4" t="str">
        <f t="shared" si="38"/>
        <v>More Conserved</v>
      </c>
      <c r="L209" s="7">
        <v>3.1</v>
      </c>
      <c r="M209" s="7">
        <f t="shared" ref="M209:M240" si="43">L209*0.9</f>
        <v>2.79</v>
      </c>
      <c r="N209" s="7">
        <v>6.8</v>
      </c>
      <c r="O209" s="7">
        <v>30.1</v>
      </c>
      <c r="P209" s="7">
        <f t="shared" si="41"/>
        <v>27.090000000000003</v>
      </c>
      <c r="Q209" s="7">
        <f t="shared" ref="Q209:Q240" si="44">N209/O209</f>
        <v>0.22591362126245845</v>
      </c>
      <c r="R209" s="8">
        <v>26.3</v>
      </c>
      <c r="S209" s="8">
        <v>27.917000000000002</v>
      </c>
      <c r="T209" s="4" t="str">
        <f>IF(S209&gt;=45, "Slow", IF(S209&gt;=20, "Intermediate", "Fast"))</f>
        <v>Intermediate</v>
      </c>
      <c r="U209" s="4" t="s">
        <v>10</v>
      </c>
      <c r="V209" s="4" t="s">
        <v>24</v>
      </c>
      <c r="W209" s="4">
        <v>20</v>
      </c>
      <c r="X209" s="4">
        <v>328</v>
      </c>
      <c r="Y209" s="4">
        <v>380</v>
      </c>
      <c r="Z209" s="11" t="s">
        <v>26</v>
      </c>
      <c r="AA209" s="11">
        <v>0.8</v>
      </c>
      <c r="AB209" s="8" t="s">
        <v>37</v>
      </c>
      <c r="AC209" s="4" t="s">
        <v>37</v>
      </c>
      <c r="AD209" s="4" t="s">
        <v>37</v>
      </c>
      <c r="AE209" s="9" t="s">
        <v>183</v>
      </c>
      <c r="AF209" s="4" t="s">
        <v>730</v>
      </c>
    </row>
    <row r="210" spans="1:32" s="4" customFormat="1" x14ac:dyDescent="0.25">
      <c r="A210" s="4">
        <f t="shared" si="40"/>
        <v>132</v>
      </c>
      <c r="B210" s="5" t="s">
        <v>469</v>
      </c>
      <c r="C210" s="6" t="s">
        <v>392</v>
      </c>
      <c r="D210" s="4" t="s">
        <v>393</v>
      </c>
      <c r="E210" s="4" t="s">
        <v>183</v>
      </c>
      <c r="F210" s="4" t="s">
        <v>26</v>
      </c>
      <c r="G210" s="4" t="s">
        <v>8</v>
      </c>
      <c r="H210" s="4" t="s">
        <v>231</v>
      </c>
      <c r="I210" s="4" t="s">
        <v>337</v>
      </c>
      <c r="J210" s="7">
        <f t="shared" si="39"/>
        <v>69.808027923211171</v>
      </c>
      <c r="K210" s="4" t="str">
        <f t="shared" si="38"/>
        <v>Less Conserved</v>
      </c>
      <c r="L210" s="7">
        <v>4</v>
      </c>
      <c r="M210" s="7">
        <f t="shared" si="43"/>
        <v>3.6</v>
      </c>
      <c r="N210" s="7">
        <v>33.5</v>
      </c>
      <c r="O210" s="7">
        <v>57.3</v>
      </c>
      <c r="P210" s="7">
        <f t="shared" si="41"/>
        <v>51.57</v>
      </c>
      <c r="Q210" s="7">
        <f t="shared" si="44"/>
        <v>0.58464223385689362</v>
      </c>
      <c r="R210" s="8">
        <v>19.899999999999999</v>
      </c>
      <c r="S210" s="8" t="s">
        <v>26</v>
      </c>
      <c r="T210" s="4" t="s">
        <v>26</v>
      </c>
      <c r="U210" s="4" t="s">
        <v>10</v>
      </c>
      <c r="V210" s="4" t="s">
        <v>24</v>
      </c>
      <c r="W210" s="4">
        <v>20</v>
      </c>
      <c r="X210" s="4">
        <v>328</v>
      </c>
      <c r="Y210" s="4">
        <v>380</v>
      </c>
      <c r="Z210" s="4" t="s">
        <v>26</v>
      </c>
      <c r="AA210" s="11">
        <v>0.8</v>
      </c>
      <c r="AB210" s="8" t="s">
        <v>37</v>
      </c>
      <c r="AC210" s="4" t="s">
        <v>37</v>
      </c>
      <c r="AD210" s="4" t="s">
        <v>37</v>
      </c>
      <c r="AE210" s="9" t="s">
        <v>183</v>
      </c>
      <c r="AF210" s="4" t="s">
        <v>730</v>
      </c>
    </row>
    <row r="211" spans="1:32" s="4" customFormat="1" x14ac:dyDescent="0.25">
      <c r="A211" s="4">
        <f t="shared" si="40"/>
        <v>133</v>
      </c>
      <c r="B211" s="5" t="s">
        <v>469</v>
      </c>
      <c r="C211" s="6" t="s">
        <v>396</v>
      </c>
      <c r="D211" s="4" t="s">
        <v>26</v>
      </c>
      <c r="E211" s="4" t="s">
        <v>183</v>
      </c>
      <c r="F211" s="4" t="s">
        <v>26</v>
      </c>
      <c r="G211" s="4" t="s">
        <v>8</v>
      </c>
      <c r="H211" s="4" t="s">
        <v>231</v>
      </c>
      <c r="I211" s="4" t="s">
        <v>337</v>
      </c>
      <c r="J211" s="7">
        <f t="shared" si="39"/>
        <v>43.117744610281925</v>
      </c>
      <c r="K211" s="4" t="str">
        <f t="shared" si="38"/>
        <v>Less Conserved</v>
      </c>
      <c r="L211" s="7">
        <v>2.6</v>
      </c>
      <c r="M211" s="7">
        <f t="shared" si="43"/>
        <v>2.3400000000000003</v>
      </c>
      <c r="N211" s="7">
        <v>33.700000000000003</v>
      </c>
      <c r="O211" s="7">
        <v>60.3</v>
      </c>
      <c r="P211" s="7">
        <f t="shared" si="41"/>
        <v>54.269999999999996</v>
      </c>
      <c r="Q211" s="7">
        <f t="shared" si="44"/>
        <v>0.55887230514096198</v>
      </c>
      <c r="R211" s="8">
        <v>15.9</v>
      </c>
      <c r="S211" s="8" t="s">
        <v>26</v>
      </c>
      <c r="T211" s="4" t="s">
        <v>26</v>
      </c>
      <c r="U211" s="4" t="s">
        <v>10</v>
      </c>
      <c r="V211" s="4" t="s">
        <v>24</v>
      </c>
      <c r="W211" s="4">
        <v>20</v>
      </c>
      <c r="X211" s="4">
        <v>277</v>
      </c>
      <c r="Y211" s="4">
        <v>380</v>
      </c>
      <c r="Z211" s="4" t="s">
        <v>26</v>
      </c>
      <c r="AA211" s="11">
        <v>0.8</v>
      </c>
      <c r="AB211" s="8" t="s">
        <v>37</v>
      </c>
      <c r="AC211" s="4" t="s">
        <v>37</v>
      </c>
      <c r="AD211" s="4" t="s">
        <v>37</v>
      </c>
      <c r="AE211" s="9" t="s">
        <v>183</v>
      </c>
      <c r="AF211" s="4" t="s">
        <v>729</v>
      </c>
    </row>
    <row r="212" spans="1:32" s="4" customFormat="1" x14ac:dyDescent="0.25">
      <c r="A212" s="4">
        <f t="shared" si="40"/>
        <v>134</v>
      </c>
      <c r="B212" s="5" t="s">
        <v>469</v>
      </c>
      <c r="C212" s="6" t="s">
        <v>394</v>
      </c>
      <c r="D212" s="4" t="s">
        <v>26</v>
      </c>
      <c r="E212" s="4" t="s">
        <v>183</v>
      </c>
      <c r="F212" s="4" t="s">
        <v>26</v>
      </c>
      <c r="G212" s="4" t="s">
        <v>8</v>
      </c>
      <c r="H212" s="4" t="s">
        <v>231</v>
      </c>
      <c r="I212" s="4" t="s">
        <v>337</v>
      </c>
      <c r="J212" s="7">
        <f t="shared" si="39"/>
        <v>89.020771513353111</v>
      </c>
      <c r="K212" s="4" t="str">
        <f t="shared" si="38"/>
        <v>More Conserved</v>
      </c>
      <c r="L212" s="7">
        <v>6</v>
      </c>
      <c r="M212" s="7">
        <f t="shared" si="43"/>
        <v>5.4</v>
      </c>
      <c r="N212" s="7">
        <v>27.1</v>
      </c>
      <c r="O212" s="7">
        <v>67.400000000000006</v>
      </c>
      <c r="P212" s="7">
        <f t="shared" si="41"/>
        <v>60.660000000000004</v>
      </c>
      <c r="Q212" s="7">
        <f t="shared" si="44"/>
        <v>0.40207715133531158</v>
      </c>
      <c r="R212" s="8">
        <v>22.3</v>
      </c>
      <c r="S212" s="8" t="s">
        <v>26</v>
      </c>
      <c r="T212" s="4" t="s">
        <v>26</v>
      </c>
      <c r="U212" s="4" t="s">
        <v>10</v>
      </c>
      <c r="V212" s="4" t="s">
        <v>24</v>
      </c>
      <c r="W212" s="4">
        <v>20</v>
      </c>
      <c r="X212" s="4">
        <v>328</v>
      </c>
      <c r="Y212" s="4">
        <v>380</v>
      </c>
      <c r="Z212" s="4" t="s">
        <v>26</v>
      </c>
      <c r="AA212" s="11">
        <v>0.8</v>
      </c>
      <c r="AB212" s="8" t="s">
        <v>37</v>
      </c>
      <c r="AC212" s="4" t="s">
        <v>37</v>
      </c>
      <c r="AD212" s="4" t="s">
        <v>37</v>
      </c>
      <c r="AE212" s="9" t="s">
        <v>183</v>
      </c>
      <c r="AF212" s="4" t="s">
        <v>730</v>
      </c>
    </row>
    <row r="213" spans="1:32" s="4" customFormat="1" x14ac:dyDescent="0.25">
      <c r="A213" s="4">
        <f t="shared" si="40"/>
        <v>135</v>
      </c>
      <c r="B213" s="5" t="s">
        <v>469</v>
      </c>
      <c r="C213" s="6" t="s">
        <v>397</v>
      </c>
      <c r="D213" s="4" t="s">
        <v>26</v>
      </c>
      <c r="E213" s="4" t="s">
        <v>183</v>
      </c>
      <c r="F213" s="4" t="s">
        <v>26</v>
      </c>
      <c r="G213" s="4" t="s">
        <v>8</v>
      </c>
      <c r="H213" s="4" t="s">
        <v>231</v>
      </c>
      <c r="I213" s="4" t="s">
        <v>398</v>
      </c>
      <c r="J213" s="7">
        <f t="shared" si="39"/>
        <v>52.8</v>
      </c>
      <c r="K213" s="4" t="str">
        <f t="shared" si="38"/>
        <v>Less Conserved</v>
      </c>
      <c r="L213" s="7">
        <v>3.3</v>
      </c>
      <c r="M213" s="7">
        <f t="shared" si="43"/>
        <v>2.9699999999999998</v>
      </c>
      <c r="N213" s="7">
        <v>25</v>
      </c>
      <c r="O213" s="7">
        <v>62.5</v>
      </c>
      <c r="P213" s="7">
        <f t="shared" si="41"/>
        <v>56.25</v>
      </c>
      <c r="Q213" s="7">
        <f t="shared" si="44"/>
        <v>0.4</v>
      </c>
      <c r="R213" s="8">
        <v>16.3</v>
      </c>
      <c r="S213" s="8" t="s">
        <v>26</v>
      </c>
      <c r="T213" s="4" t="s">
        <v>26</v>
      </c>
      <c r="U213" s="4" t="s">
        <v>10</v>
      </c>
      <c r="V213" s="4" t="s">
        <v>24</v>
      </c>
      <c r="W213" s="4">
        <v>20</v>
      </c>
      <c r="X213" s="4">
        <v>277</v>
      </c>
      <c r="Y213" s="4">
        <v>380</v>
      </c>
      <c r="Z213" s="4" t="s">
        <v>26</v>
      </c>
      <c r="AA213" s="11">
        <v>0.8</v>
      </c>
      <c r="AB213" s="8" t="s">
        <v>37</v>
      </c>
      <c r="AC213" s="4" t="s">
        <v>37</v>
      </c>
      <c r="AD213" s="4" t="s">
        <v>37</v>
      </c>
      <c r="AE213" s="9" t="s">
        <v>183</v>
      </c>
      <c r="AF213" s="4" t="s">
        <v>729</v>
      </c>
    </row>
    <row r="214" spans="1:32" s="4" customFormat="1" x14ac:dyDescent="0.25">
      <c r="A214" s="4">
        <f t="shared" si="40"/>
        <v>136</v>
      </c>
      <c r="B214" s="5" t="s">
        <v>497</v>
      </c>
      <c r="C214" s="6" t="s">
        <v>517</v>
      </c>
      <c r="D214" s="4" t="s">
        <v>518</v>
      </c>
      <c r="E214" s="4" t="s">
        <v>183</v>
      </c>
      <c r="F214" s="10" t="s">
        <v>519</v>
      </c>
      <c r="G214" s="4" t="s">
        <v>9</v>
      </c>
      <c r="H214" s="4" t="s">
        <v>233</v>
      </c>
      <c r="I214" s="4" t="s">
        <v>331</v>
      </c>
      <c r="J214" s="7">
        <f t="shared" si="39"/>
        <v>30.784313725490193</v>
      </c>
      <c r="K214" s="4" t="str">
        <f t="shared" si="38"/>
        <v>Less Conserved</v>
      </c>
      <c r="L214" s="7">
        <v>15.7</v>
      </c>
      <c r="M214" s="7">
        <f t="shared" si="43"/>
        <v>14.129999999999999</v>
      </c>
      <c r="N214" s="7">
        <v>90</v>
      </c>
      <c r="O214" s="7">
        <v>510</v>
      </c>
      <c r="P214" s="7">
        <f t="shared" si="41"/>
        <v>459</v>
      </c>
      <c r="Q214" s="7">
        <f t="shared" si="44"/>
        <v>0.17647058823529413</v>
      </c>
      <c r="R214" s="8">
        <f>125/60/50*90</f>
        <v>3.7500000000000004</v>
      </c>
      <c r="S214" s="8">
        <f>((160-30)/50*90+30)/60</f>
        <v>4.4000000000000004</v>
      </c>
      <c r="T214" s="4" t="str">
        <f t="shared" ref="T214:T245" si="45">IF(S214&gt;=45, "Slow", IF(S214&gt;=20, "Intermediate", "Fast"))</f>
        <v>Fast</v>
      </c>
      <c r="U214" s="4" t="s">
        <v>10</v>
      </c>
      <c r="V214" s="4" t="s">
        <v>32</v>
      </c>
      <c r="W214" s="4">
        <v>10</v>
      </c>
      <c r="X214" s="4">
        <v>1200</v>
      </c>
      <c r="Y214" s="4">
        <v>400</v>
      </c>
      <c r="Z214" s="4">
        <v>28</v>
      </c>
      <c r="AA214" s="11">
        <v>0.6</v>
      </c>
      <c r="AB214" s="8" t="s">
        <v>37</v>
      </c>
      <c r="AC214" s="4" t="s">
        <v>37</v>
      </c>
      <c r="AD214" s="11" t="s">
        <v>37</v>
      </c>
      <c r="AE214" s="5" t="s">
        <v>182</v>
      </c>
      <c r="AF214" s="4" t="s">
        <v>731</v>
      </c>
    </row>
    <row r="215" spans="1:32" s="4" customFormat="1" x14ac:dyDescent="0.25">
      <c r="A215" s="4">
        <f t="shared" si="40"/>
        <v>137</v>
      </c>
      <c r="B215" s="5" t="s">
        <v>497</v>
      </c>
      <c r="C215" s="6" t="s">
        <v>506</v>
      </c>
      <c r="D215" s="4" t="s">
        <v>507</v>
      </c>
      <c r="E215" s="4" t="s">
        <v>183</v>
      </c>
      <c r="F215" s="10" t="s">
        <v>508</v>
      </c>
      <c r="G215" s="4" t="s">
        <v>9</v>
      </c>
      <c r="H215" s="4" t="s">
        <v>233</v>
      </c>
      <c r="I215" s="4" t="s">
        <v>331</v>
      </c>
      <c r="J215" s="7">
        <f t="shared" si="39"/>
        <v>46.969696969696969</v>
      </c>
      <c r="K215" s="4" t="str">
        <f t="shared" si="38"/>
        <v>Less Conserved</v>
      </c>
      <c r="L215" s="7">
        <v>15.5</v>
      </c>
      <c r="M215" s="7">
        <f t="shared" si="43"/>
        <v>13.950000000000001</v>
      </c>
      <c r="N215" s="7">
        <v>42</v>
      </c>
      <c r="O215" s="7">
        <v>330</v>
      </c>
      <c r="P215" s="7">
        <f t="shared" si="41"/>
        <v>297</v>
      </c>
      <c r="Q215" s="7">
        <f t="shared" si="44"/>
        <v>0.12727272727272726</v>
      </c>
      <c r="R215" s="8">
        <f>431/60/50*90</f>
        <v>12.93</v>
      </c>
      <c r="S215" s="8">
        <f>((431-232)/50*90+232)/60</f>
        <v>9.8366666666666678</v>
      </c>
      <c r="T215" s="4" t="str">
        <f t="shared" si="45"/>
        <v>Fast</v>
      </c>
      <c r="U215" s="4" t="s">
        <v>10</v>
      </c>
      <c r="V215" s="4" t="s">
        <v>32</v>
      </c>
      <c r="W215" s="4">
        <v>10</v>
      </c>
      <c r="X215" s="4">
        <v>1200</v>
      </c>
      <c r="Y215" s="4">
        <v>400</v>
      </c>
      <c r="Z215" s="4">
        <v>28</v>
      </c>
      <c r="AA215" s="11">
        <v>0.6</v>
      </c>
      <c r="AB215" s="8" t="s">
        <v>37</v>
      </c>
      <c r="AC215" s="4" t="s">
        <v>37</v>
      </c>
      <c r="AD215" s="11" t="s">
        <v>37</v>
      </c>
      <c r="AE215" s="5" t="s">
        <v>182</v>
      </c>
      <c r="AF215" s="4" t="s">
        <v>731</v>
      </c>
    </row>
    <row r="216" spans="1:32" s="4" customFormat="1" x14ac:dyDescent="0.25">
      <c r="A216" s="4">
        <f t="shared" si="40"/>
        <v>138</v>
      </c>
      <c r="B216" s="5" t="s">
        <v>497</v>
      </c>
      <c r="C216" s="6" t="s">
        <v>513</v>
      </c>
      <c r="D216" s="4" t="s">
        <v>26</v>
      </c>
      <c r="E216" s="4" t="s">
        <v>183</v>
      </c>
      <c r="F216" s="10" t="s">
        <v>512</v>
      </c>
      <c r="G216" s="4" t="s">
        <v>9</v>
      </c>
      <c r="H216" s="4" t="s">
        <v>233</v>
      </c>
      <c r="I216" s="4" t="s">
        <v>331</v>
      </c>
      <c r="J216" s="7">
        <f t="shared" si="39"/>
        <v>33.13725490196078</v>
      </c>
      <c r="K216" s="4" t="str">
        <f t="shared" si="38"/>
        <v>Less Conserved</v>
      </c>
      <c r="L216" s="7">
        <v>16.899999999999999</v>
      </c>
      <c r="M216" s="7">
        <f t="shared" si="43"/>
        <v>15.209999999999999</v>
      </c>
      <c r="N216" s="7">
        <v>72</v>
      </c>
      <c r="O216" s="7">
        <v>510</v>
      </c>
      <c r="P216" s="7">
        <f t="shared" si="41"/>
        <v>459</v>
      </c>
      <c r="Q216" s="7">
        <f t="shared" si="44"/>
        <v>0.14117647058823529</v>
      </c>
      <c r="R216" s="8">
        <f>215/60/50*90</f>
        <v>6.45</v>
      </c>
      <c r="S216" s="8">
        <f>((353-67)/50*90+67)/60</f>
        <v>9.6966666666666654</v>
      </c>
      <c r="T216" s="4" t="str">
        <f t="shared" si="45"/>
        <v>Fast</v>
      </c>
      <c r="U216" s="4" t="s">
        <v>10</v>
      </c>
      <c r="V216" s="4" t="s">
        <v>32</v>
      </c>
      <c r="W216" s="4">
        <v>10</v>
      </c>
      <c r="X216" s="4">
        <v>1200</v>
      </c>
      <c r="Y216" s="4">
        <v>400</v>
      </c>
      <c r="Z216" s="4">
        <v>28</v>
      </c>
      <c r="AA216" s="11">
        <v>0.6</v>
      </c>
      <c r="AB216" s="8" t="s">
        <v>37</v>
      </c>
      <c r="AC216" s="4" t="s">
        <v>37</v>
      </c>
      <c r="AD216" s="11" t="s">
        <v>37</v>
      </c>
      <c r="AE216" s="5" t="s">
        <v>182</v>
      </c>
      <c r="AF216" s="4" t="s">
        <v>731</v>
      </c>
    </row>
    <row r="217" spans="1:32" s="4" customFormat="1" x14ac:dyDescent="0.25">
      <c r="A217" s="4">
        <f t="shared" si="40"/>
        <v>139</v>
      </c>
      <c r="B217" s="5" t="s">
        <v>497</v>
      </c>
      <c r="C217" s="6" t="s">
        <v>514</v>
      </c>
      <c r="D217" s="4" t="s">
        <v>515</v>
      </c>
      <c r="E217" s="4" t="s">
        <v>183</v>
      </c>
      <c r="F217" s="10" t="s">
        <v>516</v>
      </c>
      <c r="G217" s="4" t="s">
        <v>9</v>
      </c>
      <c r="H217" s="4" t="s">
        <v>233</v>
      </c>
      <c r="I217" s="4" t="s">
        <v>331</v>
      </c>
      <c r="J217" s="7">
        <f t="shared" si="39"/>
        <v>59.615384615384613</v>
      </c>
      <c r="K217" s="4" t="str">
        <f t="shared" si="38"/>
        <v>Less Conserved</v>
      </c>
      <c r="L217" s="7">
        <v>15.5</v>
      </c>
      <c r="M217" s="7">
        <f t="shared" si="43"/>
        <v>13.950000000000001</v>
      </c>
      <c r="N217" s="7">
        <v>89</v>
      </c>
      <c r="O217" s="7">
        <v>260</v>
      </c>
      <c r="P217" s="7">
        <f t="shared" si="41"/>
        <v>234</v>
      </c>
      <c r="Q217" s="7">
        <f t="shared" si="44"/>
        <v>0.34230769230769231</v>
      </c>
      <c r="R217" s="8">
        <f>137/60/50*90</f>
        <v>4.1099999999999994</v>
      </c>
      <c r="S217" s="8">
        <f>((124-23)/50*90+23)/60</f>
        <v>3.4133333333333336</v>
      </c>
      <c r="T217" s="4" t="str">
        <f t="shared" si="45"/>
        <v>Fast</v>
      </c>
      <c r="U217" s="4" t="s">
        <v>10</v>
      </c>
      <c r="V217" s="4" t="s">
        <v>32</v>
      </c>
      <c r="W217" s="4">
        <v>10</v>
      </c>
      <c r="X217" s="4">
        <v>1200</v>
      </c>
      <c r="Y217" s="4">
        <v>400</v>
      </c>
      <c r="Z217" s="4">
        <v>28</v>
      </c>
      <c r="AA217" s="11">
        <v>0.6</v>
      </c>
      <c r="AB217" s="8" t="s">
        <v>37</v>
      </c>
      <c r="AC217" s="4" t="s">
        <v>37</v>
      </c>
      <c r="AD217" s="11" t="s">
        <v>37</v>
      </c>
      <c r="AE217" s="5" t="s">
        <v>182</v>
      </c>
      <c r="AF217" s="4" t="s">
        <v>731</v>
      </c>
    </row>
    <row r="218" spans="1:32" s="4" customFormat="1" x14ac:dyDescent="0.25">
      <c r="A218" s="4">
        <f t="shared" si="40"/>
        <v>140</v>
      </c>
      <c r="B218" s="5" t="s">
        <v>497</v>
      </c>
      <c r="C218" s="6" t="s">
        <v>509</v>
      </c>
      <c r="D218" s="4" t="s">
        <v>510</v>
      </c>
      <c r="E218" s="4" t="s">
        <v>183</v>
      </c>
      <c r="F218" s="10" t="s">
        <v>511</v>
      </c>
      <c r="G218" s="4" t="s">
        <v>9</v>
      </c>
      <c r="H218" s="4" t="s">
        <v>233</v>
      </c>
      <c r="I218" s="4" t="s">
        <v>331</v>
      </c>
      <c r="J218" s="7">
        <f t="shared" si="39"/>
        <v>44.838709677419359</v>
      </c>
      <c r="K218" s="4" t="str">
        <f t="shared" si="38"/>
        <v>Less Conserved</v>
      </c>
      <c r="L218" s="7">
        <v>13.9</v>
      </c>
      <c r="M218" s="7">
        <f t="shared" si="43"/>
        <v>12.51</v>
      </c>
      <c r="N218" s="7">
        <v>50</v>
      </c>
      <c r="O218" s="7">
        <v>310</v>
      </c>
      <c r="P218" s="7">
        <f t="shared" si="41"/>
        <v>279</v>
      </c>
      <c r="Q218" s="7">
        <f t="shared" si="44"/>
        <v>0.16129032258064516</v>
      </c>
      <c r="R218" s="8">
        <f>196/60/50*90</f>
        <v>5.879999999999999</v>
      </c>
      <c r="S218" s="8">
        <f>((383-42)/50*90+42)/60</f>
        <v>10.930000000000001</v>
      </c>
      <c r="T218" s="4" t="str">
        <f t="shared" si="45"/>
        <v>Fast</v>
      </c>
      <c r="U218" s="4" t="s">
        <v>10</v>
      </c>
      <c r="V218" s="4" t="s">
        <v>32</v>
      </c>
      <c r="W218" s="4">
        <v>10</v>
      </c>
      <c r="X218" s="4">
        <v>1200</v>
      </c>
      <c r="Y218" s="4">
        <v>400</v>
      </c>
      <c r="Z218" s="4">
        <v>28</v>
      </c>
      <c r="AA218" s="11">
        <v>0.6</v>
      </c>
      <c r="AB218" s="8" t="s">
        <v>37</v>
      </c>
      <c r="AC218" s="4" t="s">
        <v>37</v>
      </c>
      <c r="AD218" s="11" t="s">
        <v>37</v>
      </c>
      <c r="AE218" s="5" t="s">
        <v>182</v>
      </c>
      <c r="AF218" s="4" t="s">
        <v>731</v>
      </c>
    </row>
    <row r="219" spans="1:32" s="4" customFormat="1" x14ac:dyDescent="0.25">
      <c r="A219" s="4">
        <f t="shared" si="40"/>
        <v>141</v>
      </c>
      <c r="B219" s="5" t="s">
        <v>497</v>
      </c>
      <c r="C219" s="6" t="s">
        <v>520</v>
      </c>
      <c r="D219" s="4" t="s">
        <v>26</v>
      </c>
      <c r="E219" s="4" t="s">
        <v>183</v>
      </c>
      <c r="F219" s="10" t="s">
        <v>523</v>
      </c>
      <c r="G219" s="4" t="s">
        <v>9</v>
      </c>
      <c r="H219" s="4" t="s">
        <v>233</v>
      </c>
      <c r="I219" s="4" t="s">
        <v>331</v>
      </c>
      <c r="J219" s="7">
        <f t="shared" si="39"/>
        <v>25.373134328358208</v>
      </c>
      <c r="K219" s="4" t="str">
        <f t="shared" si="38"/>
        <v>Less Conserved</v>
      </c>
      <c r="L219" s="7">
        <v>17</v>
      </c>
      <c r="M219" s="7">
        <f t="shared" si="43"/>
        <v>15.3</v>
      </c>
      <c r="N219" s="7">
        <v>139</v>
      </c>
      <c r="O219" s="7">
        <v>670</v>
      </c>
      <c r="P219" s="7">
        <f t="shared" si="41"/>
        <v>603</v>
      </c>
      <c r="Q219" s="7">
        <f t="shared" si="44"/>
        <v>0.20746268656716418</v>
      </c>
      <c r="R219" s="8">
        <f>160/60/50*90</f>
        <v>4.8</v>
      </c>
      <c r="S219" s="8">
        <f>((376-78)/50*90+78)/60</f>
        <v>10.24</v>
      </c>
      <c r="T219" s="4" t="str">
        <f t="shared" si="45"/>
        <v>Fast</v>
      </c>
      <c r="U219" s="4" t="s">
        <v>10</v>
      </c>
      <c r="V219" s="4" t="s">
        <v>32</v>
      </c>
      <c r="W219" s="4">
        <v>10</v>
      </c>
      <c r="X219" s="4">
        <v>1200</v>
      </c>
      <c r="Y219" s="4">
        <v>400</v>
      </c>
      <c r="Z219" s="4">
        <v>28</v>
      </c>
      <c r="AA219" s="11">
        <v>0.6</v>
      </c>
      <c r="AB219" s="8" t="s">
        <v>37</v>
      </c>
      <c r="AC219" s="4" t="s">
        <v>37</v>
      </c>
      <c r="AD219" s="11" t="s">
        <v>37</v>
      </c>
      <c r="AE219" s="5" t="s">
        <v>182</v>
      </c>
      <c r="AF219" s="4" t="s">
        <v>731</v>
      </c>
    </row>
    <row r="220" spans="1:32" s="4" customFormat="1" x14ac:dyDescent="0.25">
      <c r="A220" s="4">
        <f t="shared" si="40"/>
        <v>141</v>
      </c>
      <c r="B220" s="5" t="s">
        <v>497</v>
      </c>
      <c r="C220" s="6" t="s">
        <v>520</v>
      </c>
      <c r="D220" s="4" t="s">
        <v>26</v>
      </c>
      <c r="E220" s="4" t="s">
        <v>183</v>
      </c>
      <c r="F220" s="10" t="s">
        <v>521</v>
      </c>
      <c r="G220" s="4" t="s">
        <v>9</v>
      </c>
      <c r="H220" s="4" t="s">
        <v>233</v>
      </c>
      <c r="I220" s="4" t="s">
        <v>331</v>
      </c>
      <c r="J220" s="7">
        <f t="shared" si="39"/>
        <v>31.22448979591837</v>
      </c>
      <c r="K220" s="4" t="str">
        <f t="shared" si="38"/>
        <v>Less Conserved</v>
      </c>
      <c r="L220" s="7">
        <v>15.3</v>
      </c>
      <c r="M220" s="7">
        <f t="shared" si="43"/>
        <v>13.770000000000001</v>
      </c>
      <c r="N220" s="7">
        <v>110</v>
      </c>
      <c r="O220" s="7">
        <v>490</v>
      </c>
      <c r="P220" s="7">
        <f t="shared" si="41"/>
        <v>441</v>
      </c>
      <c r="Q220" s="7">
        <f t="shared" si="44"/>
        <v>0.22448979591836735</v>
      </c>
      <c r="R220" s="8">
        <f>140/60/50*90</f>
        <v>4.2</v>
      </c>
      <c r="S220" s="8">
        <f>((188-38)/50*90+38)/60</f>
        <v>5.1333333333333337</v>
      </c>
      <c r="T220" s="4" t="str">
        <f t="shared" si="45"/>
        <v>Fast</v>
      </c>
      <c r="U220" s="4" t="s">
        <v>10</v>
      </c>
      <c r="V220" s="4" t="s">
        <v>32</v>
      </c>
      <c r="W220" s="4">
        <v>10</v>
      </c>
      <c r="X220" s="4">
        <v>1200</v>
      </c>
      <c r="Y220" s="4">
        <v>400</v>
      </c>
      <c r="Z220" s="4">
        <v>28</v>
      </c>
      <c r="AA220" s="11">
        <v>0.6</v>
      </c>
      <c r="AB220" s="8" t="s">
        <v>37</v>
      </c>
      <c r="AC220" s="4" t="s">
        <v>37</v>
      </c>
      <c r="AD220" s="11" t="s">
        <v>37</v>
      </c>
      <c r="AE220" s="5" t="s">
        <v>182</v>
      </c>
      <c r="AF220" s="4" t="s">
        <v>731</v>
      </c>
    </row>
    <row r="221" spans="1:32" s="4" customFormat="1" x14ac:dyDescent="0.25">
      <c r="A221" s="4">
        <f t="shared" si="40"/>
        <v>142</v>
      </c>
      <c r="B221" s="5" t="s">
        <v>497</v>
      </c>
      <c r="C221" s="6" t="s">
        <v>522</v>
      </c>
      <c r="D221" s="4" t="s">
        <v>26</v>
      </c>
      <c r="E221" s="4" t="s">
        <v>183</v>
      </c>
      <c r="F221" s="10">
        <v>2203</v>
      </c>
      <c r="G221" s="4" t="s">
        <v>9</v>
      </c>
      <c r="H221" s="4" t="s">
        <v>233</v>
      </c>
      <c r="I221" s="4" t="s">
        <v>331</v>
      </c>
      <c r="J221" s="7">
        <f t="shared" si="39"/>
        <v>32.037037037037038</v>
      </c>
      <c r="K221" s="4" t="str">
        <f t="shared" si="38"/>
        <v>Less Conserved</v>
      </c>
      <c r="L221" s="7">
        <v>17.3</v>
      </c>
      <c r="M221" s="7">
        <f t="shared" si="43"/>
        <v>15.57</v>
      </c>
      <c r="N221" s="7">
        <v>138</v>
      </c>
      <c r="O221" s="7">
        <v>540</v>
      </c>
      <c r="P221" s="7">
        <f t="shared" si="41"/>
        <v>486</v>
      </c>
      <c r="Q221" s="7">
        <f t="shared" si="44"/>
        <v>0.25555555555555554</v>
      </c>
      <c r="R221" s="8">
        <f>143/60/50*90</f>
        <v>4.29</v>
      </c>
      <c r="S221" s="8">
        <f>((124-57)/50*90+57)/60</f>
        <v>2.9600000000000004</v>
      </c>
      <c r="T221" s="4" t="str">
        <f t="shared" si="45"/>
        <v>Fast</v>
      </c>
      <c r="U221" s="4" t="s">
        <v>10</v>
      </c>
      <c r="V221" s="4" t="s">
        <v>32</v>
      </c>
      <c r="W221" s="4">
        <v>10</v>
      </c>
      <c r="X221" s="4">
        <v>1200</v>
      </c>
      <c r="Y221" s="4">
        <v>400</v>
      </c>
      <c r="Z221" s="4">
        <v>28</v>
      </c>
      <c r="AA221" s="11">
        <v>0.6</v>
      </c>
      <c r="AB221" s="8" t="s">
        <v>37</v>
      </c>
      <c r="AC221" s="4" t="s">
        <v>37</v>
      </c>
      <c r="AD221" s="11" t="s">
        <v>37</v>
      </c>
      <c r="AE221" s="5" t="s">
        <v>182</v>
      </c>
      <c r="AF221" s="4" t="s">
        <v>731</v>
      </c>
    </row>
    <row r="222" spans="1:32" s="4" customFormat="1" x14ac:dyDescent="0.25">
      <c r="A222" s="4">
        <f t="shared" si="40"/>
        <v>143</v>
      </c>
      <c r="B222" s="5" t="s">
        <v>497</v>
      </c>
      <c r="C222" s="6" t="s">
        <v>14</v>
      </c>
      <c r="D222" s="4" t="s">
        <v>13</v>
      </c>
      <c r="E222" s="4" t="s">
        <v>182</v>
      </c>
      <c r="F222" s="10" t="s">
        <v>501</v>
      </c>
      <c r="G222" s="4" t="s">
        <v>9</v>
      </c>
      <c r="H222" s="4" t="s">
        <v>233</v>
      </c>
      <c r="I222" s="4" t="s">
        <v>331</v>
      </c>
      <c r="J222" s="7">
        <f t="shared" si="39"/>
        <v>39.310344827586214</v>
      </c>
      <c r="K222" s="4" t="str">
        <f t="shared" si="38"/>
        <v>Less Conserved</v>
      </c>
      <c r="L222" s="7">
        <v>22.8</v>
      </c>
      <c r="M222" s="7">
        <f t="shared" si="43"/>
        <v>20.52</v>
      </c>
      <c r="N222" s="7">
        <v>28</v>
      </c>
      <c r="O222" s="7">
        <v>580</v>
      </c>
      <c r="P222" s="7">
        <f t="shared" si="41"/>
        <v>522</v>
      </c>
      <c r="Q222" s="7">
        <f t="shared" si="44"/>
        <v>4.8275862068965517E-2</v>
      </c>
      <c r="R222" s="8">
        <f>460/60/50*90</f>
        <v>13.8</v>
      </c>
      <c r="S222" s="8">
        <f>((560-337)/50*90+337)/60</f>
        <v>12.306666666666667</v>
      </c>
      <c r="T222" s="4" t="str">
        <f t="shared" si="45"/>
        <v>Fast</v>
      </c>
      <c r="U222" s="4" t="s">
        <v>10</v>
      </c>
      <c r="V222" s="4" t="s">
        <v>32</v>
      </c>
      <c r="W222" s="4">
        <v>10</v>
      </c>
      <c r="X222" s="4">
        <v>1200</v>
      </c>
      <c r="Y222" s="4">
        <v>400</v>
      </c>
      <c r="Z222" s="4">
        <v>28</v>
      </c>
      <c r="AA222" s="11">
        <v>0.6</v>
      </c>
      <c r="AB222" s="8" t="s">
        <v>37</v>
      </c>
      <c r="AC222" s="4" t="s">
        <v>37</v>
      </c>
      <c r="AD222" s="11" t="s">
        <v>37</v>
      </c>
      <c r="AE222" s="5" t="s">
        <v>182</v>
      </c>
      <c r="AF222" s="4" t="s">
        <v>731</v>
      </c>
    </row>
    <row r="223" spans="1:32" s="4" customFormat="1" x14ac:dyDescent="0.25">
      <c r="A223" s="4">
        <f t="shared" si="40"/>
        <v>143</v>
      </c>
      <c r="B223" s="5" t="s">
        <v>497</v>
      </c>
      <c r="C223" s="6" t="s">
        <v>14</v>
      </c>
      <c r="D223" s="4" t="s">
        <v>13</v>
      </c>
      <c r="E223" s="4" t="s">
        <v>182</v>
      </c>
      <c r="F223" s="10" t="s">
        <v>505</v>
      </c>
      <c r="G223" s="4" t="s">
        <v>9</v>
      </c>
      <c r="H223" s="4" t="s">
        <v>233</v>
      </c>
      <c r="I223" s="4" t="s">
        <v>331</v>
      </c>
      <c r="J223" s="7">
        <f t="shared" si="39"/>
        <v>45.087719298245617</v>
      </c>
      <c r="K223" s="4" t="str">
        <f t="shared" si="38"/>
        <v>Less Conserved</v>
      </c>
      <c r="L223" s="7">
        <v>25.7</v>
      </c>
      <c r="M223" s="7">
        <f t="shared" si="43"/>
        <v>23.13</v>
      </c>
      <c r="N223" s="7">
        <v>34</v>
      </c>
      <c r="O223" s="7">
        <v>570</v>
      </c>
      <c r="P223" s="7">
        <f t="shared" si="41"/>
        <v>513</v>
      </c>
      <c r="Q223" s="7">
        <f t="shared" si="44"/>
        <v>5.9649122807017542E-2</v>
      </c>
      <c r="R223" s="8">
        <f>476/60/50*90</f>
        <v>14.280000000000001</v>
      </c>
      <c r="S223" s="8">
        <f>((556-368)/50*90+368)/60</f>
        <v>11.773333333333333</v>
      </c>
      <c r="T223" s="4" t="str">
        <f t="shared" si="45"/>
        <v>Fast</v>
      </c>
      <c r="U223" s="4" t="s">
        <v>10</v>
      </c>
      <c r="V223" s="4" t="s">
        <v>32</v>
      </c>
      <c r="W223" s="4">
        <v>10</v>
      </c>
      <c r="X223" s="4">
        <v>1200</v>
      </c>
      <c r="Y223" s="4">
        <v>400</v>
      </c>
      <c r="Z223" s="4">
        <v>28</v>
      </c>
      <c r="AA223" s="11">
        <v>0.6</v>
      </c>
      <c r="AB223" s="8" t="s">
        <v>37</v>
      </c>
      <c r="AC223" s="4" t="s">
        <v>37</v>
      </c>
      <c r="AD223" s="11" t="s">
        <v>37</v>
      </c>
      <c r="AE223" s="5" t="s">
        <v>182</v>
      </c>
      <c r="AF223" s="4" t="s">
        <v>731</v>
      </c>
    </row>
    <row r="224" spans="1:32" s="4" customFormat="1" x14ac:dyDescent="0.25">
      <c r="A224" s="4">
        <f t="shared" si="40"/>
        <v>143</v>
      </c>
      <c r="B224" s="5" t="s">
        <v>497</v>
      </c>
      <c r="C224" s="6" t="s">
        <v>14</v>
      </c>
      <c r="D224" s="4" t="s">
        <v>13</v>
      </c>
      <c r="E224" s="4" t="s">
        <v>182</v>
      </c>
      <c r="F224" s="10" t="s">
        <v>502</v>
      </c>
      <c r="G224" s="4" t="s">
        <v>9</v>
      </c>
      <c r="H224" s="4" t="s">
        <v>233</v>
      </c>
      <c r="I224" s="4" t="s">
        <v>331</v>
      </c>
      <c r="J224" s="7">
        <f t="shared" si="39"/>
        <v>49.487179487179489</v>
      </c>
      <c r="K224" s="4" t="str">
        <f t="shared" si="38"/>
        <v>Less Conserved</v>
      </c>
      <c r="L224" s="7">
        <v>19.3</v>
      </c>
      <c r="M224" s="7">
        <f t="shared" si="43"/>
        <v>17.37</v>
      </c>
      <c r="N224" s="7">
        <v>30</v>
      </c>
      <c r="O224" s="7">
        <v>390</v>
      </c>
      <c r="P224" s="7">
        <f t="shared" si="41"/>
        <v>351</v>
      </c>
      <c r="Q224" s="7">
        <f t="shared" si="44"/>
        <v>7.6923076923076927E-2</v>
      </c>
      <c r="R224" s="8">
        <f>580/60/50*90</f>
        <v>17.399999999999999</v>
      </c>
      <c r="S224" s="8">
        <f>((568-428)/50*90+428)/60</f>
        <v>11.333333333333334</v>
      </c>
      <c r="T224" s="4" t="str">
        <f t="shared" si="45"/>
        <v>Fast</v>
      </c>
      <c r="U224" s="4" t="s">
        <v>10</v>
      </c>
      <c r="V224" s="4" t="s">
        <v>32</v>
      </c>
      <c r="W224" s="4">
        <v>10</v>
      </c>
      <c r="X224" s="4">
        <v>1200</v>
      </c>
      <c r="Y224" s="4">
        <v>400</v>
      </c>
      <c r="Z224" s="4">
        <v>28</v>
      </c>
      <c r="AA224" s="11">
        <v>0.6</v>
      </c>
      <c r="AB224" s="8" t="s">
        <v>37</v>
      </c>
      <c r="AC224" s="4" t="s">
        <v>37</v>
      </c>
      <c r="AD224" s="11" t="s">
        <v>37</v>
      </c>
      <c r="AE224" s="5" t="s">
        <v>182</v>
      </c>
      <c r="AF224" s="4" t="s">
        <v>731</v>
      </c>
    </row>
    <row r="225" spans="1:32" s="4" customFormat="1" x14ac:dyDescent="0.25">
      <c r="A225" s="4">
        <f t="shared" si="40"/>
        <v>143</v>
      </c>
      <c r="B225" s="5" t="s">
        <v>497</v>
      </c>
      <c r="C225" s="6" t="s">
        <v>14</v>
      </c>
      <c r="D225" s="4" t="s">
        <v>13</v>
      </c>
      <c r="E225" s="4" t="s">
        <v>182</v>
      </c>
      <c r="F225" s="10" t="s">
        <v>499</v>
      </c>
      <c r="G225" s="4" t="s">
        <v>9</v>
      </c>
      <c r="H225" s="4" t="s">
        <v>233</v>
      </c>
      <c r="I225" s="4" t="s">
        <v>331</v>
      </c>
      <c r="J225" s="7">
        <f t="shared" si="39"/>
        <v>44.418604651162795</v>
      </c>
      <c r="K225" s="4" t="str">
        <f t="shared" ref="K225:K256" si="46">IF(J225&gt;=80, "More Conserved", IF(J225&gt;=70, "Conserved", "Less Conserved"))</f>
        <v>Less Conserved</v>
      </c>
      <c r="L225" s="7">
        <v>19.100000000000001</v>
      </c>
      <c r="M225" s="7">
        <f t="shared" si="43"/>
        <v>17.190000000000001</v>
      </c>
      <c r="N225" s="7">
        <v>26</v>
      </c>
      <c r="O225" s="7">
        <v>430</v>
      </c>
      <c r="P225" s="7">
        <f t="shared" si="41"/>
        <v>387</v>
      </c>
      <c r="Q225" s="7">
        <f t="shared" si="44"/>
        <v>6.0465116279069767E-2</v>
      </c>
      <c r="R225" s="8">
        <f>615/60/50*90</f>
        <v>18.45</v>
      </c>
      <c r="S225" s="8">
        <f>((718-402)/50*90+402)/60</f>
        <v>16.18</v>
      </c>
      <c r="T225" s="4" t="str">
        <f t="shared" si="45"/>
        <v>Fast</v>
      </c>
      <c r="U225" s="4" t="s">
        <v>10</v>
      </c>
      <c r="V225" s="4" t="s">
        <v>32</v>
      </c>
      <c r="W225" s="4">
        <v>10</v>
      </c>
      <c r="X225" s="4">
        <v>1200</v>
      </c>
      <c r="Y225" s="4">
        <v>400</v>
      </c>
      <c r="Z225" s="4">
        <v>28</v>
      </c>
      <c r="AA225" s="11">
        <v>0.6</v>
      </c>
      <c r="AB225" s="8" t="s">
        <v>37</v>
      </c>
      <c r="AC225" s="4" t="s">
        <v>37</v>
      </c>
      <c r="AD225" s="11" t="s">
        <v>37</v>
      </c>
      <c r="AE225" s="5" t="s">
        <v>182</v>
      </c>
      <c r="AF225" s="4" t="s">
        <v>731</v>
      </c>
    </row>
    <row r="226" spans="1:32" s="4" customFormat="1" x14ac:dyDescent="0.25">
      <c r="A226" s="4">
        <f t="shared" si="40"/>
        <v>143</v>
      </c>
      <c r="B226" s="5" t="s">
        <v>497</v>
      </c>
      <c r="C226" s="6" t="s">
        <v>14</v>
      </c>
      <c r="D226" s="4" t="s">
        <v>13</v>
      </c>
      <c r="E226" s="4" t="s">
        <v>182</v>
      </c>
      <c r="F226" s="10" t="s">
        <v>503</v>
      </c>
      <c r="G226" s="4" t="s">
        <v>9</v>
      </c>
      <c r="H226" s="4" t="s">
        <v>233</v>
      </c>
      <c r="I226" s="4" t="s">
        <v>331</v>
      </c>
      <c r="J226" s="7">
        <f t="shared" si="39"/>
        <v>42.5</v>
      </c>
      <c r="K226" s="4" t="str">
        <f t="shared" si="46"/>
        <v>Less Conserved</v>
      </c>
      <c r="L226" s="7">
        <v>17</v>
      </c>
      <c r="M226" s="7">
        <f t="shared" si="43"/>
        <v>15.3</v>
      </c>
      <c r="N226" s="7">
        <v>33</v>
      </c>
      <c r="O226" s="7">
        <v>400</v>
      </c>
      <c r="P226" s="7">
        <f t="shared" si="41"/>
        <v>360</v>
      </c>
      <c r="Q226" s="7">
        <f t="shared" si="44"/>
        <v>8.2500000000000004E-2</v>
      </c>
      <c r="R226" s="8">
        <f>559/60/50*90</f>
        <v>16.77</v>
      </c>
      <c r="S226" s="8">
        <f>((651-350)/50*90+350)/60</f>
        <v>14.863333333333333</v>
      </c>
      <c r="T226" s="4" t="str">
        <f t="shared" si="45"/>
        <v>Fast</v>
      </c>
      <c r="U226" s="4" t="s">
        <v>10</v>
      </c>
      <c r="V226" s="4" t="s">
        <v>32</v>
      </c>
      <c r="W226" s="4">
        <v>10</v>
      </c>
      <c r="X226" s="4">
        <v>1200</v>
      </c>
      <c r="Y226" s="4">
        <v>400</v>
      </c>
      <c r="Z226" s="4">
        <v>28</v>
      </c>
      <c r="AA226" s="11">
        <v>0.6</v>
      </c>
      <c r="AB226" s="8" t="s">
        <v>37</v>
      </c>
      <c r="AC226" s="4" t="s">
        <v>37</v>
      </c>
      <c r="AD226" s="11" t="s">
        <v>37</v>
      </c>
      <c r="AE226" s="5" t="s">
        <v>182</v>
      </c>
      <c r="AF226" s="4" t="s">
        <v>731</v>
      </c>
    </row>
    <row r="227" spans="1:32" s="4" customFormat="1" x14ac:dyDescent="0.25">
      <c r="A227" s="4">
        <f t="shared" si="40"/>
        <v>143</v>
      </c>
      <c r="B227" s="5" t="s">
        <v>497</v>
      </c>
      <c r="C227" s="6" t="s">
        <v>14</v>
      </c>
      <c r="D227" s="4" t="s">
        <v>13</v>
      </c>
      <c r="E227" s="4" t="s">
        <v>182</v>
      </c>
      <c r="F227" s="10" t="s">
        <v>504</v>
      </c>
      <c r="G227" s="4" t="s">
        <v>9</v>
      </c>
      <c r="H227" s="4" t="s">
        <v>233</v>
      </c>
      <c r="I227" s="4" t="s">
        <v>331</v>
      </c>
      <c r="J227" s="7">
        <f t="shared" si="39"/>
        <v>46.578947368421048</v>
      </c>
      <c r="K227" s="4" t="str">
        <f t="shared" si="46"/>
        <v>Less Conserved</v>
      </c>
      <c r="L227" s="7">
        <v>17.7</v>
      </c>
      <c r="M227" s="7">
        <f t="shared" si="43"/>
        <v>15.93</v>
      </c>
      <c r="N227" s="7">
        <v>34</v>
      </c>
      <c r="O227" s="7">
        <v>380</v>
      </c>
      <c r="P227" s="7">
        <f t="shared" si="41"/>
        <v>342</v>
      </c>
      <c r="Q227" s="7">
        <f t="shared" si="44"/>
        <v>8.9473684210526316E-2</v>
      </c>
      <c r="R227" s="8">
        <f>447/60/50*90</f>
        <v>13.41</v>
      </c>
      <c r="S227" s="8">
        <f>((495-225)/50*90+225)/60</f>
        <v>11.85</v>
      </c>
      <c r="T227" s="4" t="str">
        <f t="shared" si="45"/>
        <v>Fast</v>
      </c>
      <c r="U227" s="4" t="s">
        <v>10</v>
      </c>
      <c r="V227" s="4" t="s">
        <v>32</v>
      </c>
      <c r="W227" s="4">
        <v>10</v>
      </c>
      <c r="X227" s="4">
        <v>1200</v>
      </c>
      <c r="Y227" s="4">
        <v>400</v>
      </c>
      <c r="Z227" s="4">
        <v>28</v>
      </c>
      <c r="AA227" s="11">
        <v>0.6</v>
      </c>
      <c r="AB227" s="8" t="s">
        <v>37</v>
      </c>
      <c r="AC227" s="4" t="s">
        <v>37</v>
      </c>
      <c r="AD227" s="11" t="s">
        <v>37</v>
      </c>
      <c r="AE227" s="5" t="s">
        <v>182</v>
      </c>
      <c r="AF227" s="4" t="s">
        <v>731</v>
      </c>
    </row>
    <row r="228" spans="1:32" s="4" customFormat="1" x14ac:dyDescent="0.25">
      <c r="A228" s="4">
        <f t="shared" si="40"/>
        <v>143</v>
      </c>
      <c r="B228" s="5" t="s">
        <v>497</v>
      </c>
      <c r="C228" s="6" t="s">
        <v>14</v>
      </c>
      <c r="D228" s="4" t="s">
        <v>13</v>
      </c>
      <c r="E228" s="4" t="s">
        <v>182</v>
      </c>
      <c r="F228" s="10" t="s">
        <v>498</v>
      </c>
      <c r="G228" s="4" t="s">
        <v>9</v>
      </c>
      <c r="H228" s="4" t="s">
        <v>233</v>
      </c>
      <c r="I228" s="4" t="s">
        <v>331</v>
      </c>
      <c r="J228" s="7">
        <f t="shared" si="39"/>
        <v>47.906976744186053</v>
      </c>
      <c r="K228" s="4" t="str">
        <f t="shared" si="46"/>
        <v>Less Conserved</v>
      </c>
      <c r="L228" s="7">
        <v>20.6</v>
      </c>
      <c r="M228" s="7">
        <f t="shared" si="43"/>
        <v>18.540000000000003</v>
      </c>
      <c r="N228" s="7">
        <v>26</v>
      </c>
      <c r="O228" s="7">
        <v>430</v>
      </c>
      <c r="P228" s="7">
        <f t="shared" si="41"/>
        <v>387</v>
      </c>
      <c r="Q228" s="7">
        <f t="shared" si="44"/>
        <v>6.0465116279069767E-2</v>
      </c>
      <c r="R228" s="8">
        <f>639/60/50*90</f>
        <v>19.169999999999998</v>
      </c>
      <c r="S228" s="8">
        <f>((749-487)/50*90+487)/60</f>
        <v>15.976666666666667</v>
      </c>
      <c r="T228" s="4" t="str">
        <f t="shared" si="45"/>
        <v>Fast</v>
      </c>
      <c r="U228" s="4" t="s">
        <v>10</v>
      </c>
      <c r="V228" s="4" t="s">
        <v>32</v>
      </c>
      <c r="W228" s="4">
        <v>10</v>
      </c>
      <c r="X228" s="4">
        <v>1200</v>
      </c>
      <c r="Y228" s="4">
        <v>400</v>
      </c>
      <c r="Z228" s="4">
        <v>28</v>
      </c>
      <c r="AA228" s="11">
        <v>0.6</v>
      </c>
      <c r="AB228" s="8" t="s">
        <v>37</v>
      </c>
      <c r="AC228" s="4" t="s">
        <v>37</v>
      </c>
      <c r="AD228" s="11" t="s">
        <v>37</v>
      </c>
      <c r="AE228" s="5" t="s">
        <v>182</v>
      </c>
      <c r="AF228" s="4" t="s">
        <v>731</v>
      </c>
    </row>
    <row r="229" spans="1:32" s="4" customFormat="1" x14ac:dyDescent="0.25">
      <c r="A229" s="4">
        <f t="shared" si="40"/>
        <v>143</v>
      </c>
      <c r="B229" s="5" t="s">
        <v>497</v>
      </c>
      <c r="C229" s="6" t="s">
        <v>14</v>
      </c>
      <c r="D229" s="4" t="s">
        <v>13</v>
      </c>
      <c r="E229" s="4" t="s">
        <v>182</v>
      </c>
      <c r="F229" s="10" t="s">
        <v>500</v>
      </c>
      <c r="G229" s="4" t="s">
        <v>9</v>
      </c>
      <c r="H229" s="4" t="s">
        <v>233</v>
      </c>
      <c r="I229" s="4" t="s">
        <v>331</v>
      </c>
      <c r="J229" s="7">
        <f t="shared" si="39"/>
        <v>38.448275862068968</v>
      </c>
      <c r="K229" s="4" t="str">
        <f t="shared" si="46"/>
        <v>Less Conserved</v>
      </c>
      <c r="L229" s="7">
        <v>22.3</v>
      </c>
      <c r="M229" s="7">
        <f t="shared" si="43"/>
        <v>20.07</v>
      </c>
      <c r="N229" s="7">
        <v>28</v>
      </c>
      <c r="O229" s="7">
        <v>580</v>
      </c>
      <c r="P229" s="7">
        <f t="shared" si="41"/>
        <v>522</v>
      </c>
      <c r="Q229" s="7">
        <f t="shared" si="44"/>
        <v>4.8275862068965517E-2</v>
      </c>
      <c r="R229" s="8">
        <f>610/60/50*90</f>
        <v>18.299999999999997</v>
      </c>
      <c r="S229" s="8">
        <f>((700-449)/50*90+449)/60</f>
        <v>15.013333333333332</v>
      </c>
      <c r="T229" s="4" t="str">
        <f t="shared" si="45"/>
        <v>Fast</v>
      </c>
      <c r="U229" s="4" t="s">
        <v>10</v>
      </c>
      <c r="V229" s="4" t="s">
        <v>32</v>
      </c>
      <c r="W229" s="4">
        <v>10</v>
      </c>
      <c r="X229" s="4">
        <v>1200</v>
      </c>
      <c r="Y229" s="4">
        <v>400</v>
      </c>
      <c r="Z229" s="4">
        <v>28</v>
      </c>
      <c r="AA229" s="11">
        <v>0.6</v>
      </c>
      <c r="AB229" s="8" t="s">
        <v>37</v>
      </c>
      <c r="AC229" s="4" t="s">
        <v>37</v>
      </c>
      <c r="AD229" s="11" t="s">
        <v>37</v>
      </c>
      <c r="AE229" s="5" t="s">
        <v>182</v>
      </c>
      <c r="AF229" s="4" t="s">
        <v>731</v>
      </c>
    </row>
    <row r="230" spans="1:32" s="4" customFormat="1" x14ac:dyDescent="0.25">
      <c r="A230" s="4">
        <f t="shared" si="40"/>
        <v>144</v>
      </c>
      <c r="B230" s="12" t="s">
        <v>582</v>
      </c>
      <c r="C230" s="6" t="s">
        <v>39</v>
      </c>
      <c r="D230" s="4" t="s">
        <v>40</v>
      </c>
      <c r="E230" s="4" t="s">
        <v>182</v>
      </c>
      <c r="F230" s="10" t="s">
        <v>588</v>
      </c>
      <c r="G230" s="4" t="s">
        <v>9</v>
      </c>
      <c r="H230" s="4" t="s">
        <v>232</v>
      </c>
      <c r="I230" s="4" t="s">
        <v>341</v>
      </c>
      <c r="J230" s="7">
        <f t="shared" si="39"/>
        <v>55.399138787678041</v>
      </c>
      <c r="K230" s="4" t="str">
        <f t="shared" si="46"/>
        <v>Less Conserved</v>
      </c>
      <c r="L230" s="7">
        <v>16.725000000000001</v>
      </c>
      <c r="M230" s="7">
        <f t="shared" si="43"/>
        <v>15.052500000000002</v>
      </c>
      <c r="N230" s="7">
        <v>81.2</v>
      </c>
      <c r="O230" s="7">
        <v>301.89999999999998</v>
      </c>
      <c r="P230" s="7">
        <f t="shared" si="41"/>
        <v>271.70999999999998</v>
      </c>
      <c r="Q230" s="7">
        <f t="shared" si="44"/>
        <v>0.26896323285856244</v>
      </c>
      <c r="R230" s="8">
        <v>21.4</v>
      </c>
      <c r="S230" s="8">
        <v>39.32</v>
      </c>
      <c r="T230" s="4" t="str">
        <f t="shared" si="45"/>
        <v>Intermediate</v>
      </c>
      <c r="U230" s="4" t="s">
        <v>10</v>
      </c>
      <c r="V230" s="4" t="s">
        <v>32</v>
      </c>
      <c r="W230" s="4">
        <v>0</v>
      </c>
      <c r="X230" s="4">
        <v>500</v>
      </c>
      <c r="Y230" s="4">
        <v>400</v>
      </c>
      <c r="Z230" s="4">
        <v>25</v>
      </c>
      <c r="AA230" s="11" t="s">
        <v>583</v>
      </c>
      <c r="AB230" s="8" t="s">
        <v>26</v>
      </c>
      <c r="AC230" s="4" t="s">
        <v>103</v>
      </c>
      <c r="AD230" s="11">
        <v>0.65</v>
      </c>
      <c r="AE230" s="5" t="s">
        <v>182</v>
      </c>
      <c r="AF230" s="4" t="s">
        <v>732</v>
      </c>
    </row>
    <row r="231" spans="1:32" s="4" customFormat="1" x14ac:dyDescent="0.25">
      <c r="A231" s="4">
        <f t="shared" si="40"/>
        <v>144</v>
      </c>
      <c r="B231" s="12" t="s">
        <v>582</v>
      </c>
      <c r="C231" s="6" t="s">
        <v>39</v>
      </c>
      <c r="D231" s="4" t="s">
        <v>40</v>
      </c>
      <c r="E231" s="4" t="s">
        <v>182</v>
      </c>
      <c r="F231" s="10" t="s">
        <v>584</v>
      </c>
      <c r="G231" s="4" t="s">
        <v>9</v>
      </c>
      <c r="H231" s="4" t="s">
        <v>232</v>
      </c>
      <c r="I231" s="4" t="s">
        <v>341</v>
      </c>
      <c r="J231" s="7">
        <f t="shared" si="39"/>
        <v>56.115676359039192</v>
      </c>
      <c r="K231" s="4" t="str">
        <f t="shared" si="46"/>
        <v>Less Conserved</v>
      </c>
      <c r="L231" s="7">
        <v>17.754999999999999</v>
      </c>
      <c r="M231" s="7">
        <f t="shared" si="43"/>
        <v>15.9795</v>
      </c>
      <c r="N231" s="7">
        <v>100.4</v>
      </c>
      <c r="O231" s="7">
        <v>316.39999999999998</v>
      </c>
      <c r="P231" s="7">
        <f t="shared" si="41"/>
        <v>284.76</v>
      </c>
      <c r="Q231" s="7">
        <f t="shared" si="44"/>
        <v>0.31731984829329968</v>
      </c>
      <c r="R231" s="8">
        <v>18.600000000000001</v>
      </c>
      <c r="S231" s="8">
        <v>37.159999999999997</v>
      </c>
      <c r="T231" s="4" t="str">
        <f t="shared" si="45"/>
        <v>Intermediate</v>
      </c>
      <c r="U231" s="4" t="s">
        <v>10</v>
      </c>
      <c r="V231" s="4" t="s">
        <v>32</v>
      </c>
      <c r="W231" s="4">
        <v>0</v>
      </c>
      <c r="X231" s="4">
        <v>500</v>
      </c>
      <c r="Y231" s="4">
        <v>400</v>
      </c>
      <c r="Z231" s="4">
        <v>25</v>
      </c>
      <c r="AA231" s="11" t="s">
        <v>583</v>
      </c>
      <c r="AB231" s="8" t="s">
        <v>26</v>
      </c>
      <c r="AC231" s="4" t="s">
        <v>103</v>
      </c>
      <c r="AD231" s="11">
        <v>0.65</v>
      </c>
      <c r="AE231" s="5" t="s">
        <v>182</v>
      </c>
      <c r="AF231" s="4" t="s">
        <v>732</v>
      </c>
    </row>
    <row r="232" spans="1:32" s="4" customFormat="1" x14ac:dyDescent="0.25">
      <c r="A232" s="4">
        <f t="shared" si="40"/>
        <v>144</v>
      </c>
      <c r="B232" s="12" t="s">
        <v>582</v>
      </c>
      <c r="C232" s="6" t="s">
        <v>39</v>
      </c>
      <c r="D232" s="4" t="s">
        <v>40</v>
      </c>
      <c r="E232" s="4" t="s">
        <v>182</v>
      </c>
      <c r="F232" s="10" t="s">
        <v>589</v>
      </c>
      <c r="G232" s="4" t="s">
        <v>9</v>
      </c>
      <c r="H232" s="4" t="s">
        <v>232</v>
      </c>
      <c r="I232" s="4" t="s">
        <v>341</v>
      </c>
      <c r="J232" s="7">
        <f t="shared" si="39"/>
        <v>36.007462686567159</v>
      </c>
      <c r="K232" s="4" t="str">
        <f t="shared" si="46"/>
        <v>Less Conserved</v>
      </c>
      <c r="L232" s="7">
        <v>15.44</v>
      </c>
      <c r="M232" s="7">
        <f t="shared" si="43"/>
        <v>13.895999999999999</v>
      </c>
      <c r="N232" s="7">
        <v>120.3</v>
      </c>
      <c r="O232" s="7">
        <v>428.8</v>
      </c>
      <c r="P232" s="7">
        <f t="shared" ref="P232:P263" si="47">O232*0.9</f>
        <v>385.92</v>
      </c>
      <c r="Q232" s="7">
        <f t="shared" si="44"/>
        <v>0.28055037313432835</v>
      </c>
      <c r="R232" s="8">
        <v>18.3</v>
      </c>
      <c r="S232" s="8">
        <v>37.51</v>
      </c>
      <c r="T232" s="4" t="str">
        <f t="shared" si="45"/>
        <v>Intermediate</v>
      </c>
      <c r="U232" s="4" t="s">
        <v>10</v>
      </c>
      <c r="V232" s="4" t="s">
        <v>32</v>
      </c>
      <c r="W232" s="4">
        <v>0</v>
      </c>
      <c r="X232" s="4">
        <v>500</v>
      </c>
      <c r="Y232" s="4">
        <v>400</v>
      </c>
      <c r="Z232" s="4">
        <v>25</v>
      </c>
      <c r="AA232" s="11" t="s">
        <v>583</v>
      </c>
      <c r="AB232" s="8" t="s">
        <v>37</v>
      </c>
      <c r="AC232" s="4" t="s">
        <v>586</v>
      </c>
      <c r="AD232" s="11" t="s">
        <v>587</v>
      </c>
      <c r="AE232" s="5" t="s">
        <v>182</v>
      </c>
      <c r="AF232" s="4" t="s">
        <v>732</v>
      </c>
    </row>
    <row r="233" spans="1:32" s="4" customFormat="1" x14ac:dyDescent="0.25">
      <c r="A233" s="4">
        <f t="shared" si="40"/>
        <v>144</v>
      </c>
      <c r="B233" s="12" t="s">
        <v>582</v>
      </c>
      <c r="C233" s="6" t="s">
        <v>39</v>
      </c>
      <c r="D233" s="4" t="s">
        <v>40</v>
      </c>
      <c r="E233" s="4" t="s">
        <v>182</v>
      </c>
      <c r="F233" s="10" t="s">
        <v>585</v>
      </c>
      <c r="G233" s="4" t="s">
        <v>9</v>
      </c>
      <c r="H233" s="4" t="s">
        <v>232</v>
      </c>
      <c r="I233" s="4" t="s">
        <v>341</v>
      </c>
      <c r="J233" s="7">
        <f t="shared" si="39"/>
        <v>32.308014228918182</v>
      </c>
      <c r="K233" s="4" t="str">
        <f t="shared" si="46"/>
        <v>Less Conserved</v>
      </c>
      <c r="L233" s="7">
        <v>15.44</v>
      </c>
      <c r="M233" s="7">
        <f t="shared" si="43"/>
        <v>13.895999999999999</v>
      </c>
      <c r="N233" s="7">
        <v>150.80000000000001</v>
      </c>
      <c r="O233" s="7">
        <v>477.9</v>
      </c>
      <c r="P233" s="7">
        <f t="shared" si="47"/>
        <v>430.11</v>
      </c>
      <c r="Q233" s="7">
        <f t="shared" si="44"/>
        <v>0.31554718560368283</v>
      </c>
      <c r="R233" s="8">
        <v>18.600000000000001</v>
      </c>
      <c r="S233" s="8">
        <v>42.64</v>
      </c>
      <c r="T233" s="4" t="str">
        <f t="shared" si="45"/>
        <v>Intermediate</v>
      </c>
      <c r="U233" s="4" t="s">
        <v>10</v>
      </c>
      <c r="V233" s="4" t="s">
        <v>32</v>
      </c>
      <c r="W233" s="4">
        <v>0</v>
      </c>
      <c r="X233" s="4">
        <v>500</v>
      </c>
      <c r="Y233" s="4">
        <v>400</v>
      </c>
      <c r="Z233" s="4">
        <v>25</v>
      </c>
      <c r="AA233" s="11" t="s">
        <v>583</v>
      </c>
      <c r="AB233" s="8" t="s">
        <v>37</v>
      </c>
      <c r="AC233" s="4" t="s">
        <v>586</v>
      </c>
      <c r="AD233" s="11" t="s">
        <v>587</v>
      </c>
      <c r="AE233" s="5" t="s">
        <v>182</v>
      </c>
      <c r="AF233" s="4" t="s">
        <v>732</v>
      </c>
    </row>
    <row r="234" spans="1:32" s="4" customFormat="1" x14ac:dyDescent="0.25">
      <c r="A234" s="4">
        <f t="shared" si="40"/>
        <v>144</v>
      </c>
      <c r="B234" s="5" t="s">
        <v>605</v>
      </c>
      <c r="C234" s="6" t="s">
        <v>39</v>
      </c>
      <c r="D234" s="4" t="s">
        <v>40</v>
      </c>
      <c r="E234" s="4" t="s">
        <v>182</v>
      </c>
      <c r="F234" s="10" t="s">
        <v>606</v>
      </c>
      <c r="G234" s="4" t="s">
        <v>9</v>
      </c>
      <c r="H234" s="4" t="s">
        <v>232</v>
      </c>
      <c r="I234" s="4" t="s">
        <v>341</v>
      </c>
      <c r="J234" s="7">
        <f t="shared" si="39"/>
        <v>49.6</v>
      </c>
      <c r="K234" s="4" t="str">
        <f t="shared" si="46"/>
        <v>Less Conserved</v>
      </c>
      <c r="L234" s="7">
        <v>24.8</v>
      </c>
      <c r="M234" s="7">
        <f t="shared" si="43"/>
        <v>22.32</v>
      </c>
      <c r="N234" s="7">
        <v>240</v>
      </c>
      <c r="O234" s="7">
        <v>500</v>
      </c>
      <c r="P234" s="7">
        <f t="shared" si="47"/>
        <v>450</v>
      </c>
      <c r="Q234" s="7">
        <f t="shared" si="44"/>
        <v>0.48</v>
      </c>
      <c r="R234" s="8">
        <v>6.2</v>
      </c>
      <c r="S234" s="8">
        <v>20.39</v>
      </c>
      <c r="T234" s="4" t="str">
        <f t="shared" si="45"/>
        <v>Intermediate</v>
      </c>
      <c r="U234" s="4" t="s">
        <v>10</v>
      </c>
      <c r="V234" s="4" t="s">
        <v>32</v>
      </c>
      <c r="W234" s="4">
        <v>50</v>
      </c>
      <c r="X234" s="4">
        <v>1500</v>
      </c>
      <c r="Y234" s="4">
        <v>400</v>
      </c>
      <c r="Z234" s="4">
        <v>22</v>
      </c>
      <c r="AA234" s="4" t="s">
        <v>599</v>
      </c>
      <c r="AB234" s="8">
        <v>200</v>
      </c>
      <c r="AC234" s="4" t="s">
        <v>42</v>
      </c>
      <c r="AD234" s="11">
        <v>0.65</v>
      </c>
      <c r="AE234" s="5" t="s">
        <v>182</v>
      </c>
    </row>
    <row r="235" spans="1:32" s="4" customFormat="1" x14ac:dyDescent="0.25">
      <c r="A235" s="4">
        <f t="shared" si="40"/>
        <v>144</v>
      </c>
      <c r="B235" s="5" t="s">
        <v>605</v>
      </c>
      <c r="C235" s="6" t="s">
        <v>39</v>
      </c>
      <c r="D235" s="4" t="s">
        <v>40</v>
      </c>
      <c r="E235" s="4" t="s">
        <v>182</v>
      </c>
      <c r="F235" s="10" t="s">
        <v>607</v>
      </c>
      <c r="G235" s="4" t="s">
        <v>9</v>
      </c>
      <c r="H235" s="4" t="s">
        <v>232</v>
      </c>
      <c r="I235" s="4" t="s">
        <v>341</v>
      </c>
      <c r="J235" s="7">
        <f t="shared" si="39"/>
        <v>50.784313725490193</v>
      </c>
      <c r="K235" s="4" t="str">
        <f t="shared" si="46"/>
        <v>Less Conserved</v>
      </c>
      <c r="L235" s="7">
        <v>25.9</v>
      </c>
      <c r="M235" s="7">
        <f t="shared" si="43"/>
        <v>23.31</v>
      </c>
      <c r="N235" s="7">
        <v>250</v>
      </c>
      <c r="O235" s="7">
        <v>510</v>
      </c>
      <c r="P235" s="7">
        <f t="shared" si="47"/>
        <v>459</v>
      </c>
      <c r="Q235" s="7">
        <f t="shared" si="44"/>
        <v>0.49019607843137253</v>
      </c>
      <c r="R235" s="8">
        <v>5.0999999999999996</v>
      </c>
      <c r="S235" s="8">
        <v>19.5</v>
      </c>
      <c r="T235" s="4" t="str">
        <f t="shared" si="45"/>
        <v>Fast</v>
      </c>
      <c r="U235" s="4" t="s">
        <v>10</v>
      </c>
      <c r="V235" s="4" t="s">
        <v>32</v>
      </c>
      <c r="W235" s="4">
        <v>50</v>
      </c>
      <c r="X235" s="4">
        <v>1500</v>
      </c>
      <c r="Y235" s="4">
        <v>400</v>
      </c>
      <c r="Z235" s="4">
        <v>22</v>
      </c>
      <c r="AA235" s="4" t="s">
        <v>599</v>
      </c>
      <c r="AB235" s="8">
        <v>200</v>
      </c>
      <c r="AC235" s="4" t="s">
        <v>42</v>
      </c>
      <c r="AD235" s="11">
        <v>0.65</v>
      </c>
      <c r="AE235" s="5" t="s">
        <v>182</v>
      </c>
    </row>
    <row r="236" spans="1:32" s="4" customFormat="1" x14ac:dyDescent="0.25">
      <c r="A236" s="4">
        <f t="shared" si="40"/>
        <v>144</v>
      </c>
      <c r="B236" s="5" t="s">
        <v>600</v>
      </c>
      <c r="C236" s="6" t="s">
        <v>39</v>
      </c>
      <c r="D236" s="4" t="s">
        <v>40</v>
      </c>
      <c r="E236" s="4" t="s">
        <v>182</v>
      </c>
      <c r="F236" s="10" t="s">
        <v>602</v>
      </c>
      <c r="G236" s="4" t="s">
        <v>9</v>
      </c>
      <c r="H236" s="4" t="s">
        <v>232</v>
      </c>
      <c r="I236" s="4" t="s">
        <v>341</v>
      </c>
      <c r="J236" s="7">
        <f t="shared" si="39"/>
        <v>64.436150359904019</v>
      </c>
      <c r="K236" s="4" t="str">
        <f t="shared" si="46"/>
        <v>Less Conserved</v>
      </c>
      <c r="L236" s="7">
        <v>24.17</v>
      </c>
      <c r="M236" s="7">
        <f t="shared" si="43"/>
        <v>21.753000000000004</v>
      </c>
      <c r="N236" s="7">
        <v>136.4</v>
      </c>
      <c r="O236" s="7">
        <v>375.1</v>
      </c>
      <c r="P236" s="7">
        <f t="shared" si="47"/>
        <v>337.59000000000003</v>
      </c>
      <c r="Q236" s="7">
        <f t="shared" si="44"/>
        <v>0.36363636363636365</v>
      </c>
      <c r="R236" s="8">
        <v>17.489999999999998</v>
      </c>
      <c r="S236" s="8">
        <v>34.19</v>
      </c>
      <c r="T236" s="4" t="str">
        <f t="shared" si="45"/>
        <v>Intermediate</v>
      </c>
      <c r="U236" s="4" t="s">
        <v>10</v>
      </c>
      <c r="V236" s="4" t="s">
        <v>32</v>
      </c>
      <c r="W236" s="4">
        <v>50</v>
      </c>
      <c r="X236" s="4">
        <v>1500</v>
      </c>
      <c r="Y236" s="4">
        <v>400</v>
      </c>
      <c r="Z236" s="4">
        <v>25</v>
      </c>
      <c r="AA236" s="4" t="s">
        <v>599</v>
      </c>
      <c r="AB236" s="8">
        <v>200</v>
      </c>
      <c r="AC236" s="4" t="s">
        <v>103</v>
      </c>
      <c r="AD236" s="11">
        <v>0.7</v>
      </c>
      <c r="AE236" s="5" t="s">
        <v>182</v>
      </c>
      <c r="AF236" s="4" t="s">
        <v>196</v>
      </c>
    </row>
    <row r="237" spans="1:32" s="4" customFormat="1" x14ac:dyDescent="0.25">
      <c r="A237" s="4">
        <f t="shared" si="40"/>
        <v>144</v>
      </c>
      <c r="B237" s="5" t="s">
        <v>600</v>
      </c>
      <c r="C237" s="6" t="s">
        <v>39</v>
      </c>
      <c r="D237" s="4" t="s">
        <v>40</v>
      </c>
      <c r="E237" s="4" t="s">
        <v>182</v>
      </c>
      <c r="F237" s="10" t="s">
        <v>603</v>
      </c>
      <c r="G237" s="4" t="s">
        <v>9</v>
      </c>
      <c r="H237" s="4" t="s">
        <v>232</v>
      </c>
      <c r="I237" s="4" t="s">
        <v>341</v>
      </c>
      <c r="J237" s="7">
        <f t="shared" si="39"/>
        <v>61.468750000000007</v>
      </c>
      <c r="K237" s="4" t="str">
        <f t="shared" si="46"/>
        <v>Less Conserved</v>
      </c>
      <c r="L237" s="7">
        <v>19.670000000000002</v>
      </c>
      <c r="M237" s="7">
        <f t="shared" si="43"/>
        <v>17.703000000000003</v>
      </c>
      <c r="N237" s="7">
        <v>101.3</v>
      </c>
      <c r="O237" s="7">
        <v>320</v>
      </c>
      <c r="P237" s="7">
        <f t="shared" si="47"/>
        <v>288</v>
      </c>
      <c r="Q237" s="7">
        <f t="shared" si="44"/>
        <v>0.31656249999999997</v>
      </c>
      <c r="R237" s="8">
        <v>27.41</v>
      </c>
      <c r="S237" s="8">
        <v>48</v>
      </c>
      <c r="T237" s="4" t="str">
        <f t="shared" si="45"/>
        <v>Slow</v>
      </c>
      <c r="U237" s="4" t="s">
        <v>10</v>
      </c>
      <c r="V237" s="4" t="s">
        <v>32</v>
      </c>
      <c r="W237" s="4">
        <v>50</v>
      </c>
      <c r="X237" s="4">
        <v>1500</v>
      </c>
      <c r="Y237" s="4">
        <v>400</v>
      </c>
      <c r="Z237" s="4">
        <v>25</v>
      </c>
      <c r="AA237" s="4" t="s">
        <v>599</v>
      </c>
      <c r="AB237" s="8">
        <v>200</v>
      </c>
      <c r="AC237" s="4" t="s">
        <v>103</v>
      </c>
      <c r="AD237" s="11">
        <v>0.7</v>
      </c>
      <c r="AE237" s="5" t="s">
        <v>182</v>
      </c>
      <c r="AF237" s="4" t="s">
        <v>196</v>
      </c>
    </row>
    <row r="238" spans="1:32" s="4" customFormat="1" x14ac:dyDescent="0.25">
      <c r="A238" s="4">
        <f t="shared" si="40"/>
        <v>144</v>
      </c>
      <c r="B238" s="5" t="s">
        <v>600</v>
      </c>
      <c r="C238" s="6" t="s">
        <v>39</v>
      </c>
      <c r="D238" s="4" t="s">
        <v>40</v>
      </c>
      <c r="E238" s="4" t="s">
        <v>182</v>
      </c>
      <c r="F238" s="10" t="s">
        <v>604</v>
      </c>
      <c r="G238" s="4" t="s">
        <v>9</v>
      </c>
      <c r="H238" s="4" t="s">
        <v>232</v>
      </c>
      <c r="I238" s="4" t="s">
        <v>341</v>
      </c>
      <c r="J238" s="7">
        <f t="shared" si="39"/>
        <v>62.888794205368555</v>
      </c>
      <c r="K238" s="4" t="str">
        <f t="shared" si="46"/>
        <v>Less Conserved</v>
      </c>
      <c r="L238" s="7">
        <v>14.76</v>
      </c>
      <c r="M238" s="7">
        <f t="shared" si="43"/>
        <v>13.284000000000001</v>
      </c>
      <c r="N238" s="7">
        <v>79.400000000000006</v>
      </c>
      <c r="O238" s="7">
        <v>234.7</v>
      </c>
      <c r="P238" s="7">
        <f t="shared" si="47"/>
        <v>211.23</v>
      </c>
      <c r="Q238" s="7">
        <f t="shared" si="44"/>
        <v>0.33830421815083089</v>
      </c>
      <c r="R238" s="8">
        <v>27.47</v>
      </c>
      <c r="S238" s="8">
        <v>47.72</v>
      </c>
      <c r="T238" s="4" t="str">
        <f t="shared" si="45"/>
        <v>Slow</v>
      </c>
      <c r="U238" s="4" t="s">
        <v>10</v>
      </c>
      <c r="V238" s="4" t="s">
        <v>32</v>
      </c>
      <c r="W238" s="4">
        <v>50</v>
      </c>
      <c r="X238" s="4">
        <v>1500</v>
      </c>
      <c r="Y238" s="4">
        <v>400</v>
      </c>
      <c r="Z238" s="4">
        <v>25</v>
      </c>
      <c r="AA238" s="4" t="s">
        <v>599</v>
      </c>
      <c r="AB238" s="8">
        <v>200</v>
      </c>
      <c r="AC238" s="4" t="s">
        <v>103</v>
      </c>
      <c r="AD238" s="11">
        <v>0.7</v>
      </c>
      <c r="AE238" s="5" t="s">
        <v>182</v>
      </c>
      <c r="AF238" s="4" t="s">
        <v>196</v>
      </c>
    </row>
    <row r="239" spans="1:32" s="4" customFormat="1" x14ac:dyDescent="0.25">
      <c r="A239" s="4">
        <f t="shared" si="40"/>
        <v>144</v>
      </c>
      <c r="B239" s="5" t="s">
        <v>600</v>
      </c>
      <c r="C239" s="6" t="s">
        <v>39</v>
      </c>
      <c r="D239" s="4" t="s">
        <v>40</v>
      </c>
      <c r="E239" s="4" t="s">
        <v>182</v>
      </c>
      <c r="F239" s="10" t="s">
        <v>601</v>
      </c>
      <c r="G239" s="4" t="s">
        <v>9</v>
      </c>
      <c r="H239" s="4" t="s">
        <v>232</v>
      </c>
      <c r="I239" s="4" t="s">
        <v>341</v>
      </c>
      <c r="J239" s="7">
        <f t="shared" si="39"/>
        <v>54.200869145340413</v>
      </c>
      <c r="K239" s="4" t="str">
        <f t="shared" si="46"/>
        <v>Less Conserved</v>
      </c>
      <c r="L239" s="7">
        <v>22.45</v>
      </c>
      <c r="M239" s="7">
        <f t="shared" si="43"/>
        <v>20.204999999999998</v>
      </c>
      <c r="N239" s="7">
        <v>213.6</v>
      </c>
      <c r="O239" s="7">
        <v>414.2</v>
      </c>
      <c r="P239" s="7">
        <f t="shared" si="47"/>
        <v>372.78</v>
      </c>
      <c r="Q239" s="7">
        <f t="shared" si="44"/>
        <v>0.51569290197971995</v>
      </c>
      <c r="R239" s="8">
        <v>10.7</v>
      </c>
      <c r="S239" s="8">
        <v>30.29</v>
      </c>
      <c r="T239" s="4" t="str">
        <f t="shared" si="45"/>
        <v>Intermediate</v>
      </c>
      <c r="U239" s="4" t="s">
        <v>10</v>
      </c>
      <c r="V239" s="4" t="s">
        <v>32</v>
      </c>
      <c r="W239" s="4">
        <v>50</v>
      </c>
      <c r="X239" s="4">
        <v>1500</v>
      </c>
      <c r="Y239" s="4">
        <v>400</v>
      </c>
      <c r="Z239" s="4">
        <v>25</v>
      </c>
      <c r="AA239" s="4" t="s">
        <v>599</v>
      </c>
      <c r="AB239" s="8">
        <v>200</v>
      </c>
      <c r="AC239" s="4" t="s">
        <v>103</v>
      </c>
      <c r="AD239" s="11">
        <v>0.7</v>
      </c>
      <c r="AE239" s="5" t="s">
        <v>182</v>
      </c>
      <c r="AF239" s="4" t="s">
        <v>196</v>
      </c>
    </row>
    <row r="240" spans="1:32" s="4" customFormat="1" x14ac:dyDescent="0.25">
      <c r="A240" s="4">
        <f t="shared" si="40"/>
        <v>145</v>
      </c>
      <c r="B240" s="5" t="s">
        <v>564</v>
      </c>
      <c r="C240" s="6" t="s">
        <v>209</v>
      </c>
      <c r="D240" s="4" t="s">
        <v>210</v>
      </c>
      <c r="E240" s="4" t="s">
        <v>182</v>
      </c>
      <c r="F240" s="10" t="s">
        <v>247</v>
      </c>
      <c r="G240" s="4" t="s">
        <v>9</v>
      </c>
      <c r="H240" s="4" t="s">
        <v>232</v>
      </c>
      <c r="I240" s="4" t="s">
        <v>344</v>
      </c>
      <c r="J240" s="7">
        <f t="shared" si="39"/>
        <v>111.03727714748784</v>
      </c>
      <c r="K240" s="4" t="str">
        <f t="shared" si="46"/>
        <v>More Conserved</v>
      </c>
      <c r="L240" s="7">
        <v>13.702</v>
      </c>
      <c r="M240" s="7">
        <f t="shared" si="43"/>
        <v>12.331799999999999</v>
      </c>
      <c r="N240" s="7">
        <v>89.2</v>
      </c>
      <c r="O240" s="7">
        <v>123.4</v>
      </c>
      <c r="P240" s="7">
        <f t="shared" si="47"/>
        <v>111.06</v>
      </c>
      <c r="Q240" s="7">
        <f t="shared" si="44"/>
        <v>0.72285251215559154</v>
      </c>
      <c r="R240" s="8">
        <v>11.984999999999999</v>
      </c>
      <c r="S240" s="8">
        <v>17.004000000000001</v>
      </c>
      <c r="T240" s="4" t="str">
        <f t="shared" si="45"/>
        <v>Fast</v>
      </c>
      <c r="U240" s="4" t="s">
        <v>10</v>
      </c>
      <c r="V240" s="4" t="s">
        <v>41</v>
      </c>
      <c r="W240" s="4">
        <v>50</v>
      </c>
      <c r="X240" s="4">
        <v>1000</v>
      </c>
      <c r="Y240" s="4">
        <v>400</v>
      </c>
      <c r="Z240" s="4">
        <v>23</v>
      </c>
      <c r="AA240" s="11">
        <v>0.65</v>
      </c>
      <c r="AB240" s="8">
        <v>241</v>
      </c>
      <c r="AC240" s="4" t="s">
        <v>215</v>
      </c>
      <c r="AD240" s="11">
        <v>0.63</v>
      </c>
      <c r="AE240" s="4" t="s">
        <v>183</v>
      </c>
      <c r="AF240" s="4" t="s">
        <v>732</v>
      </c>
    </row>
    <row r="241" spans="1:32" s="4" customFormat="1" x14ac:dyDescent="0.25">
      <c r="A241" s="4">
        <f t="shared" si="40"/>
        <v>145</v>
      </c>
      <c r="B241" s="5" t="s">
        <v>564</v>
      </c>
      <c r="C241" s="6" t="s">
        <v>209</v>
      </c>
      <c r="D241" s="4" t="s">
        <v>210</v>
      </c>
      <c r="E241" s="4" t="s">
        <v>182</v>
      </c>
      <c r="F241" s="10" t="s">
        <v>248</v>
      </c>
      <c r="G241" s="4" t="s">
        <v>9</v>
      </c>
      <c r="H241" s="4" t="s">
        <v>232</v>
      </c>
      <c r="I241" s="4" t="s">
        <v>344</v>
      </c>
      <c r="J241" s="7">
        <f t="shared" si="39"/>
        <v>105.38519072550487</v>
      </c>
      <c r="K241" s="4" t="str">
        <f t="shared" si="46"/>
        <v>More Conserved</v>
      </c>
      <c r="L241" s="7">
        <v>14.09</v>
      </c>
      <c r="M241" s="7">
        <f t="shared" ref="M241:M272" si="48">L241*0.9</f>
        <v>12.681000000000001</v>
      </c>
      <c r="N241" s="7">
        <v>51.9</v>
      </c>
      <c r="O241" s="7">
        <v>133.69999999999999</v>
      </c>
      <c r="P241" s="7">
        <f t="shared" si="47"/>
        <v>120.33</v>
      </c>
      <c r="Q241" s="7">
        <f t="shared" ref="Q241:Q272" si="49">N241/O241</f>
        <v>0.38818249813014211</v>
      </c>
      <c r="R241" s="8">
        <v>22.332999999999998</v>
      </c>
      <c r="S241" s="8">
        <v>24.27</v>
      </c>
      <c r="T241" s="4" t="str">
        <f t="shared" si="45"/>
        <v>Intermediate</v>
      </c>
      <c r="U241" s="4" t="s">
        <v>10</v>
      </c>
      <c r="V241" s="4" t="s">
        <v>41</v>
      </c>
      <c r="W241" s="4">
        <v>50</v>
      </c>
      <c r="X241" s="4">
        <v>1000</v>
      </c>
      <c r="Y241" s="4">
        <v>400</v>
      </c>
      <c r="Z241" s="4">
        <v>23</v>
      </c>
      <c r="AA241" s="11">
        <v>0.65</v>
      </c>
      <c r="AB241" s="8">
        <v>241</v>
      </c>
      <c r="AC241" s="4" t="s">
        <v>215</v>
      </c>
      <c r="AD241" s="11">
        <v>0.63</v>
      </c>
      <c r="AE241" s="4" t="s">
        <v>183</v>
      </c>
      <c r="AF241" s="4" t="s">
        <v>732</v>
      </c>
    </row>
    <row r="242" spans="1:32" s="4" customFormat="1" x14ac:dyDescent="0.25">
      <c r="A242" s="4">
        <f t="shared" si="40"/>
        <v>145</v>
      </c>
      <c r="B242" s="5" t="s">
        <v>564</v>
      </c>
      <c r="C242" s="6" t="s">
        <v>209</v>
      </c>
      <c r="D242" s="4" t="s">
        <v>210</v>
      </c>
      <c r="E242" s="4" t="s">
        <v>182</v>
      </c>
      <c r="F242" s="10" t="s">
        <v>249</v>
      </c>
      <c r="G242" s="4" t="s">
        <v>9</v>
      </c>
      <c r="H242" s="4" t="s">
        <v>232</v>
      </c>
      <c r="I242" s="4" t="s">
        <v>344</v>
      </c>
      <c r="J242" s="7">
        <f t="shared" si="39"/>
        <v>104.38147892190739</v>
      </c>
      <c r="K242" s="4" t="str">
        <f t="shared" si="46"/>
        <v>More Conserved</v>
      </c>
      <c r="L242" s="7">
        <v>15.103999999999999</v>
      </c>
      <c r="M242" s="7">
        <f t="shared" si="48"/>
        <v>13.5936</v>
      </c>
      <c r="N242" s="7">
        <v>73.3</v>
      </c>
      <c r="O242" s="7">
        <v>144.69999999999999</v>
      </c>
      <c r="P242" s="7">
        <f t="shared" si="47"/>
        <v>130.22999999999999</v>
      </c>
      <c r="Q242" s="7">
        <f t="shared" si="49"/>
        <v>0.50656530753282658</v>
      </c>
      <c r="R242" s="8">
        <v>20.062000000000001</v>
      </c>
      <c r="S242" s="8">
        <v>24.568999999999999</v>
      </c>
      <c r="T242" s="4" t="str">
        <f t="shared" si="45"/>
        <v>Intermediate</v>
      </c>
      <c r="U242" s="4" t="s">
        <v>10</v>
      </c>
      <c r="V242" s="4" t="s">
        <v>41</v>
      </c>
      <c r="W242" s="4">
        <v>50</v>
      </c>
      <c r="X242" s="4">
        <v>1000</v>
      </c>
      <c r="Y242" s="4">
        <v>400</v>
      </c>
      <c r="Z242" s="4">
        <v>23</v>
      </c>
      <c r="AA242" s="11">
        <v>0.65</v>
      </c>
      <c r="AB242" s="8">
        <v>241</v>
      </c>
      <c r="AC242" s="4" t="s">
        <v>215</v>
      </c>
      <c r="AD242" s="11">
        <v>0.63</v>
      </c>
      <c r="AE242" s="4" t="s">
        <v>183</v>
      </c>
      <c r="AF242" s="4" t="s">
        <v>732</v>
      </c>
    </row>
    <row r="243" spans="1:32" s="4" customFormat="1" x14ac:dyDescent="0.25">
      <c r="A243" s="4">
        <f t="shared" si="40"/>
        <v>145</v>
      </c>
      <c r="B243" s="5" t="s">
        <v>564</v>
      </c>
      <c r="C243" s="6" t="s">
        <v>209</v>
      </c>
      <c r="D243" s="4" t="s">
        <v>210</v>
      </c>
      <c r="E243" s="4" t="s">
        <v>182</v>
      </c>
      <c r="F243" s="10" t="s">
        <v>250</v>
      </c>
      <c r="G243" s="4" t="s">
        <v>9</v>
      </c>
      <c r="H243" s="4" t="s">
        <v>232</v>
      </c>
      <c r="I243" s="4" t="s">
        <v>344</v>
      </c>
      <c r="J243" s="7">
        <f t="shared" si="39"/>
        <v>95.400246305418705</v>
      </c>
      <c r="K243" s="4" t="str">
        <f t="shared" si="46"/>
        <v>More Conserved</v>
      </c>
      <c r="L243" s="7">
        <v>15.493</v>
      </c>
      <c r="M243" s="7">
        <f t="shared" si="48"/>
        <v>13.9437</v>
      </c>
      <c r="N243" s="7">
        <v>73.3</v>
      </c>
      <c r="O243" s="7">
        <v>162.4</v>
      </c>
      <c r="P243" s="7">
        <f t="shared" si="47"/>
        <v>146.16</v>
      </c>
      <c r="Q243" s="7">
        <f t="shared" si="49"/>
        <v>0.45135467980295563</v>
      </c>
      <c r="R243" s="8">
        <v>19.611999999999998</v>
      </c>
      <c r="S243" s="8">
        <v>25.356000000000002</v>
      </c>
      <c r="T243" s="4" t="str">
        <f t="shared" si="45"/>
        <v>Intermediate</v>
      </c>
      <c r="U243" s="4" t="s">
        <v>10</v>
      </c>
      <c r="V243" s="4" t="s">
        <v>41</v>
      </c>
      <c r="W243" s="4">
        <v>50</v>
      </c>
      <c r="X243" s="4">
        <v>1000</v>
      </c>
      <c r="Y243" s="4">
        <v>400</v>
      </c>
      <c r="Z243" s="4">
        <v>23</v>
      </c>
      <c r="AA243" s="11">
        <v>0.65</v>
      </c>
      <c r="AB243" s="8">
        <v>241</v>
      </c>
      <c r="AC243" s="4" t="s">
        <v>215</v>
      </c>
      <c r="AD243" s="11">
        <v>0.63</v>
      </c>
      <c r="AE243" s="4" t="s">
        <v>183</v>
      </c>
      <c r="AF243" s="4" t="s">
        <v>732</v>
      </c>
    </row>
    <row r="244" spans="1:32" s="4" customFormat="1" x14ac:dyDescent="0.25">
      <c r="A244" s="4">
        <f t="shared" si="40"/>
        <v>146</v>
      </c>
      <c r="B244" s="5" t="s">
        <v>564</v>
      </c>
      <c r="C244" s="6" t="s">
        <v>211</v>
      </c>
      <c r="D244" s="4" t="s">
        <v>212</v>
      </c>
      <c r="E244" s="4" t="s">
        <v>182</v>
      </c>
      <c r="F244" s="10" t="s">
        <v>253</v>
      </c>
      <c r="G244" s="4" t="s">
        <v>9</v>
      </c>
      <c r="H244" s="4" t="s">
        <v>232</v>
      </c>
      <c r="I244" s="4" t="s">
        <v>563</v>
      </c>
      <c r="J244" s="7">
        <f t="shared" si="39"/>
        <v>52.724403927068728</v>
      </c>
      <c r="K244" s="4" t="str">
        <f t="shared" si="46"/>
        <v>Less Conserved</v>
      </c>
      <c r="L244" s="7">
        <v>15.037000000000001</v>
      </c>
      <c r="M244" s="7">
        <f t="shared" si="48"/>
        <v>13.533300000000001</v>
      </c>
      <c r="N244" s="7">
        <v>73.900000000000006</v>
      </c>
      <c r="O244" s="7">
        <v>285.2</v>
      </c>
      <c r="P244" s="7">
        <f t="shared" si="47"/>
        <v>256.68</v>
      </c>
      <c r="Q244" s="7">
        <f t="shared" si="49"/>
        <v>0.25911640953716691</v>
      </c>
      <c r="R244" s="8">
        <v>15.762</v>
      </c>
      <c r="S244" s="8">
        <v>18.38</v>
      </c>
      <c r="T244" s="4" t="str">
        <f t="shared" si="45"/>
        <v>Fast</v>
      </c>
      <c r="U244" s="4" t="s">
        <v>10</v>
      </c>
      <c r="V244" s="4" t="s">
        <v>41</v>
      </c>
      <c r="W244" s="4">
        <v>50</v>
      </c>
      <c r="X244" s="4">
        <v>1000</v>
      </c>
      <c r="Y244" s="4">
        <v>400</v>
      </c>
      <c r="Z244" s="4">
        <v>23</v>
      </c>
      <c r="AA244" s="11">
        <v>0.65</v>
      </c>
      <c r="AB244" s="8">
        <v>241</v>
      </c>
      <c r="AC244" s="4" t="s">
        <v>215</v>
      </c>
      <c r="AD244" s="11">
        <v>0.63</v>
      </c>
      <c r="AE244" s="5" t="s">
        <v>182</v>
      </c>
      <c r="AF244" s="4" t="s">
        <v>732</v>
      </c>
    </row>
    <row r="245" spans="1:32" s="4" customFormat="1" x14ac:dyDescent="0.25">
      <c r="A245" s="4">
        <f t="shared" si="40"/>
        <v>146</v>
      </c>
      <c r="B245" s="5" t="s">
        <v>564</v>
      </c>
      <c r="C245" s="6" t="s">
        <v>211</v>
      </c>
      <c r="D245" s="4" t="s">
        <v>212</v>
      </c>
      <c r="E245" s="4" t="s">
        <v>182</v>
      </c>
      <c r="F245" s="10" t="s">
        <v>254</v>
      </c>
      <c r="G245" s="4" t="s">
        <v>9</v>
      </c>
      <c r="H245" s="4" t="s">
        <v>232</v>
      </c>
      <c r="I245" s="4" t="s">
        <v>563</v>
      </c>
      <c r="J245" s="7">
        <f t="shared" si="39"/>
        <v>57.943292424883623</v>
      </c>
      <c r="K245" s="4" t="str">
        <f t="shared" si="46"/>
        <v>Less Conserved</v>
      </c>
      <c r="L245" s="7">
        <v>13.692</v>
      </c>
      <c r="M245" s="7">
        <f t="shared" si="48"/>
        <v>12.322800000000001</v>
      </c>
      <c r="N245" s="7">
        <v>72.099999999999994</v>
      </c>
      <c r="O245" s="7">
        <v>236.3</v>
      </c>
      <c r="P245" s="7">
        <f t="shared" si="47"/>
        <v>212.67000000000002</v>
      </c>
      <c r="Q245" s="7">
        <f t="shared" si="49"/>
        <v>0.30512060939483704</v>
      </c>
      <c r="R245" s="8">
        <v>18.164000000000001</v>
      </c>
      <c r="S245" s="8">
        <v>18.832999999999998</v>
      </c>
      <c r="T245" s="4" t="str">
        <f t="shared" si="45"/>
        <v>Fast</v>
      </c>
      <c r="U245" s="4" t="s">
        <v>10</v>
      </c>
      <c r="V245" s="4" t="s">
        <v>41</v>
      </c>
      <c r="W245" s="4">
        <v>50</v>
      </c>
      <c r="X245" s="4">
        <v>1000</v>
      </c>
      <c r="Y245" s="4">
        <v>400</v>
      </c>
      <c r="Z245" s="4">
        <v>23</v>
      </c>
      <c r="AA245" s="11">
        <v>0.65</v>
      </c>
      <c r="AB245" s="8">
        <v>241</v>
      </c>
      <c r="AC245" s="4" t="s">
        <v>215</v>
      </c>
      <c r="AD245" s="11">
        <v>0.63</v>
      </c>
      <c r="AE245" s="5" t="s">
        <v>182</v>
      </c>
      <c r="AF245" s="4" t="s">
        <v>732</v>
      </c>
    </row>
    <row r="246" spans="1:32" s="4" customFormat="1" x14ac:dyDescent="0.25">
      <c r="A246" s="4">
        <f t="shared" si="40"/>
        <v>146</v>
      </c>
      <c r="B246" s="5" t="s">
        <v>564</v>
      </c>
      <c r="C246" s="6" t="s">
        <v>211</v>
      </c>
      <c r="D246" s="4" t="s">
        <v>212</v>
      </c>
      <c r="E246" s="4" t="s">
        <v>182</v>
      </c>
      <c r="F246" s="10" t="s">
        <v>255</v>
      </c>
      <c r="G246" s="4" t="s">
        <v>9</v>
      </c>
      <c r="H246" s="4" t="s">
        <v>232</v>
      </c>
      <c r="I246" s="4" t="s">
        <v>563</v>
      </c>
      <c r="J246" s="7">
        <f t="shared" si="39"/>
        <v>50.292244286249534</v>
      </c>
      <c r="K246" s="4" t="str">
        <f t="shared" si="46"/>
        <v>Less Conserved</v>
      </c>
      <c r="L246" s="7">
        <v>13.423</v>
      </c>
      <c r="M246" s="7">
        <f t="shared" si="48"/>
        <v>12.0807</v>
      </c>
      <c r="N246" s="7">
        <v>72.7</v>
      </c>
      <c r="O246" s="7">
        <v>266.89999999999998</v>
      </c>
      <c r="P246" s="7">
        <f t="shared" si="47"/>
        <v>240.20999999999998</v>
      </c>
      <c r="Q246" s="7">
        <f t="shared" si="49"/>
        <v>0.27238666167103787</v>
      </c>
      <c r="R246" s="8">
        <v>17.376999999999999</v>
      </c>
      <c r="S246" s="8">
        <v>22.495999999999999</v>
      </c>
      <c r="T246" s="4" t="str">
        <f t="shared" ref="T246:T277" si="50">IF(S246&gt;=45, "Slow", IF(S246&gt;=20, "Intermediate", "Fast"))</f>
        <v>Intermediate</v>
      </c>
      <c r="U246" s="4" t="s">
        <v>10</v>
      </c>
      <c r="V246" s="4" t="s">
        <v>41</v>
      </c>
      <c r="W246" s="4">
        <v>50</v>
      </c>
      <c r="X246" s="4">
        <v>1000</v>
      </c>
      <c r="Y246" s="4">
        <v>400</v>
      </c>
      <c r="Z246" s="4">
        <v>23</v>
      </c>
      <c r="AA246" s="11">
        <v>0.65</v>
      </c>
      <c r="AB246" s="8">
        <v>241</v>
      </c>
      <c r="AC246" s="4" t="s">
        <v>215</v>
      </c>
      <c r="AD246" s="11">
        <v>0.63</v>
      </c>
      <c r="AE246" s="5" t="s">
        <v>182</v>
      </c>
      <c r="AF246" s="4" t="s">
        <v>732</v>
      </c>
    </row>
    <row r="247" spans="1:32" s="4" customFormat="1" x14ac:dyDescent="0.25">
      <c r="A247" s="4">
        <f t="shared" si="40"/>
        <v>147</v>
      </c>
      <c r="B247" s="5" t="s">
        <v>564</v>
      </c>
      <c r="C247" s="6" t="s">
        <v>180</v>
      </c>
      <c r="D247" s="4" t="s">
        <v>181</v>
      </c>
      <c r="E247" s="4" t="s">
        <v>182</v>
      </c>
      <c r="F247" s="10" t="s">
        <v>261</v>
      </c>
      <c r="G247" s="4" t="s">
        <v>9</v>
      </c>
      <c r="H247" s="4" t="s">
        <v>232</v>
      </c>
      <c r="I247" s="4" t="s">
        <v>344</v>
      </c>
      <c r="J247" s="7">
        <f t="shared" si="39"/>
        <v>65.623591284748315</v>
      </c>
      <c r="K247" s="4" t="str">
        <f t="shared" si="46"/>
        <v>Less Conserved</v>
      </c>
      <c r="L247" s="7">
        <v>17.469000000000001</v>
      </c>
      <c r="M247" s="7">
        <f t="shared" si="48"/>
        <v>15.722100000000001</v>
      </c>
      <c r="N247" s="7">
        <v>97</v>
      </c>
      <c r="O247" s="7">
        <v>266.2</v>
      </c>
      <c r="P247" s="7">
        <f t="shared" si="47"/>
        <v>239.57999999999998</v>
      </c>
      <c r="Q247" s="7">
        <f t="shared" si="49"/>
        <v>0.36438767843726522</v>
      </c>
      <c r="R247" s="8">
        <v>14.733000000000001</v>
      </c>
      <c r="S247" s="8">
        <v>22.068999999999999</v>
      </c>
      <c r="T247" s="4" t="str">
        <f t="shared" si="50"/>
        <v>Intermediate</v>
      </c>
      <c r="U247" s="4" t="s">
        <v>10</v>
      </c>
      <c r="V247" s="4" t="s">
        <v>41</v>
      </c>
      <c r="W247" s="4">
        <v>50</v>
      </c>
      <c r="X247" s="4">
        <v>1000</v>
      </c>
      <c r="Y247" s="4">
        <v>400</v>
      </c>
      <c r="Z247" s="4">
        <v>23</v>
      </c>
      <c r="AA247" s="11">
        <v>0.65</v>
      </c>
      <c r="AB247" s="8">
        <v>241</v>
      </c>
      <c r="AC247" s="4" t="s">
        <v>215</v>
      </c>
      <c r="AD247" s="11">
        <v>0.63</v>
      </c>
      <c r="AE247" s="5" t="s">
        <v>182</v>
      </c>
      <c r="AF247" s="4" t="s">
        <v>732</v>
      </c>
    </row>
    <row r="248" spans="1:32" s="4" customFormat="1" x14ac:dyDescent="0.25">
      <c r="A248" s="4">
        <f t="shared" si="40"/>
        <v>147</v>
      </c>
      <c r="B248" s="5" t="s">
        <v>564</v>
      </c>
      <c r="C248" s="6" t="s">
        <v>180</v>
      </c>
      <c r="D248" s="4" t="s">
        <v>181</v>
      </c>
      <c r="E248" s="4" t="s">
        <v>182</v>
      </c>
      <c r="F248" s="10" t="s">
        <v>262</v>
      </c>
      <c r="G248" s="4" t="s">
        <v>9</v>
      </c>
      <c r="H248" s="4" t="s">
        <v>232</v>
      </c>
      <c r="I248" s="4" t="s">
        <v>344</v>
      </c>
      <c r="J248" s="7">
        <f t="shared" si="39"/>
        <v>68.502415458937193</v>
      </c>
      <c r="K248" s="4" t="str">
        <f t="shared" si="46"/>
        <v>Less Conserved</v>
      </c>
      <c r="L248" s="7">
        <v>14.18</v>
      </c>
      <c r="M248" s="7">
        <f t="shared" si="48"/>
        <v>12.762</v>
      </c>
      <c r="N248" s="7">
        <v>91.6</v>
      </c>
      <c r="O248" s="7">
        <v>207</v>
      </c>
      <c r="P248" s="7">
        <f t="shared" si="47"/>
        <v>186.3</v>
      </c>
      <c r="Q248" s="7">
        <f t="shared" si="49"/>
        <v>0.44251207729468595</v>
      </c>
      <c r="R248" s="8">
        <v>16.399000000000001</v>
      </c>
      <c r="S248" s="8">
        <v>22.722999999999999</v>
      </c>
      <c r="T248" s="4" t="str">
        <f t="shared" si="50"/>
        <v>Intermediate</v>
      </c>
      <c r="U248" s="4" t="s">
        <v>10</v>
      </c>
      <c r="V248" s="4" t="s">
        <v>41</v>
      </c>
      <c r="W248" s="4">
        <v>50</v>
      </c>
      <c r="X248" s="4">
        <v>1000</v>
      </c>
      <c r="Y248" s="4">
        <v>400</v>
      </c>
      <c r="Z248" s="4">
        <v>23</v>
      </c>
      <c r="AA248" s="11">
        <v>0.65</v>
      </c>
      <c r="AB248" s="8">
        <v>241</v>
      </c>
      <c r="AC248" s="4" t="s">
        <v>215</v>
      </c>
      <c r="AD248" s="11">
        <v>0.63</v>
      </c>
      <c r="AE248" s="5" t="s">
        <v>182</v>
      </c>
      <c r="AF248" s="4" t="s">
        <v>732</v>
      </c>
    </row>
    <row r="249" spans="1:32" s="4" customFormat="1" x14ac:dyDescent="0.25">
      <c r="A249" s="4">
        <f t="shared" si="40"/>
        <v>147</v>
      </c>
      <c r="B249" s="5" t="s">
        <v>564</v>
      </c>
      <c r="C249" s="6" t="s">
        <v>180</v>
      </c>
      <c r="D249" s="4" t="s">
        <v>181</v>
      </c>
      <c r="E249" s="4" t="s">
        <v>182</v>
      </c>
      <c r="F249" s="10" t="s">
        <v>263</v>
      </c>
      <c r="G249" s="4" t="s">
        <v>9</v>
      </c>
      <c r="H249" s="4" t="s">
        <v>232</v>
      </c>
      <c r="I249" s="4" t="s">
        <v>344</v>
      </c>
      <c r="J249" s="7">
        <f t="shared" si="39"/>
        <v>73.571428571428569</v>
      </c>
      <c r="K249" s="4" t="str">
        <f t="shared" si="46"/>
        <v>Conserved</v>
      </c>
      <c r="L249" s="7">
        <v>11.845000000000001</v>
      </c>
      <c r="M249" s="7">
        <f t="shared" si="48"/>
        <v>10.660500000000001</v>
      </c>
      <c r="N249" s="7">
        <v>73.7</v>
      </c>
      <c r="O249" s="7">
        <v>161</v>
      </c>
      <c r="P249" s="7">
        <f t="shared" si="47"/>
        <v>144.9</v>
      </c>
      <c r="Q249" s="7">
        <f t="shared" si="49"/>
        <v>0.4577639751552795</v>
      </c>
      <c r="R249" s="8">
        <v>17.411000000000001</v>
      </c>
      <c r="S249" s="8">
        <v>22.663</v>
      </c>
      <c r="T249" s="4" t="str">
        <f t="shared" si="50"/>
        <v>Intermediate</v>
      </c>
      <c r="U249" s="4" t="s">
        <v>10</v>
      </c>
      <c r="V249" s="4" t="s">
        <v>41</v>
      </c>
      <c r="W249" s="4">
        <v>50</v>
      </c>
      <c r="X249" s="4">
        <v>1000</v>
      </c>
      <c r="Y249" s="4">
        <v>400</v>
      </c>
      <c r="Z249" s="4">
        <v>23</v>
      </c>
      <c r="AA249" s="11">
        <v>0.65</v>
      </c>
      <c r="AB249" s="8">
        <v>241</v>
      </c>
      <c r="AC249" s="4" t="s">
        <v>215</v>
      </c>
      <c r="AD249" s="11">
        <v>0.63</v>
      </c>
      <c r="AE249" s="5" t="s">
        <v>182</v>
      </c>
      <c r="AF249" s="4" t="s">
        <v>732</v>
      </c>
    </row>
    <row r="250" spans="1:32" s="4" customFormat="1" x14ac:dyDescent="0.25">
      <c r="A250" s="4">
        <f t="shared" si="40"/>
        <v>148</v>
      </c>
      <c r="B250" s="5" t="s">
        <v>564</v>
      </c>
      <c r="C250" s="6" t="s">
        <v>207</v>
      </c>
      <c r="D250" s="4" t="s">
        <v>208</v>
      </c>
      <c r="E250" s="4" t="s">
        <v>182</v>
      </c>
      <c r="F250" s="10" t="s">
        <v>265</v>
      </c>
      <c r="G250" s="4" t="s">
        <v>9</v>
      </c>
      <c r="H250" s="4" t="s">
        <v>232</v>
      </c>
      <c r="I250" s="4" t="s">
        <v>344</v>
      </c>
      <c r="J250" s="7">
        <f t="shared" si="39"/>
        <v>74.53341013824884</v>
      </c>
      <c r="K250" s="4" t="str">
        <f t="shared" si="46"/>
        <v>Conserved</v>
      </c>
      <c r="L250" s="7">
        <v>12.939</v>
      </c>
      <c r="M250" s="7">
        <f t="shared" si="48"/>
        <v>11.645100000000001</v>
      </c>
      <c r="N250" s="7">
        <v>79.5</v>
      </c>
      <c r="O250" s="7">
        <v>173.6</v>
      </c>
      <c r="P250" s="7">
        <f t="shared" si="47"/>
        <v>156.24</v>
      </c>
      <c r="Q250" s="7">
        <f t="shared" si="49"/>
        <v>0.4579493087557604</v>
      </c>
      <c r="R250" s="8">
        <v>13.154999999999999</v>
      </c>
      <c r="S250" s="8">
        <v>21.059000000000001</v>
      </c>
      <c r="T250" s="4" t="str">
        <f t="shared" si="50"/>
        <v>Intermediate</v>
      </c>
      <c r="U250" s="4" t="s">
        <v>10</v>
      </c>
      <c r="V250" s="4" t="s">
        <v>32</v>
      </c>
      <c r="W250" s="4">
        <v>50</v>
      </c>
      <c r="X250" s="4">
        <v>1000</v>
      </c>
      <c r="Y250" s="4">
        <v>400</v>
      </c>
      <c r="Z250" s="4">
        <v>23</v>
      </c>
      <c r="AA250" s="11">
        <v>0.65</v>
      </c>
      <c r="AB250" s="8">
        <v>241</v>
      </c>
      <c r="AC250" s="4" t="s">
        <v>215</v>
      </c>
      <c r="AD250" s="11">
        <v>0.63</v>
      </c>
      <c r="AE250" s="4" t="s">
        <v>183</v>
      </c>
      <c r="AF250" s="4" t="s">
        <v>732</v>
      </c>
    </row>
    <row r="251" spans="1:32" s="4" customFormat="1" x14ac:dyDescent="0.25">
      <c r="A251" s="4">
        <f t="shared" si="40"/>
        <v>148</v>
      </c>
      <c r="B251" s="5" t="s">
        <v>564</v>
      </c>
      <c r="C251" s="6" t="s">
        <v>207</v>
      </c>
      <c r="D251" s="4" t="s">
        <v>208</v>
      </c>
      <c r="E251" s="4" t="s">
        <v>182</v>
      </c>
      <c r="F251" s="10" t="s">
        <v>266</v>
      </c>
      <c r="G251" s="4" t="s">
        <v>9</v>
      </c>
      <c r="H251" s="4" t="s">
        <v>232</v>
      </c>
      <c r="I251" s="4" t="s">
        <v>565</v>
      </c>
      <c r="J251" s="7">
        <f t="shared" si="39"/>
        <v>78.617343844754387</v>
      </c>
      <c r="K251" s="4" t="str">
        <f t="shared" si="46"/>
        <v>Conserved</v>
      </c>
      <c r="L251" s="7">
        <v>12.964</v>
      </c>
      <c r="M251" s="7">
        <f t="shared" si="48"/>
        <v>11.6676</v>
      </c>
      <c r="N251" s="7">
        <v>82.9</v>
      </c>
      <c r="O251" s="7">
        <v>164.9</v>
      </c>
      <c r="P251" s="7">
        <f t="shared" si="47"/>
        <v>148.41</v>
      </c>
      <c r="Q251" s="7">
        <f t="shared" si="49"/>
        <v>0.50272892662219526</v>
      </c>
      <c r="R251" s="8">
        <v>16.428999999999998</v>
      </c>
      <c r="S251" s="8">
        <v>21.920999999999999</v>
      </c>
      <c r="T251" s="4" t="str">
        <f t="shared" si="50"/>
        <v>Intermediate</v>
      </c>
      <c r="U251" s="4" t="s">
        <v>10</v>
      </c>
      <c r="V251" s="4" t="s">
        <v>32</v>
      </c>
      <c r="W251" s="4">
        <v>50</v>
      </c>
      <c r="X251" s="4">
        <v>1000</v>
      </c>
      <c r="Y251" s="4">
        <v>400</v>
      </c>
      <c r="Z251" s="4">
        <v>23</v>
      </c>
      <c r="AA251" s="11">
        <v>0.65</v>
      </c>
      <c r="AB251" s="8">
        <v>241</v>
      </c>
      <c r="AC251" s="4" t="s">
        <v>215</v>
      </c>
      <c r="AD251" s="11">
        <v>0.63</v>
      </c>
      <c r="AE251" s="4" t="s">
        <v>183</v>
      </c>
      <c r="AF251" s="4" t="s">
        <v>732</v>
      </c>
    </row>
    <row r="252" spans="1:32" s="4" customFormat="1" x14ac:dyDescent="0.25">
      <c r="A252" s="4">
        <f t="shared" si="40"/>
        <v>148</v>
      </c>
      <c r="B252" s="5" t="s">
        <v>564</v>
      </c>
      <c r="C252" s="6" t="s">
        <v>207</v>
      </c>
      <c r="D252" s="4" t="s">
        <v>208</v>
      </c>
      <c r="E252" s="4" t="s">
        <v>182</v>
      </c>
      <c r="F252" s="10" t="s">
        <v>267</v>
      </c>
      <c r="G252" s="4" t="s">
        <v>9</v>
      </c>
      <c r="H252" s="4" t="s">
        <v>232</v>
      </c>
      <c r="I252" s="4" t="s">
        <v>565</v>
      </c>
      <c r="J252" s="7">
        <f t="shared" si="39"/>
        <v>46.357003891050589</v>
      </c>
      <c r="K252" s="4" t="str">
        <f t="shared" si="46"/>
        <v>Less Conserved</v>
      </c>
      <c r="L252" s="7">
        <v>9.5310000000000006</v>
      </c>
      <c r="M252" s="7">
        <f t="shared" si="48"/>
        <v>8.5779000000000014</v>
      </c>
      <c r="N252" s="7">
        <v>108.1</v>
      </c>
      <c r="O252" s="7">
        <v>205.6</v>
      </c>
      <c r="P252" s="7">
        <f t="shared" si="47"/>
        <v>185.04</v>
      </c>
      <c r="Q252" s="7">
        <f t="shared" si="49"/>
        <v>0.52577821011673154</v>
      </c>
      <c r="R252" s="8">
        <v>8.0649999999999995</v>
      </c>
      <c r="S252" s="8">
        <v>17.465</v>
      </c>
      <c r="T252" s="4" t="str">
        <f t="shared" si="50"/>
        <v>Fast</v>
      </c>
      <c r="U252" s="4" t="s">
        <v>10</v>
      </c>
      <c r="V252" s="4" t="s">
        <v>32</v>
      </c>
      <c r="W252" s="4">
        <v>50</v>
      </c>
      <c r="X252" s="4">
        <v>1000</v>
      </c>
      <c r="Y252" s="4">
        <v>400</v>
      </c>
      <c r="Z252" s="4">
        <v>23</v>
      </c>
      <c r="AA252" s="11">
        <v>0.65</v>
      </c>
      <c r="AB252" s="8">
        <v>241</v>
      </c>
      <c r="AC252" s="4" t="s">
        <v>215</v>
      </c>
      <c r="AD252" s="11">
        <v>0.63</v>
      </c>
      <c r="AE252" s="4" t="s">
        <v>183</v>
      </c>
      <c r="AF252" s="4" t="s">
        <v>732</v>
      </c>
    </row>
    <row r="253" spans="1:32" s="4" customFormat="1" x14ac:dyDescent="0.25">
      <c r="A253" s="4">
        <f t="shared" si="40"/>
        <v>149</v>
      </c>
      <c r="B253" s="5" t="s">
        <v>564</v>
      </c>
      <c r="C253" s="6" t="s">
        <v>213</v>
      </c>
      <c r="D253" s="4" t="s">
        <v>214</v>
      </c>
      <c r="E253" s="4" t="s">
        <v>182</v>
      </c>
      <c r="F253" s="10" t="s">
        <v>273</v>
      </c>
      <c r="G253" s="4" t="s">
        <v>9</v>
      </c>
      <c r="H253" s="4" t="s">
        <v>232</v>
      </c>
      <c r="I253" s="4" t="s">
        <v>565</v>
      </c>
      <c r="J253" s="7">
        <f t="shared" si="39"/>
        <v>52.285136501516682</v>
      </c>
      <c r="K253" s="4" t="str">
        <f t="shared" si="46"/>
        <v>Less Conserved</v>
      </c>
      <c r="L253" s="7">
        <v>5.1710000000000003</v>
      </c>
      <c r="M253" s="7">
        <f t="shared" si="48"/>
        <v>4.6539000000000001</v>
      </c>
      <c r="N253" s="7">
        <v>85.5</v>
      </c>
      <c r="O253" s="7">
        <v>98.9</v>
      </c>
      <c r="P253" s="7">
        <f t="shared" si="47"/>
        <v>89.01</v>
      </c>
      <c r="Q253" s="7">
        <f t="shared" si="49"/>
        <v>0.86450960566228507</v>
      </c>
      <c r="R253" s="8">
        <v>2.3479999999999999</v>
      </c>
      <c r="S253" s="8">
        <v>2</v>
      </c>
      <c r="T253" s="4" t="str">
        <f t="shared" si="50"/>
        <v>Fast</v>
      </c>
      <c r="U253" s="4" t="s">
        <v>10</v>
      </c>
      <c r="V253" s="4" t="s">
        <v>41</v>
      </c>
      <c r="W253" s="4">
        <v>50</v>
      </c>
      <c r="X253" s="4">
        <v>1000</v>
      </c>
      <c r="Y253" s="4">
        <v>400</v>
      </c>
      <c r="Z253" s="4">
        <v>23</v>
      </c>
      <c r="AA253" s="11">
        <v>0.65</v>
      </c>
      <c r="AB253" s="8">
        <v>241</v>
      </c>
      <c r="AC253" s="4" t="s">
        <v>215</v>
      </c>
      <c r="AD253" s="11">
        <v>0.63</v>
      </c>
      <c r="AE253" s="4" t="s">
        <v>183</v>
      </c>
      <c r="AF253" s="4" t="s">
        <v>732</v>
      </c>
    </row>
    <row r="254" spans="1:32" s="4" customFormat="1" x14ac:dyDescent="0.25">
      <c r="A254" s="4">
        <f t="shared" si="40"/>
        <v>149</v>
      </c>
      <c r="B254" s="5" t="s">
        <v>564</v>
      </c>
      <c r="C254" s="6" t="s">
        <v>213</v>
      </c>
      <c r="D254" s="4" t="s">
        <v>214</v>
      </c>
      <c r="E254" s="4" t="s">
        <v>182</v>
      </c>
      <c r="F254" s="10" t="s">
        <v>274</v>
      </c>
      <c r="G254" s="4" t="s">
        <v>9</v>
      </c>
      <c r="H254" s="4" t="s">
        <v>232</v>
      </c>
      <c r="I254" s="4" t="s">
        <v>361</v>
      </c>
      <c r="J254" s="7">
        <f t="shared" si="39"/>
        <v>81.520342612419697</v>
      </c>
      <c r="K254" s="4" t="str">
        <f t="shared" si="46"/>
        <v>More Conserved</v>
      </c>
      <c r="L254" s="7">
        <v>7.6139999999999999</v>
      </c>
      <c r="M254" s="7">
        <f t="shared" si="48"/>
        <v>6.8525999999999998</v>
      </c>
      <c r="N254" s="7">
        <v>80</v>
      </c>
      <c r="O254" s="7">
        <v>93.4</v>
      </c>
      <c r="P254" s="7">
        <f t="shared" si="47"/>
        <v>84.06</v>
      </c>
      <c r="Q254" s="7">
        <f t="shared" si="49"/>
        <v>0.85653104925053525</v>
      </c>
      <c r="R254" s="8">
        <v>4.1769999999999996</v>
      </c>
      <c r="S254" s="8">
        <v>11.239000000000001</v>
      </c>
      <c r="T254" s="4" t="str">
        <f t="shared" si="50"/>
        <v>Fast</v>
      </c>
      <c r="U254" s="4" t="s">
        <v>10</v>
      </c>
      <c r="V254" s="4" t="s">
        <v>41</v>
      </c>
      <c r="W254" s="4">
        <v>50</v>
      </c>
      <c r="X254" s="4">
        <v>1000</v>
      </c>
      <c r="Y254" s="4">
        <v>400</v>
      </c>
      <c r="Z254" s="4">
        <v>23</v>
      </c>
      <c r="AA254" s="11">
        <v>0.65</v>
      </c>
      <c r="AB254" s="8">
        <v>241</v>
      </c>
      <c r="AC254" s="4" t="s">
        <v>215</v>
      </c>
      <c r="AD254" s="11">
        <v>0.63</v>
      </c>
      <c r="AE254" s="4" t="s">
        <v>183</v>
      </c>
      <c r="AF254" s="4" t="s">
        <v>732</v>
      </c>
    </row>
    <row r="255" spans="1:32" s="4" customFormat="1" x14ac:dyDescent="0.25">
      <c r="A255" s="4">
        <f t="shared" si="40"/>
        <v>149</v>
      </c>
      <c r="B255" s="5" t="s">
        <v>564</v>
      </c>
      <c r="C255" s="6" t="s">
        <v>213</v>
      </c>
      <c r="D255" s="4" t="s">
        <v>214</v>
      </c>
      <c r="E255" s="4" t="s">
        <v>182</v>
      </c>
      <c r="F255" s="10" t="s">
        <v>275</v>
      </c>
      <c r="G255" s="4" t="s">
        <v>9</v>
      </c>
      <c r="H255" s="4" t="s">
        <v>232</v>
      </c>
      <c r="I255" s="4" t="s">
        <v>361</v>
      </c>
      <c r="J255" s="7">
        <f t="shared" si="39"/>
        <v>69.552742616033768</v>
      </c>
      <c r="K255" s="4" t="str">
        <f t="shared" si="46"/>
        <v>Less Conserved</v>
      </c>
      <c r="L255" s="7">
        <v>8.2420000000000009</v>
      </c>
      <c r="M255" s="7">
        <f t="shared" si="48"/>
        <v>7.4178000000000006</v>
      </c>
      <c r="N255" s="7">
        <v>114.8</v>
      </c>
      <c r="O255" s="7">
        <v>118.5</v>
      </c>
      <c r="P255" s="7">
        <f t="shared" si="47"/>
        <v>106.65</v>
      </c>
      <c r="Q255" s="7">
        <f t="shared" si="49"/>
        <v>0.96877637130801686</v>
      </c>
      <c r="R255" s="8">
        <v>3.278</v>
      </c>
      <c r="S255" s="8">
        <v>0</v>
      </c>
      <c r="T255" s="4" t="str">
        <f t="shared" si="50"/>
        <v>Fast</v>
      </c>
      <c r="U255" s="4" t="s">
        <v>10</v>
      </c>
      <c r="V255" s="4" t="s">
        <v>41</v>
      </c>
      <c r="W255" s="4">
        <v>50</v>
      </c>
      <c r="X255" s="4">
        <v>1000</v>
      </c>
      <c r="Y255" s="4">
        <v>400</v>
      </c>
      <c r="Z255" s="4">
        <v>23</v>
      </c>
      <c r="AA255" s="11">
        <v>0.65</v>
      </c>
      <c r="AB255" s="8">
        <v>241</v>
      </c>
      <c r="AC255" s="4" t="s">
        <v>215</v>
      </c>
      <c r="AD255" s="11">
        <v>0.63</v>
      </c>
      <c r="AE255" s="4" t="s">
        <v>183</v>
      </c>
      <c r="AF255" s="4" t="s">
        <v>732</v>
      </c>
    </row>
    <row r="256" spans="1:32" s="4" customFormat="1" x14ac:dyDescent="0.25">
      <c r="A256" s="4">
        <f t="shared" si="40"/>
        <v>150</v>
      </c>
      <c r="B256" s="5" t="s">
        <v>564</v>
      </c>
      <c r="C256" s="6" t="s">
        <v>39</v>
      </c>
      <c r="D256" s="4" t="s">
        <v>40</v>
      </c>
      <c r="E256" s="4" t="s">
        <v>182</v>
      </c>
      <c r="F256" s="10" t="s">
        <v>278</v>
      </c>
      <c r="G256" s="4" t="s">
        <v>9</v>
      </c>
      <c r="H256" s="4" t="s">
        <v>232</v>
      </c>
      <c r="I256" s="4" t="s">
        <v>341</v>
      </c>
      <c r="J256" s="7">
        <f t="shared" si="39"/>
        <v>52.611821086261969</v>
      </c>
      <c r="K256" s="4" t="str">
        <f t="shared" si="46"/>
        <v>Less Conserved</v>
      </c>
      <c r="L256" s="7">
        <v>19.760999999999999</v>
      </c>
      <c r="M256" s="7">
        <f t="shared" si="48"/>
        <v>17.7849</v>
      </c>
      <c r="N256" s="7">
        <v>114.2</v>
      </c>
      <c r="O256" s="7">
        <v>375.6</v>
      </c>
      <c r="P256" s="7">
        <f t="shared" si="47"/>
        <v>338.04</v>
      </c>
      <c r="Q256" s="7">
        <f t="shared" si="49"/>
        <v>0.30404685835995737</v>
      </c>
      <c r="R256" s="8">
        <v>12.942</v>
      </c>
      <c r="S256" s="8">
        <v>21.552</v>
      </c>
      <c r="T256" s="4" t="str">
        <f t="shared" si="50"/>
        <v>Intermediate</v>
      </c>
      <c r="U256" s="4" t="s">
        <v>10</v>
      </c>
      <c r="V256" s="4" t="s">
        <v>32</v>
      </c>
      <c r="W256" s="4">
        <v>50</v>
      </c>
      <c r="X256" s="4">
        <v>1000</v>
      </c>
      <c r="Y256" s="4">
        <v>400</v>
      </c>
      <c r="Z256" s="4">
        <v>23</v>
      </c>
      <c r="AA256" s="11">
        <v>0.65</v>
      </c>
      <c r="AB256" s="8">
        <v>241</v>
      </c>
      <c r="AC256" s="4" t="s">
        <v>215</v>
      </c>
      <c r="AD256" s="11">
        <v>0.63</v>
      </c>
      <c r="AE256" s="5" t="s">
        <v>182</v>
      </c>
      <c r="AF256" s="4" t="s">
        <v>732</v>
      </c>
    </row>
    <row r="257" spans="1:32" s="4" customFormat="1" x14ac:dyDescent="0.25">
      <c r="A257" s="4">
        <f t="shared" si="40"/>
        <v>150</v>
      </c>
      <c r="B257" s="5" t="s">
        <v>564</v>
      </c>
      <c r="C257" s="6" t="s">
        <v>39</v>
      </c>
      <c r="D257" s="4" t="s">
        <v>40</v>
      </c>
      <c r="E257" s="4" t="s">
        <v>182</v>
      </c>
      <c r="F257" s="10" t="s">
        <v>279</v>
      </c>
      <c r="G257" s="4" t="s">
        <v>9</v>
      </c>
      <c r="H257" s="4" t="s">
        <v>232</v>
      </c>
      <c r="I257" s="4" t="s">
        <v>341</v>
      </c>
      <c r="J257" s="7">
        <f t="shared" si="39"/>
        <v>61.297083839611176</v>
      </c>
      <c r="K257" s="4" t="str">
        <f t="shared" ref="K257:K288" si="51">IF(J257&gt;=80, "More Conserved", IF(J257&gt;=70, "Conserved", "Less Conserved"))</f>
        <v>Less Conserved</v>
      </c>
      <c r="L257" s="7">
        <v>20.178999999999998</v>
      </c>
      <c r="M257" s="7">
        <f t="shared" si="48"/>
        <v>18.161099999999998</v>
      </c>
      <c r="N257" s="7">
        <v>92.8</v>
      </c>
      <c r="O257" s="7">
        <v>329.2</v>
      </c>
      <c r="P257" s="7">
        <f t="shared" si="47"/>
        <v>296.27999999999997</v>
      </c>
      <c r="Q257" s="7">
        <f t="shared" si="49"/>
        <v>0.28189550425273391</v>
      </c>
      <c r="R257" s="8">
        <v>18.265999999999998</v>
      </c>
      <c r="S257" s="8">
        <v>22.004999999999999</v>
      </c>
      <c r="T257" s="4" t="str">
        <f t="shared" si="50"/>
        <v>Intermediate</v>
      </c>
      <c r="U257" s="4" t="s">
        <v>10</v>
      </c>
      <c r="V257" s="4" t="s">
        <v>32</v>
      </c>
      <c r="W257" s="4">
        <v>50</v>
      </c>
      <c r="X257" s="4">
        <v>1000</v>
      </c>
      <c r="Y257" s="4">
        <v>400</v>
      </c>
      <c r="Z257" s="4">
        <v>23</v>
      </c>
      <c r="AA257" s="11">
        <v>0.65</v>
      </c>
      <c r="AB257" s="8">
        <v>241</v>
      </c>
      <c r="AC257" s="4" t="s">
        <v>215</v>
      </c>
      <c r="AD257" s="11">
        <v>0.63</v>
      </c>
      <c r="AE257" s="5" t="s">
        <v>182</v>
      </c>
      <c r="AF257" s="4" t="s">
        <v>732</v>
      </c>
    </row>
    <row r="258" spans="1:32" s="4" customFormat="1" x14ac:dyDescent="0.25">
      <c r="A258" s="4">
        <f t="shared" si="40"/>
        <v>150</v>
      </c>
      <c r="B258" s="5" t="s">
        <v>564</v>
      </c>
      <c r="C258" s="6" t="s">
        <v>39</v>
      </c>
      <c r="D258" s="4" t="s">
        <v>40</v>
      </c>
      <c r="E258" s="4" t="s">
        <v>182</v>
      </c>
      <c r="F258" s="10" t="s">
        <v>566</v>
      </c>
      <c r="G258" s="4" t="s">
        <v>9</v>
      </c>
      <c r="H258" s="4" t="s">
        <v>232</v>
      </c>
      <c r="I258" s="4" t="s">
        <v>341</v>
      </c>
      <c r="J258" s="7">
        <f t="shared" si="39"/>
        <v>60.693160813308687</v>
      </c>
      <c r="K258" s="4" t="str">
        <f t="shared" si="51"/>
        <v>Less Conserved</v>
      </c>
      <c r="L258" s="7">
        <v>19.701000000000001</v>
      </c>
      <c r="M258" s="7">
        <f t="shared" si="48"/>
        <v>17.730900000000002</v>
      </c>
      <c r="N258" s="7">
        <v>99.5</v>
      </c>
      <c r="O258" s="7">
        <v>324.60000000000002</v>
      </c>
      <c r="P258" s="7">
        <f t="shared" si="47"/>
        <v>292.14000000000004</v>
      </c>
      <c r="Q258" s="7">
        <f t="shared" si="49"/>
        <v>0.30653111521873072</v>
      </c>
      <c r="R258" s="8">
        <v>14.179</v>
      </c>
      <c r="S258" s="8">
        <v>18.788</v>
      </c>
      <c r="T258" s="4" t="str">
        <f t="shared" si="50"/>
        <v>Fast</v>
      </c>
      <c r="U258" s="4" t="s">
        <v>10</v>
      </c>
      <c r="V258" s="4" t="s">
        <v>32</v>
      </c>
      <c r="W258" s="4">
        <v>50</v>
      </c>
      <c r="X258" s="4">
        <v>1000</v>
      </c>
      <c r="Y258" s="4">
        <v>400</v>
      </c>
      <c r="Z258" s="4">
        <v>23</v>
      </c>
      <c r="AA258" s="11">
        <v>0.65</v>
      </c>
      <c r="AB258" s="8">
        <v>241</v>
      </c>
      <c r="AC258" s="4" t="s">
        <v>215</v>
      </c>
      <c r="AD258" s="11">
        <v>0.63</v>
      </c>
      <c r="AE258" s="5" t="s">
        <v>182</v>
      </c>
      <c r="AF258" s="4" t="s">
        <v>732</v>
      </c>
    </row>
    <row r="259" spans="1:32" s="4" customFormat="1" x14ac:dyDescent="0.25">
      <c r="A259" s="4">
        <f t="shared" si="40"/>
        <v>151</v>
      </c>
      <c r="B259" s="5" t="s">
        <v>570</v>
      </c>
      <c r="C259" s="6" t="s">
        <v>577</v>
      </c>
      <c r="D259" s="4" t="s">
        <v>578</v>
      </c>
      <c r="E259" s="4" t="s">
        <v>183</v>
      </c>
      <c r="F259" s="4" t="s">
        <v>573</v>
      </c>
      <c r="G259" s="4" t="s">
        <v>9</v>
      </c>
      <c r="H259" s="4" t="s">
        <v>232</v>
      </c>
      <c r="I259" s="4" t="s">
        <v>430</v>
      </c>
      <c r="J259" s="7">
        <f t="shared" ref="J259:J301" si="52">L259/(O259/1000)</f>
        <v>157.53623188405794</v>
      </c>
      <c r="K259" s="4" t="str">
        <f t="shared" si="51"/>
        <v>More Conserved</v>
      </c>
      <c r="L259" s="7">
        <v>10.87</v>
      </c>
      <c r="M259" s="7">
        <f t="shared" si="48"/>
        <v>9.7829999999999995</v>
      </c>
      <c r="N259" s="7">
        <v>32.200000000000003</v>
      </c>
      <c r="O259" s="7">
        <v>69</v>
      </c>
      <c r="P259" s="7">
        <f t="shared" si="47"/>
        <v>62.1</v>
      </c>
      <c r="Q259" s="7">
        <f t="shared" si="49"/>
        <v>0.46666666666666673</v>
      </c>
      <c r="R259" s="8">
        <v>3.27</v>
      </c>
      <c r="S259" s="8">
        <v>51.4</v>
      </c>
      <c r="T259" s="4" t="str">
        <f t="shared" si="50"/>
        <v>Slow</v>
      </c>
      <c r="U259" s="4" t="s">
        <v>30</v>
      </c>
      <c r="V259" s="4" t="s">
        <v>32</v>
      </c>
      <c r="W259" s="4">
        <v>100</v>
      </c>
      <c r="X259" s="4">
        <v>600</v>
      </c>
      <c r="Y259" s="4">
        <v>800</v>
      </c>
      <c r="Z259" s="4">
        <v>33</v>
      </c>
      <c r="AA259" s="4" t="s">
        <v>576</v>
      </c>
      <c r="AB259" s="8">
        <v>600</v>
      </c>
      <c r="AC259" s="4" t="s">
        <v>197</v>
      </c>
      <c r="AD259" s="11">
        <v>0.7</v>
      </c>
      <c r="AE259" s="4" t="s">
        <v>183</v>
      </c>
    </row>
    <row r="260" spans="1:32" s="4" customFormat="1" x14ac:dyDescent="0.25">
      <c r="A260" s="4">
        <f t="shared" si="40"/>
        <v>151</v>
      </c>
      <c r="B260" s="5" t="s">
        <v>570</v>
      </c>
      <c r="C260" s="6" t="s">
        <v>577</v>
      </c>
      <c r="D260" s="4" t="s">
        <v>578</v>
      </c>
      <c r="E260" s="4" t="s">
        <v>183</v>
      </c>
      <c r="F260" s="4" t="s">
        <v>574</v>
      </c>
      <c r="G260" s="4" t="s">
        <v>9</v>
      </c>
      <c r="H260" s="4" t="s">
        <v>232</v>
      </c>
      <c r="I260" s="4" t="s">
        <v>430</v>
      </c>
      <c r="J260" s="7">
        <f t="shared" si="52"/>
        <v>88.459250446162997</v>
      </c>
      <c r="K260" s="4" t="str">
        <f t="shared" si="51"/>
        <v>More Conserved</v>
      </c>
      <c r="L260" s="7">
        <v>14.87</v>
      </c>
      <c r="M260" s="7">
        <f t="shared" si="48"/>
        <v>13.382999999999999</v>
      </c>
      <c r="N260" s="7">
        <v>46.7</v>
      </c>
      <c r="O260" s="7">
        <v>168.1</v>
      </c>
      <c r="P260" s="7">
        <f t="shared" si="47"/>
        <v>151.29</v>
      </c>
      <c r="Q260" s="7">
        <f t="shared" si="49"/>
        <v>0.27781082688875675</v>
      </c>
      <c r="R260" s="8">
        <v>2.84</v>
      </c>
      <c r="S260" s="8">
        <v>68.52</v>
      </c>
      <c r="T260" s="4" t="str">
        <f t="shared" si="50"/>
        <v>Slow</v>
      </c>
      <c r="U260" s="4" t="s">
        <v>30</v>
      </c>
      <c r="V260" s="4" t="s">
        <v>32</v>
      </c>
      <c r="W260" s="4">
        <v>100</v>
      </c>
      <c r="X260" s="4">
        <v>600</v>
      </c>
      <c r="Y260" s="4">
        <v>800</v>
      </c>
      <c r="Z260" s="4">
        <v>33</v>
      </c>
      <c r="AA260" s="4" t="s">
        <v>576</v>
      </c>
      <c r="AB260" s="8">
        <v>600</v>
      </c>
      <c r="AC260" s="4" t="s">
        <v>197</v>
      </c>
      <c r="AD260" s="11">
        <v>0.7</v>
      </c>
      <c r="AE260" s="4" t="s">
        <v>183</v>
      </c>
    </row>
    <row r="261" spans="1:32" s="4" customFormat="1" x14ac:dyDescent="0.25">
      <c r="A261" s="4">
        <f t="shared" ref="A261:A286" si="53">IF(C261=C260, A260, A260+1)</f>
        <v>151</v>
      </c>
      <c r="B261" s="5" t="s">
        <v>570</v>
      </c>
      <c r="C261" s="6" t="s">
        <v>577</v>
      </c>
      <c r="D261" s="4" t="s">
        <v>578</v>
      </c>
      <c r="E261" s="4" t="s">
        <v>183</v>
      </c>
      <c r="F261" s="4" t="s">
        <v>571</v>
      </c>
      <c r="G261" s="4" t="s">
        <v>9</v>
      </c>
      <c r="H261" s="4" t="s">
        <v>232</v>
      </c>
      <c r="I261" s="4" t="s">
        <v>430</v>
      </c>
      <c r="J261" s="7">
        <f t="shared" si="52"/>
        <v>81.472684085510679</v>
      </c>
      <c r="K261" s="4" t="str">
        <f t="shared" si="51"/>
        <v>More Conserved</v>
      </c>
      <c r="L261" s="7">
        <v>10.29</v>
      </c>
      <c r="M261" s="7">
        <f t="shared" si="48"/>
        <v>9.2609999999999992</v>
      </c>
      <c r="N261" s="7">
        <v>58.2</v>
      </c>
      <c r="O261" s="7">
        <v>126.3</v>
      </c>
      <c r="P261" s="7">
        <f t="shared" si="47"/>
        <v>113.67</v>
      </c>
      <c r="Q261" s="7">
        <f t="shared" si="49"/>
        <v>0.4608076009501188</v>
      </c>
      <c r="R261" s="8">
        <v>2.48</v>
      </c>
      <c r="S261" s="8">
        <v>30.5</v>
      </c>
      <c r="T261" s="4" t="str">
        <f t="shared" si="50"/>
        <v>Intermediate</v>
      </c>
      <c r="U261" s="4" t="s">
        <v>30</v>
      </c>
      <c r="V261" s="4" t="s">
        <v>32</v>
      </c>
      <c r="W261" s="4">
        <v>100</v>
      </c>
      <c r="X261" s="4">
        <v>600</v>
      </c>
      <c r="Y261" s="4">
        <v>400</v>
      </c>
      <c r="Z261" s="4">
        <v>28</v>
      </c>
      <c r="AA261" s="4" t="s">
        <v>575</v>
      </c>
      <c r="AB261" s="8">
        <v>600</v>
      </c>
      <c r="AC261" s="4" t="s">
        <v>197</v>
      </c>
      <c r="AD261" s="11">
        <v>0.7</v>
      </c>
      <c r="AE261" s="9" t="s">
        <v>183</v>
      </c>
    </row>
    <row r="262" spans="1:32" s="4" customFormat="1" x14ac:dyDescent="0.25">
      <c r="A262" s="4">
        <f t="shared" si="53"/>
        <v>151</v>
      </c>
      <c r="B262" s="5" t="s">
        <v>570</v>
      </c>
      <c r="C262" s="6" t="s">
        <v>577</v>
      </c>
      <c r="D262" s="4" t="s">
        <v>578</v>
      </c>
      <c r="E262" s="4" t="s">
        <v>183</v>
      </c>
      <c r="F262" s="4" t="s">
        <v>572</v>
      </c>
      <c r="G262" s="4" t="s">
        <v>9</v>
      </c>
      <c r="H262" s="4" t="s">
        <v>232</v>
      </c>
      <c r="I262" s="4" t="s">
        <v>430</v>
      </c>
      <c r="J262" s="7">
        <f t="shared" si="52"/>
        <v>68.385922330097088</v>
      </c>
      <c r="K262" s="4" t="str">
        <f t="shared" si="51"/>
        <v>Less Conserved</v>
      </c>
      <c r="L262" s="7">
        <v>11.27</v>
      </c>
      <c r="M262" s="7">
        <f t="shared" si="48"/>
        <v>10.143000000000001</v>
      </c>
      <c r="N262" s="7">
        <v>68.599999999999994</v>
      </c>
      <c r="O262" s="7">
        <v>164.8</v>
      </c>
      <c r="P262" s="7">
        <f t="shared" si="47"/>
        <v>148.32000000000002</v>
      </c>
      <c r="Q262" s="7">
        <f t="shared" si="49"/>
        <v>0.41626213592233002</v>
      </c>
      <c r="R262" s="8">
        <v>2.74</v>
      </c>
      <c r="S262" s="8">
        <v>44.06</v>
      </c>
      <c r="T262" s="4" t="str">
        <f t="shared" si="50"/>
        <v>Intermediate</v>
      </c>
      <c r="U262" s="4" t="s">
        <v>30</v>
      </c>
      <c r="V262" s="4" t="s">
        <v>32</v>
      </c>
      <c r="W262" s="4">
        <v>100</v>
      </c>
      <c r="X262" s="4">
        <v>600</v>
      </c>
      <c r="Y262" s="4">
        <v>400</v>
      </c>
      <c r="Z262" s="4">
        <v>28</v>
      </c>
      <c r="AA262" s="4" t="s">
        <v>575</v>
      </c>
      <c r="AB262" s="8">
        <v>600</v>
      </c>
      <c r="AC262" s="4" t="s">
        <v>197</v>
      </c>
      <c r="AD262" s="11">
        <v>0.7</v>
      </c>
      <c r="AE262" s="9" t="s">
        <v>183</v>
      </c>
    </row>
    <row r="263" spans="1:32" s="4" customFormat="1" x14ac:dyDescent="0.25">
      <c r="A263" s="4">
        <f t="shared" si="53"/>
        <v>152</v>
      </c>
      <c r="B263" s="5" t="s">
        <v>570</v>
      </c>
      <c r="C263" s="6" t="s">
        <v>136</v>
      </c>
      <c r="D263" s="4" t="s">
        <v>137</v>
      </c>
      <c r="E263" s="4" t="s">
        <v>182</v>
      </c>
      <c r="F263" s="4" t="s">
        <v>573</v>
      </c>
      <c r="G263" s="4" t="s">
        <v>9</v>
      </c>
      <c r="H263" s="4" t="s">
        <v>232</v>
      </c>
      <c r="I263" s="4" t="s">
        <v>345</v>
      </c>
      <c r="J263" s="7">
        <f t="shared" si="52"/>
        <v>148.5836451095671</v>
      </c>
      <c r="K263" s="4" t="str">
        <f t="shared" si="51"/>
        <v>More Conserved</v>
      </c>
      <c r="L263" s="7">
        <v>27.8</v>
      </c>
      <c r="M263" s="7">
        <f t="shared" si="48"/>
        <v>25.02</v>
      </c>
      <c r="N263" s="7">
        <v>64.099999999999994</v>
      </c>
      <c r="O263" s="7">
        <v>187.1</v>
      </c>
      <c r="P263" s="7">
        <f t="shared" si="47"/>
        <v>168.39</v>
      </c>
      <c r="Q263" s="7">
        <f t="shared" si="49"/>
        <v>0.34259754142169963</v>
      </c>
      <c r="R263" s="8">
        <v>25.11</v>
      </c>
      <c r="S263" s="8">
        <v>42.4</v>
      </c>
      <c r="T263" s="4" t="str">
        <f t="shared" si="50"/>
        <v>Intermediate</v>
      </c>
      <c r="U263" s="4" t="s">
        <v>10</v>
      </c>
      <c r="V263" s="4" t="s">
        <v>41</v>
      </c>
      <c r="W263" s="4">
        <v>100</v>
      </c>
      <c r="X263" s="4">
        <v>600</v>
      </c>
      <c r="Y263" s="4">
        <v>800</v>
      </c>
      <c r="Z263" s="4">
        <v>33</v>
      </c>
      <c r="AA263" s="4" t="s">
        <v>576</v>
      </c>
      <c r="AB263" s="8">
        <v>600</v>
      </c>
      <c r="AC263" s="4" t="s">
        <v>197</v>
      </c>
      <c r="AD263" s="11">
        <v>0.7</v>
      </c>
      <c r="AE263" s="5" t="s">
        <v>182</v>
      </c>
    </row>
    <row r="264" spans="1:32" s="4" customFormat="1" x14ac:dyDescent="0.25">
      <c r="A264" s="4">
        <f t="shared" si="53"/>
        <v>152</v>
      </c>
      <c r="B264" s="5" t="s">
        <v>570</v>
      </c>
      <c r="C264" s="6" t="s">
        <v>136</v>
      </c>
      <c r="D264" s="4" t="s">
        <v>137</v>
      </c>
      <c r="E264" s="4" t="s">
        <v>182</v>
      </c>
      <c r="F264" s="4" t="s">
        <v>574</v>
      </c>
      <c r="G264" s="4" t="s">
        <v>9</v>
      </c>
      <c r="H264" s="4" t="s">
        <v>232</v>
      </c>
      <c r="I264" s="4" t="s">
        <v>345</v>
      </c>
      <c r="J264" s="7">
        <f t="shared" si="52"/>
        <v>108.18214158662397</v>
      </c>
      <c r="K264" s="4" t="str">
        <f t="shared" si="51"/>
        <v>More Conserved</v>
      </c>
      <c r="L264" s="7">
        <v>30.41</v>
      </c>
      <c r="M264" s="7">
        <f t="shared" si="48"/>
        <v>27.369</v>
      </c>
      <c r="N264" s="7">
        <v>70.3</v>
      </c>
      <c r="O264" s="7">
        <v>281.10000000000002</v>
      </c>
      <c r="P264" s="7">
        <f t="shared" ref="P264:P295" si="54">O264*0.9</f>
        <v>252.99000000000004</v>
      </c>
      <c r="Q264" s="7">
        <f t="shared" si="49"/>
        <v>0.25008893632159374</v>
      </c>
      <c r="R264" s="8">
        <v>23.38</v>
      </c>
      <c r="S264" s="8">
        <v>59.77</v>
      </c>
      <c r="T264" s="4" t="str">
        <f t="shared" si="50"/>
        <v>Slow</v>
      </c>
      <c r="U264" s="4" t="s">
        <v>10</v>
      </c>
      <c r="V264" s="4" t="s">
        <v>41</v>
      </c>
      <c r="W264" s="4">
        <v>100</v>
      </c>
      <c r="X264" s="4">
        <v>600</v>
      </c>
      <c r="Y264" s="4">
        <v>800</v>
      </c>
      <c r="Z264" s="4">
        <v>33</v>
      </c>
      <c r="AA264" s="4" t="s">
        <v>576</v>
      </c>
      <c r="AB264" s="8">
        <v>600</v>
      </c>
      <c r="AC264" s="4" t="s">
        <v>197</v>
      </c>
      <c r="AD264" s="11">
        <v>0.7</v>
      </c>
      <c r="AE264" s="5" t="s">
        <v>182</v>
      </c>
    </row>
    <row r="265" spans="1:32" s="4" customFormat="1" x14ac:dyDescent="0.25">
      <c r="A265" s="4">
        <f t="shared" si="53"/>
        <v>152</v>
      </c>
      <c r="B265" s="5" t="s">
        <v>570</v>
      </c>
      <c r="C265" s="6" t="s">
        <v>136</v>
      </c>
      <c r="D265" s="4" t="s">
        <v>137</v>
      </c>
      <c r="E265" s="4" t="s">
        <v>182</v>
      </c>
      <c r="F265" s="4" t="s">
        <v>571</v>
      </c>
      <c r="G265" s="4" t="s">
        <v>9</v>
      </c>
      <c r="H265" s="4" t="s">
        <v>232</v>
      </c>
      <c r="I265" s="4" t="s">
        <v>345</v>
      </c>
      <c r="J265" s="7">
        <f t="shared" si="52"/>
        <v>42.331446217189914</v>
      </c>
      <c r="K265" s="4" t="str">
        <f t="shared" si="51"/>
        <v>Less Conserved</v>
      </c>
      <c r="L265" s="7">
        <v>16.45</v>
      </c>
      <c r="M265" s="7">
        <f t="shared" si="48"/>
        <v>14.805</v>
      </c>
      <c r="N265" s="7">
        <v>111.6</v>
      </c>
      <c r="O265" s="7">
        <v>388.6</v>
      </c>
      <c r="P265" s="7">
        <f t="shared" si="54"/>
        <v>349.74</v>
      </c>
      <c r="Q265" s="7">
        <f t="shared" si="49"/>
        <v>0.28718476582604219</v>
      </c>
      <c r="R265" s="8">
        <v>54.41</v>
      </c>
      <c r="S265" s="8">
        <v>72.150000000000006</v>
      </c>
      <c r="T265" s="4" t="str">
        <f t="shared" si="50"/>
        <v>Slow</v>
      </c>
      <c r="U265" s="4" t="s">
        <v>10</v>
      </c>
      <c r="V265" s="4" t="s">
        <v>41</v>
      </c>
      <c r="W265" s="4">
        <v>100</v>
      </c>
      <c r="X265" s="4">
        <v>600</v>
      </c>
      <c r="Y265" s="4">
        <v>400</v>
      </c>
      <c r="Z265" s="4">
        <v>28</v>
      </c>
      <c r="AA265" s="4" t="s">
        <v>575</v>
      </c>
      <c r="AB265" s="8">
        <v>600</v>
      </c>
      <c r="AC265" s="4" t="s">
        <v>197</v>
      </c>
      <c r="AD265" s="11">
        <v>0.7</v>
      </c>
      <c r="AE265" s="5" t="s">
        <v>182</v>
      </c>
    </row>
    <row r="266" spans="1:32" s="4" customFormat="1" x14ac:dyDescent="0.25">
      <c r="A266" s="4">
        <f t="shared" si="53"/>
        <v>152</v>
      </c>
      <c r="B266" s="5" t="s">
        <v>570</v>
      </c>
      <c r="C266" s="6" t="s">
        <v>136</v>
      </c>
      <c r="D266" s="4" t="s">
        <v>137</v>
      </c>
      <c r="E266" s="4" t="s">
        <v>182</v>
      </c>
      <c r="F266" s="4" t="s">
        <v>572</v>
      </c>
      <c r="G266" s="4" t="s">
        <v>9</v>
      </c>
      <c r="H266" s="4" t="s">
        <v>232</v>
      </c>
      <c r="I266" s="4" t="s">
        <v>345</v>
      </c>
      <c r="J266" s="7">
        <f t="shared" si="52"/>
        <v>92.834751455441108</v>
      </c>
      <c r="K266" s="4" t="str">
        <f t="shared" si="51"/>
        <v>More Conserved</v>
      </c>
      <c r="L266" s="7">
        <v>20.73</v>
      </c>
      <c r="M266" s="7">
        <f t="shared" si="48"/>
        <v>18.657</v>
      </c>
      <c r="N266" s="7">
        <v>77.5</v>
      </c>
      <c r="O266" s="7">
        <v>223.3</v>
      </c>
      <c r="P266" s="7">
        <f t="shared" si="54"/>
        <v>200.97000000000003</v>
      </c>
      <c r="Q266" s="7">
        <f t="shared" si="49"/>
        <v>0.3470667263770712</v>
      </c>
      <c r="R266" s="8">
        <v>31.93</v>
      </c>
      <c r="S266" s="8">
        <v>56.6</v>
      </c>
      <c r="T266" s="4" t="str">
        <f t="shared" si="50"/>
        <v>Slow</v>
      </c>
      <c r="U266" s="4" t="s">
        <v>10</v>
      </c>
      <c r="V266" s="4" t="s">
        <v>41</v>
      </c>
      <c r="W266" s="4">
        <v>100</v>
      </c>
      <c r="X266" s="4">
        <v>600</v>
      </c>
      <c r="Y266" s="4">
        <v>400</v>
      </c>
      <c r="Z266" s="4">
        <v>28</v>
      </c>
      <c r="AA266" s="4" t="s">
        <v>575</v>
      </c>
      <c r="AB266" s="8">
        <v>600</v>
      </c>
      <c r="AC266" s="4" t="s">
        <v>197</v>
      </c>
      <c r="AD266" s="11">
        <v>0.7</v>
      </c>
      <c r="AE266" s="5" t="s">
        <v>182</v>
      </c>
    </row>
    <row r="267" spans="1:32" s="4" customFormat="1" x14ac:dyDescent="0.25">
      <c r="A267" s="4">
        <f t="shared" si="53"/>
        <v>153</v>
      </c>
      <c r="B267" s="5" t="s">
        <v>529</v>
      </c>
      <c r="C267" s="6" t="s">
        <v>530</v>
      </c>
      <c r="D267" s="4" t="s">
        <v>531</v>
      </c>
      <c r="E267" s="4" t="s">
        <v>183</v>
      </c>
      <c r="F267" s="10" t="s">
        <v>535</v>
      </c>
      <c r="G267" s="4" t="s">
        <v>9</v>
      </c>
      <c r="H267" s="4" t="s">
        <v>233</v>
      </c>
      <c r="I267" s="4" t="s">
        <v>331</v>
      </c>
      <c r="J267" s="7">
        <f t="shared" si="52"/>
        <v>87.573679778659937</v>
      </c>
      <c r="K267" s="4" t="str">
        <f t="shared" si="51"/>
        <v>More Conserved</v>
      </c>
      <c r="L267" s="7">
        <v>14.56</v>
      </c>
      <c r="M267" s="7">
        <f t="shared" si="48"/>
        <v>13.104000000000001</v>
      </c>
      <c r="N267" s="7">
        <v>44.7</v>
      </c>
      <c r="O267" s="7">
        <v>166.26</v>
      </c>
      <c r="P267" s="7">
        <f t="shared" si="54"/>
        <v>149.63399999999999</v>
      </c>
      <c r="Q267" s="7">
        <f t="shared" si="49"/>
        <v>0.26885600866113318</v>
      </c>
      <c r="R267" s="8">
        <v>11.45</v>
      </c>
      <c r="S267" s="8">
        <v>15.52</v>
      </c>
      <c r="T267" s="4" t="str">
        <f t="shared" si="50"/>
        <v>Fast</v>
      </c>
      <c r="U267" s="4" t="s">
        <v>198</v>
      </c>
      <c r="V267" s="4" t="s">
        <v>32</v>
      </c>
      <c r="W267" s="4">
        <v>100</v>
      </c>
      <c r="X267" s="4">
        <v>1000</v>
      </c>
      <c r="Y267" s="4">
        <v>400</v>
      </c>
      <c r="Z267" s="4">
        <v>24</v>
      </c>
      <c r="AA267" s="11" t="s">
        <v>533</v>
      </c>
      <c r="AB267" s="8" t="s">
        <v>37</v>
      </c>
      <c r="AC267" s="4" t="s">
        <v>37</v>
      </c>
      <c r="AD267" s="11" t="s">
        <v>37</v>
      </c>
      <c r="AE267" s="9" t="s">
        <v>183</v>
      </c>
      <c r="AF267" s="4" t="s">
        <v>532</v>
      </c>
    </row>
    <row r="268" spans="1:32" s="4" customFormat="1" x14ac:dyDescent="0.25">
      <c r="A268" s="4">
        <f t="shared" si="53"/>
        <v>153</v>
      </c>
      <c r="B268" s="5" t="s">
        <v>529</v>
      </c>
      <c r="C268" s="6" t="s">
        <v>530</v>
      </c>
      <c r="D268" s="4" t="s">
        <v>531</v>
      </c>
      <c r="E268" s="4" t="s">
        <v>183</v>
      </c>
      <c r="F268" s="10" t="s">
        <v>534</v>
      </c>
      <c r="G268" s="4" t="s">
        <v>9</v>
      </c>
      <c r="H268" s="4" t="s">
        <v>233</v>
      </c>
      <c r="I268" s="4" t="s">
        <v>331</v>
      </c>
      <c r="J268" s="7">
        <f t="shared" si="52"/>
        <v>88.709099593981378</v>
      </c>
      <c r="K268" s="4" t="str">
        <f t="shared" si="51"/>
        <v>More Conserved</v>
      </c>
      <c r="L268" s="7">
        <v>14.856999999999999</v>
      </c>
      <c r="M268" s="7">
        <f t="shared" si="48"/>
        <v>13.3713</v>
      </c>
      <c r="N268" s="7">
        <v>44.53</v>
      </c>
      <c r="O268" s="7">
        <v>167.48</v>
      </c>
      <c r="P268" s="7">
        <f t="shared" si="54"/>
        <v>150.732</v>
      </c>
      <c r="Q268" s="7">
        <f t="shared" si="49"/>
        <v>0.26588249343205161</v>
      </c>
      <c r="R268" s="8">
        <v>7.92</v>
      </c>
      <c r="S268" s="8">
        <v>9.39</v>
      </c>
      <c r="T268" s="4" t="str">
        <f t="shared" si="50"/>
        <v>Fast</v>
      </c>
      <c r="U268" s="4" t="s">
        <v>10</v>
      </c>
      <c r="V268" s="4" t="s">
        <v>32</v>
      </c>
      <c r="W268" s="4">
        <v>100</v>
      </c>
      <c r="X268" s="4">
        <v>1000</v>
      </c>
      <c r="Y268" s="4">
        <v>400</v>
      </c>
      <c r="Z268" s="4">
        <v>24</v>
      </c>
      <c r="AA268" s="11" t="s">
        <v>533</v>
      </c>
      <c r="AB268" s="8" t="s">
        <v>37</v>
      </c>
      <c r="AC268" s="4" t="s">
        <v>37</v>
      </c>
      <c r="AD268" s="11" t="s">
        <v>37</v>
      </c>
      <c r="AE268" s="9" t="s">
        <v>183</v>
      </c>
      <c r="AF268" s="4" t="s">
        <v>532</v>
      </c>
    </row>
    <row r="269" spans="1:32" s="4" customFormat="1" x14ac:dyDescent="0.25">
      <c r="A269" s="4">
        <f t="shared" si="53"/>
        <v>153</v>
      </c>
      <c r="B269" s="5" t="s">
        <v>529</v>
      </c>
      <c r="C269" s="6" t="s">
        <v>530</v>
      </c>
      <c r="D269" s="4" t="s">
        <v>531</v>
      </c>
      <c r="E269" s="4" t="s">
        <v>183</v>
      </c>
      <c r="F269" s="10" t="s">
        <v>538</v>
      </c>
      <c r="G269" s="4" t="s">
        <v>9</v>
      </c>
      <c r="H269" s="4" t="s">
        <v>233</v>
      </c>
      <c r="I269" s="4" t="s">
        <v>331</v>
      </c>
      <c r="J269" s="7">
        <f t="shared" si="52"/>
        <v>122.58704948075746</v>
      </c>
      <c r="K269" s="4" t="str">
        <f t="shared" si="51"/>
        <v>More Conserved</v>
      </c>
      <c r="L269" s="7">
        <v>16.053999999999998</v>
      </c>
      <c r="M269" s="7">
        <f t="shared" si="48"/>
        <v>14.448599999999999</v>
      </c>
      <c r="N269" s="7">
        <v>22.95</v>
      </c>
      <c r="O269" s="7">
        <v>130.96</v>
      </c>
      <c r="P269" s="7">
        <f t="shared" si="54"/>
        <v>117.864</v>
      </c>
      <c r="Q269" s="7">
        <f t="shared" si="49"/>
        <v>0.17524434941967013</v>
      </c>
      <c r="R269" s="8">
        <v>29.11</v>
      </c>
      <c r="S269" s="8">
        <v>30.4</v>
      </c>
      <c r="T269" s="4" t="str">
        <f t="shared" si="50"/>
        <v>Intermediate</v>
      </c>
      <c r="U269" s="4" t="s">
        <v>30</v>
      </c>
      <c r="V269" s="4" t="s">
        <v>32</v>
      </c>
      <c r="W269" s="4">
        <v>100</v>
      </c>
      <c r="X269" s="4">
        <v>1000</v>
      </c>
      <c r="Y269" s="4">
        <v>400</v>
      </c>
      <c r="Z269" s="4">
        <v>24</v>
      </c>
      <c r="AA269" s="11" t="s">
        <v>533</v>
      </c>
      <c r="AB269" s="8" t="s">
        <v>37</v>
      </c>
      <c r="AC269" s="4" t="s">
        <v>37</v>
      </c>
      <c r="AD269" s="11" t="s">
        <v>37</v>
      </c>
      <c r="AE269" s="9" t="s">
        <v>183</v>
      </c>
      <c r="AF269" s="4" t="s">
        <v>532</v>
      </c>
    </row>
    <row r="270" spans="1:32" s="4" customFormat="1" x14ac:dyDescent="0.25">
      <c r="A270" s="4">
        <f t="shared" si="53"/>
        <v>153</v>
      </c>
      <c r="B270" s="5" t="s">
        <v>529</v>
      </c>
      <c r="C270" s="6" t="s">
        <v>530</v>
      </c>
      <c r="D270" s="4" t="s">
        <v>531</v>
      </c>
      <c r="E270" s="4" t="s">
        <v>183</v>
      </c>
      <c r="F270" s="10" t="s">
        <v>536</v>
      </c>
      <c r="G270" s="4" t="s">
        <v>9</v>
      </c>
      <c r="H270" s="4" t="s">
        <v>233</v>
      </c>
      <c r="I270" s="4" t="s">
        <v>331</v>
      </c>
      <c r="J270" s="7">
        <f t="shared" si="52"/>
        <v>106.42287857477731</v>
      </c>
      <c r="K270" s="4" t="str">
        <f t="shared" si="51"/>
        <v>More Conserved</v>
      </c>
      <c r="L270" s="7">
        <v>15.89</v>
      </c>
      <c r="M270" s="7">
        <f t="shared" si="48"/>
        <v>14.301</v>
      </c>
      <c r="N270" s="7">
        <v>51.04</v>
      </c>
      <c r="O270" s="7">
        <v>149.31</v>
      </c>
      <c r="P270" s="7">
        <f t="shared" si="54"/>
        <v>134.37900000000002</v>
      </c>
      <c r="Q270" s="7">
        <f t="shared" si="49"/>
        <v>0.3418391266492532</v>
      </c>
      <c r="R270" s="8">
        <v>15.57</v>
      </c>
      <c r="S270" s="8">
        <v>12.94</v>
      </c>
      <c r="T270" s="4" t="str">
        <f t="shared" si="50"/>
        <v>Fast</v>
      </c>
      <c r="U270" s="4" t="s">
        <v>30</v>
      </c>
      <c r="V270" s="4" t="s">
        <v>32</v>
      </c>
      <c r="W270" s="4">
        <v>100</v>
      </c>
      <c r="X270" s="4">
        <v>1000</v>
      </c>
      <c r="Y270" s="4">
        <v>400</v>
      </c>
      <c r="Z270" s="4">
        <v>24</v>
      </c>
      <c r="AA270" s="11" t="s">
        <v>533</v>
      </c>
      <c r="AB270" s="8" t="s">
        <v>37</v>
      </c>
      <c r="AC270" s="4" t="s">
        <v>37</v>
      </c>
      <c r="AD270" s="11" t="s">
        <v>37</v>
      </c>
      <c r="AE270" s="9" t="s">
        <v>183</v>
      </c>
      <c r="AF270" s="4" t="s">
        <v>532</v>
      </c>
    </row>
    <row r="271" spans="1:32" s="4" customFormat="1" x14ac:dyDescent="0.25">
      <c r="A271" s="4">
        <f t="shared" si="53"/>
        <v>153</v>
      </c>
      <c r="B271" s="5" t="s">
        <v>529</v>
      </c>
      <c r="C271" s="6" t="s">
        <v>530</v>
      </c>
      <c r="D271" s="4" t="s">
        <v>531</v>
      </c>
      <c r="E271" s="4" t="s">
        <v>183</v>
      </c>
      <c r="F271" s="10" t="s">
        <v>537</v>
      </c>
      <c r="G271" s="4" t="s">
        <v>9</v>
      </c>
      <c r="H271" s="4" t="s">
        <v>233</v>
      </c>
      <c r="I271" s="4" t="s">
        <v>331</v>
      </c>
      <c r="J271" s="7">
        <f t="shared" si="52"/>
        <v>106.41130298273156</v>
      </c>
      <c r="K271" s="4" t="str">
        <f t="shared" si="51"/>
        <v>More Conserved</v>
      </c>
      <c r="L271" s="7">
        <v>16.946000000000002</v>
      </c>
      <c r="M271" s="7">
        <f t="shared" si="48"/>
        <v>15.251400000000002</v>
      </c>
      <c r="N271" s="7">
        <v>53.44</v>
      </c>
      <c r="O271" s="7">
        <v>159.25</v>
      </c>
      <c r="P271" s="7">
        <f t="shared" si="54"/>
        <v>143.32500000000002</v>
      </c>
      <c r="Q271" s="7">
        <f t="shared" si="49"/>
        <v>0.33557299843014127</v>
      </c>
      <c r="R271" s="8">
        <v>15.36</v>
      </c>
      <c r="S271" s="8">
        <v>20.010000000000002</v>
      </c>
      <c r="T271" s="4" t="str">
        <f t="shared" si="50"/>
        <v>Intermediate</v>
      </c>
      <c r="U271" s="4" t="s">
        <v>30</v>
      </c>
      <c r="V271" s="4" t="s">
        <v>32</v>
      </c>
      <c r="W271" s="4">
        <v>100</v>
      </c>
      <c r="X271" s="4">
        <v>1000</v>
      </c>
      <c r="Y271" s="4">
        <v>400</v>
      </c>
      <c r="Z271" s="4">
        <v>24</v>
      </c>
      <c r="AA271" s="11" t="s">
        <v>533</v>
      </c>
      <c r="AB271" s="8" t="s">
        <v>37</v>
      </c>
      <c r="AC271" s="4" t="s">
        <v>37</v>
      </c>
      <c r="AD271" s="11" t="s">
        <v>37</v>
      </c>
      <c r="AE271" s="9" t="s">
        <v>183</v>
      </c>
      <c r="AF271" s="4" t="s">
        <v>532</v>
      </c>
    </row>
    <row r="272" spans="1:32" s="4" customFormat="1" x14ac:dyDescent="0.25">
      <c r="A272" s="4">
        <f t="shared" si="53"/>
        <v>154</v>
      </c>
      <c r="B272" s="5" t="s">
        <v>649</v>
      </c>
      <c r="C272" s="6" t="s">
        <v>209</v>
      </c>
      <c r="D272" s="4" t="s">
        <v>210</v>
      </c>
      <c r="E272" s="4" t="s">
        <v>182</v>
      </c>
      <c r="F272" s="10" t="s">
        <v>653</v>
      </c>
      <c r="G272" s="4" t="s">
        <v>9</v>
      </c>
      <c r="H272" s="4" t="s">
        <v>232</v>
      </c>
      <c r="I272" s="4" t="s">
        <v>344</v>
      </c>
      <c r="J272" s="7">
        <f t="shared" si="52"/>
        <v>89.732620320855617</v>
      </c>
      <c r="K272" s="4" t="str">
        <f t="shared" si="51"/>
        <v>More Conserved</v>
      </c>
      <c r="L272" s="7">
        <v>16.78</v>
      </c>
      <c r="M272" s="7">
        <f t="shared" si="48"/>
        <v>15.102000000000002</v>
      </c>
      <c r="N272" s="7">
        <v>73.5</v>
      </c>
      <c r="O272" s="7">
        <v>187</v>
      </c>
      <c r="P272" s="7">
        <f t="shared" si="54"/>
        <v>168.3</v>
      </c>
      <c r="Q272" s="7">
        <f t="shared" si="49"/>
        <v>0.39304812834224601</v>
      </c>
      <c r="R272" s="8">
        <v>36.020000000000003</v>
      </c>
      <c r="S272" s="8">
        <v>47.74</v>
      </c>
      <c r="T272" s="4" t="str">
        <f t="shared" si="50"/>
        <v>Slow</v>
      </c>
      <c r="U272" s="4" t="s">
        <v>10</v>
      </c>
      <c r="V272" s="4" t="s">
        <v>41</v>
      </c>
      <c r="W272" s="4">
        <v>50</v>
      </c>
      <c r="X272" s="4">
        <v>1000</v>
      </c>
      <c r="Y272" s="4">
        <v>450</v>
      </c>
      <c r="Z272" s="4">
        <v>23</v>
      </c>
      <c r="AA272" s="11">
        <v>0.7</v>
      </c>
      <c r="AB272" s="8">
        <v>250</v>
      </c>
      <c r="AC272" s="4" t="s">
        <v>650</v>
      </c>
      <c r="AD272" s="11">
        <v>0.7</v>
      </c>
      <c r="AE272" s="4" t="s">
        <v>183</v>
      </c>
      <c r="AF272" s="4" t="s">
        <v>732</v>
      </c>
    </row>
    <row r="273" spans="1:32" s="4" customFormat="1" x14ac:dyDescent="0.25">
      <c r="A273" s="4">
        <f t="shared" si="53"/>
        <v>154</v>
      </c>
      <c r="B273" s="5" t="s">
        <v>649</v>
      </c>
      <c r="C273" s="6" t="s">
        <v>209</v>
      </c>
      <c r="D273" s="4" t="s">
        <v>210</v>
      </c>
      <c r="E273" s="4" t="s">
        <v>182</v>
      </c>
      <c r="F273" s="10" t="s">
        <v>653</v>
      </c>
      <c r="G273" s="4" t="s">
        <v>9</v>
      </c>
      <c r="H273" s="4" t="s">
        <v>232</v>
      </c>
      <c r="I273" s="4" t="s">
        <v>344</v>
      </c>
      <c r="J273" s="7">
        <f t="shared" si="52"/>
        <v>134.82587064676616</v>
      </c>
      <c r="K273" s="4" t="str">
        <f t="shared" si="51"/>
        <v>More Conserved</v>
      </c>
      <c r="L273" s="7">
        <v>21.68</v>
      </c>
      <c r="M273" s="7">
        <f t="shared" ref="M273:M304" si="55">L273*0.9</f>
        <v>19.512</v>
      </c>
      <c r="N273" s="7">
        <v>88.8</v>
      </c>
      <c r="O273" s="7">
        <v>160.80000000000001</v>
      </c>
      <c r="P273" s="7">
        <f t="shared" si="54"/>
        <v>144.72000000000003</v>
      </c>
      <c r="Q273" s="7">
        <f t="shared" ref="Q273:Q304" si="56">N273/O273</f>
        <v>0.55223880597014918</v>
      </c>
      <c r="R273" s="8">
        <v>16.100000000000001</v>
      </c>
      <c r="S273" s="8">
        <v>38.57</v>
      </c>
      <c r="T273" s="4" t="str">
        <f t="shared" si="50"/>
        <v>Intermediate</v>
      </c>
      <c r="U273" s="4" t="s">
        <v>10</v>
      </c>
      <c r="V273" s="4" t="s">
        <v>41</v>
      </c>
      <c r="W273" s="4">
        <v>50</v>
      </c>
      <c r="X273" s="4">
        <v>1000</v>
      </c>
      <c r="Y273" s="4">
        <v>900</v>
      </c>
      <c r="Z273" s="4">
        <v>23</v>
      </c>
      <c r="AA273" s="11">
        <v>0.7</v>
      </c>
      <c r="AB273" s="8">
        <v>250</v>
      </c>
      <c r="AC273" s="4" t="s">
        <v>650</v>
      </c>
      <c r="AD273" s="11">
        <v>0.7</v>
      </c>
      <c r="AE273" s="4" t="s">
        <v>183</v>
      </c>
      <c r="AF273" s="4" t="s">
        <v>732</v>
      </c>
    </row>
    <row r="274" spans="1:32" s="4" customFormat="1" x14ac:dyDescent="0.25">
      <c r="A274" s="4">
        <f t="shared" si="53"/>
        <v>155</v>
      </c>
      <c r="B274" s="5" t="s">
        <v>649</v>
      </c>
      <c r="C274" s="6" t="s">
        <v>39</v>
      </c>
      <c r="D274" s="4" t="s">
        <v>40</v>
      </c>
      <c r="E274" s="4" t="s">
        <v>182</v>
      </c>
      <c r="F274" s="10" t="s">
        <v>651</v>
      </c>
      <c r="G274" s="4" t="s">
        <v>9</v>
      </c>
      <c r="H274" s="4" t="s">
        <v>232</v>
      </c>
      <c r="I274" s="4" t="s">
        <v>341</v>
      </c>
      <c r="J274" s="7">
        <f t="shared" si="52"/>
        <v>53.426147487491839</v>
      </c>
      <c r="K274" s="4" t="str">
        <f t="shared" si="51"/>
        <v>Less Conserved</v>
      </c>
      <c r="L274" s="7">
        <v>24.56</v>
      </c>
      <c r="M274" s="7">
        <f t="shared" si="55"/>
        <v>22.103999999999999</v>
      </c>
      <c r="N274" s="7">
        <v>142.30000000000001</v>
      </c>
      <c r="O274" s="7">
        <v>459.7</v>
      </c>
      <c r="P274" s="7">
        <f t="shared" si="54"/>
        <v>413.73</v>
      </c>
      <c r="Q274" s="7">
        <f t="shared" si="56"/>
        <v>0.30954970633021539</v>
      </c>
      <c r="R274" s="8">
        <v>17.04</v>
      </c>
      <c r="S274" s="8">
        <v>23.8</v>
      </c>
      <c r="T274" s="4" t="str">
        <f t="shared" si="50"/>
        <v>Intermediate</v>
      </c>
      <c r="U274" s="4" t="s">
        <v>10</v>
      </c>
      <c r="V274" s="4" t="s">
        <v>32</v>
      </c>
      <c r="W274" s="4">
        <v>50</v>
      </c>
      <c r="X274" s="4">
        <v>1000</v>
      </c>
      <c r="Y274" s="4">
        <v>450</v>
      </c>
      <c r="Z274" s="4">
        <v>23</v>
      </c>
      <c r="AA274" s="11">
        <v>0.7</v>
      </c>
      <c r="AB274" s="8">
        <v>250</v>
      </c>
      <c r="AC274" s="4" t="s">
        <v>650</v>
      </c>
      <c r="AD274" s="11">
        <v>0.7</v>
      </c>
      <c r="AE274" s="5" t="s">
        <v>182</v>
      </c>
      <c r="AF274" s="4" t="s">
        <v>732</v>
      </c>
    </row>
    <row r="275" spans="1:32" s="4" customFormat="1" x14ac:dyDescent="0.25">
      <c r="A275" s="4">
        <f t="shared" si="53"/>
        <v>155</v>
      </c>
      <c r="B275" s="5" t="s">
        <v>649</v>
      </c>
      <c r="C275" s="6" t="s">
        <v>39</v>
      </c>
      <c r="D275" s="4" t="s">
        <v>40</v>
      </c>
      <c r="E275" s="4" t="s">
        <v>182</v>
      </c>
      <c r="F275" s="10" t="s">
        <v>651</v>
      </c>
      <c r="G275" s="4" t="s">
        <v>9</v>
      </c>
      <c r="H275" s="4" t="s">
        <v>232</v>
      </c>
      <c r="I275" s="4" t="s">
        <v>341</v>
      </c>
      <c r="J275" s="7">
        <f t="shared" si="52"/>
        <v>92.636494252873561</v>
      </c>
      <c r="K275" s="4" t="str">
        <f t="shared" si="51"/>
        <v>More Conserved</v>
      </c>
      <c r="L275" s="7">
        <v>25.79</v>
      </c>
      <c r="M275" s="7">
        <f t="shared" si="55"/>
        <v>23.210999999999999</v>
      </c>
      <c r="N275" s="7">
        <v>99.9</v>
      </c>
      <c r="O275" s="7">
        <v>278.39999999999998</v>
      </c>
      <c r="P275" s="7">
        <f t="shared" si="54"/>
        <v>250.55999999999997</v>
      </c>
      <c r="Q275" s="7">
        <f t="shared" si="56"/>
        <v>0.35883620689655177</v>
      </c>
      <c r="R275" s="8">
        <v>20.72</v>
      </c>
      <c r="S275" s="8">
        <v>26.02</v>
      </c>
      <c r="T275" s="4" t="str">
        <f t="shared" si="50"/>
        <v>Intermediate</v>
      </c>
      <c r="U275" s="4" t="s">
        <v>10</v>
      </c>
      <c r="V275" s="4" t="s">
        <v>32</v>
      </c>
      <c r="W275" s="4">
        <v>50</v>
      </c>
      <c r="X275" s="4">
        <v>1000</v>
      </c>
      <c r="Y275" s="4">
        <v>900</v>
      </c>
      <c r="Z275" s="4">
        <v>23</v>
      </c>
      <c r="AA275" s="11">
        <v>0.7</v>
      </c>
      <c r="AB275" s="8">
        <v>250</v>
      </c>
      <c r="AC275" s="4" t="s">
        <v>650</v>
      </c>
      <c r="AD275" s="11">
        <v>0.7</v>
      </c>
      <c r="AE275" s="5" t="s">
        <v>182</v>
      </c>
      <c r="AF275" s="4" t="s">
        <v>732</v>
      </c>
    </row>
    <row r="276" spans="1:32" s="4" customFormat="1" x14ac:dyDescent="0.25">
      <c r="A276" s="4">
        <f t="shared" si="53"/>
        <v>156</v>
      </c>
      <c r="B276" s="5" t="s">
        <v>649</v>
      </c>
      <c r="C276" s="6" t="s">
        <v>211</v>
      </c>
      <c r="D276" s="4" t="s">
        <v>212</v>
      </c>
      <c r="E276" s="4" t="s">
        <v>182</v>
      </c>
      <c r="F276" s="10" t="s">
        <v>652</v>
      </c>
      <c r="G276" s="4" t="s">
        <v>9</v>
      </c>
      <c r="H276" s="4" t="s">
        <v>232</v>
      </c>
      <c r="I276" s="4" t="s">
        <v>563</v>
      </c>
      <c r="J276" s="7">
        <f t="shared" si="52"/>
        <v>53.835073820669784</v>
      </c>
      <c r="K276" s="4" t="str">
        <f t="shared" si="51"/>
        <v>Less Conserved</v>
      </c>
      <c r="L276" s="7">
        <v>14.95</v>
      </c>
      <c r="M276" s="7">
        <f t="shared" si="55"/>
        <v>13.455</v>
      </c>
      <c r="N276" s="7">
        <v>98.6</v>
      </c>
      <c r="O276" s="7">
        <v>277.7</v>
      </c>
      <c r="P276" s="7">
        <f t="shared" si="54"/>
        <v>249.93</v>
      </c>
      <c r="Q276" s="7">
        <f t="shared" si="56"/>
        <v>0.35505941663665824</v>
      </c>
      <c r="R276" s="8">
        <v>23.83</v>
      </c>
      <c r="S276" s="8">
        <v>18.64</v>
      </c>
      <c r="T276" s="4" t="str">
        <f t="shared" si="50"/>
        <v>Fast</v>
      </c>
      <c r="U276" s="4" t="s">
        <v>10</v>
      </c>
      <c r="V276" s="4" t="s">
        <v>41</v>
      </c>
      <c r="W276" s="4">
        <v>50</v>
      </c>
      <c r="X276" s="4">
        <v>1000</v>
      </c>
      <c r="Y276" s="4">
        <v>450</v>
      </c>
      <c r="Z276" s="4">
        <v>23</v>
      </c>
      <c r="AA276" s="11">
        <v>0.7</v>
      </c>
      <c r="AB276" s="8">
        <v>250</v>
      </c>
      <c r="AC276" s="4" t="s">
        <v>650</v>
      </c>
      <c r="AD276" s="11">
        <v>0.7</v>
      </c>
      <c r="AE276" s="5" t="s">
        <v>182</v>
      </c>
      <c r="AF276" s="4" t="s">
        <v>732</v>
      </c>
    </row>
    <row r="277" spans="1:32" s="4" customFormat="1" x14ac:dyDescent="0.25">
      <c r="A277" s="4">
        <f t="shared" si="53"/>
        <v>156</v>
      </c>
      <c r="B277" s="5" t="s">
        <v>649</v>
      </c>
      <c r="C277" s="6" t="s">
        <v>211</v>
      </c>
      <c r="D277" s="4" t="s">
        <v>212</v>
      </c>
      <c r="E277" s="4" t="s">
        <v>182</v>
      </c>
      <c r="F277" s="10" t="s">
        <v>652</v>
      </c>
      <c r="G277" s="4" t="s">
        <v>9</v>
      </c>
      <c r="H277" s="4" t="s">
        <v>232</v>
      </c>
      <c r="I277" s="4" t="s">
        <v>563</v>
      </c>
      <c r="J277" s="7">
        <f t="shared" si="52"/>
        <v>103.4339846062759</v>
      </c>
      <c r="K277" s="4" t="str">
        <f t="shared" si="51"/>
        <v>More Conserved</v>
      </c>
      <c r="L277" s="7">
        <v>17.47</v>
      </c>
      <c r="M277" s="7">
        <f t="shared" si="55"/>
        <v>15.722999999999999</v>
      </c>
      <c r="N277" s="7">
        <v>69.400000000000006</v>
      </c>
      <c r="O277" s="7">
        <v>168.9</v>
      </c>
      <c r="P277" s="7">
        <f t="shared" si="54"/>
        <v>152.01000000000002</v>
      </c>
      <c r="Q277" s="7">
        <f t="shared" si="56"/>
        <v>0.41089402013025461</v>
      </c>
      <c r="R277" s="8">
        <v>24.51</v>
      </c>
      <c r="S277" s="8">
        <v>18.420000000000002</v>
      </c>
      <c r="T277" s="4" t="str">
        <f t="shared" si="50"/>
        <v>Fast</v>
      </c>
      <c r="U277" s="4" t="s">
        <v>10</v>
      </c>
      <c r="V277" s="4" t="s">
        <v>41</v>
      </c>
      <c r="W277" s="4">
        <v>50</v>
      </c>
      <c r="X277" s="4">
        <v>1000</v>
      </c>
      <c r="Y277" s="4">
        <v>900</v>
      </c>
      <c r="Z277" s="4">
        <v>23</v>
      </c>
      <c r="AA277" s="11">
        <v>0.7</v>
      </c>
      <c r="AB277" s="8">
        <v>250</v>
      </c>
      <c r="AC277" s="4" t="s">
        <v>650</v>
      </c>
      <c r="AD277" s="11">
        <v>0.7</v>
      </c>
      <c r="AE277" s="5" t="s">
        <v>182</v>
      </c>
      <c r="AF277" s="4" t="s">
        <v>732</v>
      </c>
    </row>
    <row r="278" spans="1:32" s="4" customFormat="1" x14ac:dyDescent="0.25">
      <c r="A278" s="4">
        <f t="shared" si="53"/>
        <v>157</v>
      </c>
      <c r="B278" s="5" t="s">
        <v>654</v>
      </c>
      <c r="C278" s="6" t="s">
        <v>658</v>
      </c>
      <c r="D278" s="4" t="s">
        <v>26</v>
      </c>
      <c r="E278" s="4" t="s">
        <v>183</v>
      </c>
      <c r="F278" s="10" t="s">
        <v>659</v>
      </c>
      <c r="G278" s="4" t="s">
        <v>9</v>
      </c>
      <c r="H278" s="4" t="s">
        <v>232</v>
      </c>
      <c r="I278" s="4" t="s">
        <v>341</v>
      </c>
      <c r="J278" s="7">
        <f t="shared" si="52"/>
        <v>52.88607594936709</v>
      </c>
      <c r="K278" s="4" t="str">
        <f t="shared" si="51"/>
        <v>Less Conserved</v>
      </c>
      <c r="L278" s="7">
        <v>20.89</v>
      </c>
      <c r="M278" s="7">
        <f t="shared" si="55"/>
        <v>18.801000000000002</v>
      </c>
      <c r="N278" s="7">
        <v>13.33</v>
      </c>
      <c r="O278" s="7">
        <v>395</v>
      </c>
      <c r="P278" s="7">
        <f t="shared" si="54"/>
        <v>355.5</v>
      </c>
      <c r="Q278" s="7">
        <f t="shared" si="56"/>
        <v>3.3746835443037977E-2</v>
      </c>
      <c r="R278" s="8">
        <v>26.43</v>
      </c>
      <c r="S278" s="8">
        <v>31.96</v>
      </c>
      <c r="T278" s="4" t="str">
        <f t="shared" ref="T278:T309" si="57">IF(S278&gt;=45, "Slow", IF(S278&gt;=20, "Intermediate", "Fast"))</f>
        <v>Intermediate</v>
      </c>
      <c r="U278" s="4" t="s">
        <v>10</v>
      </c>
      <c r="V278" s="4" t="s">
        <v>32</v>
      </c>
      <c r="W278" s="4">
        <v>0</v>
      </c>
      <c r="X278" s="4">
        <v>1500</v>
      </c>
      <c r="Y278" s="4">
        <v>400</v>
      </c>
      <c r="Z278" s="4">
        <v>25</v>
      </c>
      <c r="AA278" s="11">
        <v>0.65</v>
      </c>
      <c r="AB278" s="8" t="s">
        <v>26</v>
      </c>
      <c r="AC278" s="4">
        <v>24.6</v>
      </c>
      <c r="AD278" s="11">
        <v>0.58299999999999996</v>
      </c>
      <c r="AE278" s="4" t="s">
        <v>183</v>
      </c>
      <c r="AF278" s="4" t="s">
        <v>733</v>
      </c>
    </row>
    <row r="279" spans="1:32" s="4" customFormat="1" x14ac:dyDescent="0.25">
      <c r="A279" s="4">
        <f t="shared" si="53"/>
        <v>158</v>
      </c>
      <c r="B279" s="5" t="s">
        <v>654</v>
      </c>
      <c r="C279" s="6" t="s">
        <v>660</v>
      </c>
      <c r="D279" s="4" t="s">
        <v>26</v>
      </c>
      <c r="E279" s="4" t="s">
        <v>183</v>
      </c>
      <c r="F279" s="10" t="s">
        <v>661</v>
      </c>
      <c r="G279" s="4" t="s">
        <v>9</v>
      </c>
      <c r="H279" s="4" t="s">
        <v>232</v>
      </c>
      <c r="I279" s="4" t="s">
        <v>341</v>
      </c>
      <c r="J279" s="7">
        <f t="shared" si="52"/>
        <v>49.878463782207099</v>
      </c>
      <c r="K279" s="4" t="str">
        <f t="shared" si="51"/>
        <v>Less Conserved</v>
      </c>
      <c r="L279" s="7">
        <v>20.52</v>
      </c>
      <c r="M279" s="7">
        <f t="shared" si="55"/>
        <v>18.468</v>
      </c>
      <c r="N279" s="7">
        <v>7.75</v>
      </c>
      <c r="O279" s="7">
        <v>411.4</v>
      </c>
      <c r="P279" s="7">
        <f t="shared" si="54"/>
        <v>370.26</v>
      </c>
      <c r="Q279" s="7">
        <f t="shared" si="56"/>
        <v>1.8838113757899854E-2</v>
      </c>
      <c r="R279" s="8">
        <v>29.4</v>
      </c>
      <c r="S279" s="8">
        <v>37.380000000000003</v>
      </c>
      <c r="T279" s="4" t="str">
        <f t="shared" si="57"/>
        <v>Intermediate</v>
      </c>
      <c r="U279" s="4" t="s">
        <v>10</v>
      </c>
      <c r="V279" s="4" t="s">
        <v>32</v>
      </c>
      <c r="W279" s="4">
        <v>0</v>
      </c>
      <c r="X279" s="4">
        <v>1500</v>
      </c>
      <c r="Y279" s="4">
        <v>400</v>
      </c>
      <c r="Z279" s="4">
        <v>25</v>
      </c>
      <c r="AA279" s="11">
        <v>0.65</v>
      </c>
      <c r="AB279" s="8" t="s">
        <v>26</v>
      </c>
      <c r="AC279" s="4">
        <v>24.6</v>
      </c>
      <c r="AD279" s="11">
        <v>0.58299999999999996</v>
      </c>
      <c r="AE279" s="4" t="s">
        <v>183</v>
      </c>
      <c r="AF279" s="4" t="s">
        <v>733</v>
      </c>
    </row>
    <row r="280" spans="1:32" s="4" customFormat="1" x14ac:dyDescent="0.25">
      <c r="A280" s="4">
        <f t="shared" si="53"/>
        <v>159</v>
      </c>
      <c r="B280" s="5" t="s">
        <v>654</v>
      </c>
      <c r="C280" s="6" t="s">
        <v>662</v>
      </c>
      <c r="D280" s="4" t="s">
        <v>663</v>
      </c>
      <c r="E280" s="4" t="s">
        <v>183</v>
      </c>
      <c r="F280" s="10" t="s">
        <v>664</v>
      </c>
      <c r="G280" s="4" t="s">
        <v>9</v>
      </c>
      <c r="H280" s="4" t="s">
        <v>232</v>
      </c>
      <c r="I280" s="4" t="s">
        <v>341</v>
      </c>
      <c r="J280" s="7">
        <f t="shared" si="52"/>
        <v>53.15005727376861</v>
      </c>
      <c r="K280" s="4" t="str">
        <f t="shared" si="51"/>
        <v>Less Conserved</v>
      </c>
      <c r="L280" s="7">
        <v>18.559999999999999</v>
      </c>
      <c r="M280" s="7">
        <f t="shared" si="55"/>
        <v>16.704000000000001</v>
      </c>
      <c r="N280" s="7">
        <v>15.09</v>
      </c>
      <c r="O280" s="7">
        <v>349.2</v>
      </c>
      <c r="P280" s="7">
        <f t="shared" si="54"/>
        <v>314.27999999999997</v>
      </c>
      <c r="Q280" s="7">
        <f t="shared" si="56"/>
        <v>4.3213058419243985E-2</v>
      </c>
      <c r="R280" s="8">
        <v>25.72</v>
      </c>
      <c r="S280" s="8">
        <v>33.130000000000003</v>
      </c>
      <c r="T280" s="4" t="str">
        <f t="shared" si="57"/>
        <v>Intermediate</v>
      </c>
      <c r="U280" s="4" t="s">
        <v>10</v>
      </c>
      <c r="V280" s="4" t="s">
        <v>32</v>
      </c>
      <c r="W280" s="4">
        <v>0</v>
      </c>
      <c r="X280" s="4">
        <v>1500</v>
      </c>
      <c r="Y280" s="4">
        <v>400</v>
      </c>
      <c r="Z280" s="4">
        <v>25</v>
      </c>
      <c r="AA280" s="11">
        <v>0.65</v>
      </c>
      <c r="AB280" s="8" t="s">
        <v>26</v>
      </c>
      <c r="AC280" s="4">
        <v>24.6</v>
      </c>
      <c r="AD280" s="11">
        <v>0.58299999999999996</v>
      </c>
      <c r="AE280" s="4" t="s">
        <v>183</v>
      </c>
      <c r="AF280" s="4" t="s">
        <v>733</v>
      </c>
    </row>
    <row r="281" spans="1:32" s="4" customFormat="1" x14ac:dyDescent="0.25">
      <c r="A281" s="4">
        <f t="shared" si="53"/>
        <v>160</v>
      </c>
      <c r="B281" s="5" t="s">
        <v>654</v>
      </c>
      <c r="C281" s="6" t="s">
        <v>670</v>
      </c>
      <c r="D281" s="4" t="s">
        <v>26</v>
      </c>
      <c r="E281" s="4" t="s">
        <v>183</v>
      </c>
      <c r="F281" s="10" t="s">
        <v>671</v>
      </c>
      <c r="G281" s="4" t="s">
        <v>9</v>
      </c>
      <c r="H281" s="4" t="s">
        <v>232</v>
      </c>
      <c r="I281" s="4" t="s">
        <v>341</v>
      </c>
      <c r="J281" s="7">
        <f t="shared" si="52"/>
        <v>55.497382198952877</v>
      </c>
      <c r="K281" s="4" t="str">
        <f t="shared" si="51"/>
        <v>Less Conserved</v>
      </c>
      <c r="L281" s="7">
        <v>18.02</v>
      </c>
      <c r="M281" s="7">
        <f t="shared" si="55"/>
        <v>16.218</v>
      </c>
      <c r="N281" s="7">
        <v>8.1300000000000008</v>
      </c>
      <c r="O281" s="7">
        <v>324.7</v>
      </c>
      <c r="P281" s="7">
        <f t="shared" si="54"/>
        <v>292.23</v>
      </c>
      <c r="Q281" s="7">
        <f t="shared" si="56"/>
        <v>2.5038497074222361E-2</v>
      </c>
      <c r="R281" s="8">
        <v>40.729999999999997</v>
      </c>
      <c r="S281" s="8">
        <v>48.5</v>
      </c>
      <c r="T281" s="4" t="str">
        <f t="shared" si="57"/>
        <v>Slow</v>
      </c>
      <c r="U281" s="4" t="s">
        <v>10</v>
      </c>
      <c r="V281" s="4" t="s">
        <v>32</v>
      </c>
      <c r="W281" s="4">
        <v>0</v>
      </c>
      <c r="X281" s="4">
        <v>1500</v>
      </c>
      <c r="Y281" s="4">
        <v>400</v>
      </c>
      <c r="Z281" s="4">
        <v>25</v>
      </c>
      <c r="AA281" s="11">
        <v>0.65</v>
      </c>
      <c r="AB281" s="8" t="s">
        <v>26</v>
      </c>
      <c r="AC281" s="4">
        <v>24.6</v>
      </c>
      <c r="AD281" s="11">
        <v>0.58299999999999996</v>
      </c>
      <c r="AE281" s="4" t="s">
        <v>183</v>
      </c>
      <c r="AF281" s="4" t="s">
        <v>733</v>
      </c>
    </row>
    <row r="282" spans="1:32" s="4" customFormat="1" x14ac:dyDescent="0.25">
      <c r="A282" s="4">
        <f t="shared" si="53"/>
        <v>161</v>
      </c>
      <c r="B282" s="5" t="s">
        <v>654</v>
      </c>
      <c r="C282" s="6" t="s">
        <v>672</v>
      </c>
      <c r="D282" s="4" t="s">
        <v>673</v>
      </c>
      <c r="E282" s="4" t="s">
        <v>183</v>
      </c>
      <c r="F282" s="10" t="s">
        <v>674</v>
      </c>
      <c r="G282" s="4" t="s">
        <v>9</v>
      </c>
      <c r="H282" s="4" t="s">
        <v>232</v>
      </c>
      <c r="I282" s="4" t="s">
        <v>341</v>
      </c>
      <c r="J282" s="7">
        <f t="shared" si="52"/>
        <v>59.790667248146534</v>
      </c>
      <c r="K282" s="4" t="str">
        <f t="shared" si="51"/>
        <v>Less Conserved</v>
      </c>
      <c r="L282" s="7">
        <v>13.71</v>
      </c>
      <c r="M282" s="7">
        <f t="shared" si="55"/>
        <v>12.339</v>
      </c>
      <c r="N282" s="7">
        <v>19.98</v>
      </c>
      <c r="O282" s="7">
        <v>229.3</v>
      </c>
      <c r="P282" s="7">
        <f t="shared" si="54"/>
        <v>206.37</v>
      </c>
      <c r="Q282" s="7">
        <f t="shared" si="56"/>
        <v>8.7134757959005674E-2</v>
      </c>
      <c r="R282" s="8">
        <v>41.25</v>
      </c>
      <c r="S282" s="8">
        <v>50.26</v>
      </c>
      <c r="T282" s="4" t="str">
        <f t="shared" si="57"/>
        <v>Slow</v>
      </c>
      <c r="U282" s="4" t="s">
        <v>10</v>
      </c>
      <c r="V282" s="4" t="s">
        <v>32</v>
      </c>
      <c r="W282" s="4">
        <v>0</v>
      </c>
      <c r="X282" s="4">
        <v>1500</v>
      </c>
      <c r="Y282" s="4">
        <v>400</v>
      </c>
      <c r="Z282" s="4">
        <v>25</v>
      </c>
      <c r="AA282" s="11">
        <v>0.65</v>
      </c>
      <c r="AB282" s="8" t="s">
        <v>26</v>
      </c>
      <c r="AC282" s="4">
        <v>24.6</v>
      </c>
      <c r="AD282" s="11">
        <v>0.58299999999999996</v>
      </c>
      <c r="AE282" s="4" t="s">
        <v>183</v>
      </c>
      <c r="AF282" s="4" t="s">
        <v>733</v>
      </c>
    </row>
    <row r="283" spans="1:32" s="4" customFormat="1" x14ac:dyDescent="0.25">
      <c r="A283" s="4">
        <f t="shared" si="53"/>
        <v>162</v>
      </c>
      <c r="B283" s="5" t="s">
        <v>654</v>
      </c>
      <c r="C283" s="6" t="s">
        <v>665</v>
      </c>
      <c r="D283" s="4" t="s">
        <v>26</v>
      </c>
      <c r="E283" s="4" t="s">
        <v>183</v>
      </c>
      <c r="F283" s="10" t="s">
        <v>666</v>
      </c>
      <c r="G283" s="4" t="s">
        <v>9</v>
      </c>
      <c r="H283" s="4" t="s">
        <v>232</v>
      </c>
      <c r="I283" s="4" t="s">
        <v>341</v>
      </c>
      <c r="J283" s="7">
        <f t="shared" si="52"/>
        <v>71.372394809280365</v>
      </c>
      <c r="K283" s="4" t="str">
        <f t="shared" si="51"/>
        <v>Conserved</v>
      </c>
      <c r="L283" s="7">
        <v>18.149999999999999</v>
      </c>
      <c r="M283" s="7">
        <f t="shared" si="55"/>
        <v>16.335000000000001</v>
      </c>
      <c r="N283" s="7">
        <v>10.119999999999999</v>
      </c>
      <c r="O283" s="7">
        <v>254.3</v>
      </c>
      <c r="P283" s="7">
        <f t="shared" si="54"/>
        <v>228.87</v>
      </c>
      <c r="Q283" s="7">
        <f t="shared" si="56"/>
        <v>3.9795517105780567E-2</v>
      </c>
      <c r="R283" s="8">
        <v>27.87</v>
      </c>
      <c r="S283" s="8">
        <v>39.14</v>
      </c>
      <c r="T283" s="4" t="str">
        <f t="shared" si="57"/>
        <v>Intermediate</v>
      </c>
      <c r="U283" s="4" t="s">
        <v>10</v>
      </c>
      <c r="V283" s="4" t="s">
        <v>32</v>
      </c>
      <c r="W283" s="4">
        <v>0</v>
      </c>
      <c r="X283" s="4">
        <v>1500</v>
      </c>
      <c r="Y283" s="4">
        <v>400</v>
      </c>
      <c r="Z283" s="4">
        <v>25</v>
      </c>
      <c r="AA283" s="11">
        <v>0.65</v>
      </c>
      <c r="AB283" s="8" t="s">
        <v>26</v>
      </c>
      <c r="AC283" s="4">
        <v>24.6</v>
      </c>
      <c r="AD283" s="11">
        <v>0.58299999999999996</v>
      </c>
      <c r="AE283" s="4" t="s">
        <v>183</v>
      </c>
      <c r="AF283" s="4" t="s">
        <v>733</v>
      </c>
    </row>
    <row r="284" spans="1:32" s="4" customFormat="1" x14ac:dyDescent="0.25">
      <c r="A284" s="4">
        <f t="shared" si="53"/>
        <v>163</v>
      </c>
      <c r="B284" s="5" t="s">
        <v>654</v>
      </c>
      <c r="C284" s="6" t="s">
        <v>667</v>
      </c>
      <c r="D284" s="4" t="s">
        <v>668</v>
      </c>
      <c r="E284" s="4" t="s">
        <v>183</v>
      </c>
      <c r="F284" s="10" t="s">
        <v>669</v>
      </c>
      <c r="G284" s="4" t="s">
        <v>9</v>
      </c>
      <c r="H284" s="4" t="s">
        <v>232</v>
      </c>
      <c r="I284" s="4" t="s">
        <v>341</v>
      </c>
      <c r="J284" s="7">
        <f t="shared" si="52"/>
        <v>48.31460674157303</v>
      </c>
      <c r="K284" s="4" t="str">
        <f t="shared" si="51"/>
        <v>Less Conserved</v>
      </c>
      <c r="L284" s="7">
        <v>11.61</v>
      </c>
      <c r="M284" s="7">
        <f t="shared" si="55"/>
        <v>10.449</v>
      </c>
      <c r="N284" s="7">
        <v>7.26</v>
      </c>
      <c r="O284" s="7">
        <v>240.3</v>
      </c>
      <c r="P284" s="7">
        <f t="shared" si="54"/>
        <v>216.27</v>
      </c>
      <c r="Q284" s="7">
        <f t="shared" si="56"/>
        <v>3.0212234706616728E-2</v>
      </c>
      <c r="R284" s="8">
        <v>32.700000000000003</v>
      </c>
      <c r="S284" s="8">
        <v>35.869999999999997</v>
      </c>
      <c r="T284" s="4" t="str">
        <f t="shared" si="57"/>
        <v>Intermediate</v>
      </c>
      <c r="U284" s="4" t="s">
        <v>10</v>
      </c>
      <c r="V284" s="4" t="s">
        <v>32</v>
      </c>
      <c r="W284" s="4">
        <v>0</v>
      </c>
      <c r="X284" s="4">
        <v>1500</v>
      </c>
      <c r="Y284" s="4">
        <v>400</v>
      </c>
      <c r="Z284" s="4">
        <v>25</v>
      </c>
      <c r="AA284" s="11">
        <v>0.65</v>
      </c>
      <c r="AB284" s="8" t="s">
        <v>26</v>
      </c>
      <c r="AC284" s="4">
        <v>24.6</v>
      </c>
      <c r="AD284" s="11">
        <v>0.58299999999999996</v>
      </c>
      <c r="AE284" s="4" t="s">
        <v>183</v>
      </c>
      <c r="AF284" s="4" t="s">
        <v>733</v>
      </c>
    </row>
    <row r="285" spans="1:32" s="4" customFormat="1" x14ac:dyDescent="0.25">
      <c r="A285" s="4">
        <f t="shared" si="53"/>
        <v>164</v>
      </c>
      <c r="B285" s="5" t="s">
        <v>654</v>
      </c>
      <c r="C285" s="6" t="s">
        <v>39</v>
      </c>
      <c r="D285" s="4" t="s">
        <v>26</v>
      </c>
      <c r="E285" s="4" t="s">
        <v>183</v>
      </c>
      <c r="F285" s="10" t="s">
        <v>657</v>
      </c>
      <c r="G285" s="4" t="s">
        <v>9</v>
      </c>
      <c r="H285" s="4" t="s">
        <v>232</v>
      </c>
      <c r="I285" s="4" t="s">
        <v>341</v>
      </c>
      <c r="J285" s="7">
        <f t="shared" si="52"/>
        <v>48.683633172444054</v>
      </c>
      <c r="K285" s="4" t="str">
        <f t="shared" si="51"/>
        <v>Less Conserved</v>
      </c>
      <c r="L285" s="7">
        <v>22.19</v>
      </c>
      <c r="M285" s="7">
        <f t="shared" si="55"/>
        <v>19.971</v>
      </c>
      <c r="N285" s="7">
        <v>31.06</v>
      </c>
      <c r="O285" s="7">
        <v>455.8</v>
      </c>
      <c r="P285" s="7">
        <f t="shared" si="54"/>
        <v>410.22</v>
      </c>
      <c r="Q285" s="7">
        <f t="shared" si="56"/>
        <v>6.8143922773146112E-2</v>
      </c>
      <c r="R285" s="8">
        <v>28.11</v>
      </c>
      <c r="S285" s="8">
        <v>44.94</v>
      </c>
      <c r="T285" s="4" t="str">
        <f t="shared" si="57"/>
        <v>Intermediate</v>
      </c>
      <c r="U285" s="4" t="s">
        <v>10</v>
      </c>
      <c r="V285" s="4" t="s">
        <v>32</v>
      </c>
      <c r="W285" s="4">
        <v>0</v>
      </c>
      <c r="X285" s="4">
        <v>1500</v>
      </c>
      <c r="Y285" s="4">
        <v>400</v>
      </c>
      <c r="Z285" s="4">
        <v>25</v>
      </c>
      <c r="AA285" s="11">
        <v>0.65</v>
      </c>
      <c r="AB285" s="8" t="s">
        <v>26</v>
      </c>
      <c r="AC285" s="4">
        <v>24.6</v>
      </c>
      <c r="AD285" s="11">
        <v>0.58299999999999996</v>
      </c>
      <c r="AE285" s="4" t="s">
        <v>183</v>
      </c>
      <c r="AF285" s="4" t="s">
        <v>733</v>
      </c>
    </row>
    <row r="286" spans="1:32" s="4" customFormat="1" x14ac:dyDescent="0.25">
      <c r="A286" s="4">
        <f t="shared" si="53"/>
        <v>164</v>
      </c>
      <c r="B286" s="5" t="s">
        <v>654</v>
      </c>
      <c r="C286" s="6" t="s">
        <v>39</v>
      </c>
      <c r="D286" s="4" t="s">
        <v>40</v>
      </c>
      <c r="E286" s="4" t="s">
        <v>182</v>
      </c>
      <c r="F286" s="10" t="s">
        <v>655</v>
      </c>
      <c r="G286" s="4" t="s">
        <v>9</v>
      </c>
      <c r="H286" s="4" t="s">
        <v>232</v>
      </c>
      <c r="I286" s="4" t="s">
        <v>341</v>
      </c>
      <c r="J286" s="7">
        <f t="shared" si="52"/>
        <v>40.601001669449083</v>
      </c>
      <c r="K286" s="4" t="str">
        <f t="shared" si="51"/>
        <v>Less Conserved</v>
      </c>
      <c r="L286" s="7">
        <v>12.16</v>
      </c>
      <c r="M286" s="7">
        <f t="shared" si="55"/>
        <v>10.944000000000001</v>
      </c>
      <c r="N286" s="7">
        <v>16.29</v>
      </c>
      <c r="O286" s="7">
        <v>299.5</v>
      </c>
      <c r="P286" s="7">
        <f t="shared" si="54"/>
        <v>269.55</v>
      </c>
      <c r="Q286" s="7">
        <f t="shared" si="56"/>
        <v>5.4390651085141899E-2</v>
      </c>
      <c r="R286" s="8">
        <v>33.840000000000003</v>
      </c>
      <c r="S286" s="8">
        <v>44.75</v>
      </c>
      <c r="T286" s="4" t="str">
        <f t="shared" si="57"/>
        <v>Intermediate</v>
      </c>
      <c r="U286" s="4" t="s">
        <v>10</v>
      </c>
      <c r="V286" s="4" t="s">
        <v>32</v>
      </c>
      <c r="W286" s="4">
        <v>0</v>
      </c>
      <c r="X286" s="4">
        <v>1500</v>
      </c>
      <c r="Y286" s="4">
        <v>400</v>
      </c>
      <c r="Z286" s="4">
        <v>25</v>
      </c>
      <c r="AA286" s="11">
        <v>0.65</v>
      </c>
      <c r="AB286" s="8" t="s">
        <v>26</v>
      </c>
      <c r="AC286" s="4">
        <v>24.6</v>
      </c>
      <c r="AD286" s="11">
        <v>0.58299999999999996</v>
      </c>
      <c r="AE286" s="5" t="s">
        <v>182</v>
      </c>
      <c r="AF286" s="4" t="s">
        <v>733</v>
      </c>
    </row>
    <row r="287" spans="1:32" s="4" customFormat="1" x14ac:dyDescent="0.25">
      <c r="A287" s="4">
        <f t="shared" ref="A287:A288" si="58">IF(C287=C286, A286, A286+1)</f>
        <v>164</v>
      </c>
      <c r="B287" s="5" t="s">
        <v>654</v>
      </c>
      <c r="C287" s="6" t="s">
        <v>39</v>
      </c>
      <c r="D287" s="4" t="s">
        <v>40</v>
      </c>
      <c r="E287" s="4" t="s">
        <v>182</v>
      </c>
      <c r="F287" s="10" t="s">
        <v>656</v>
      </c>
      <c r="G287" s="4" t="s">
        <v>9</v>
      </c>
      <c r="H287" s="4" t="s">
        <v>232</v>
      </c>
      <c r="I287" s="4" t="s">
        <v>341</v>
      </c>
      <c r="J287" s="7">
        <f t="shared" si="52"/>
        <v>33.854026393751681</v>
      </c>
      <c r="K287" s="4" t="str">
        <f t="shared" si="51"/>
        <v>Less Conserved</v>
      </c>
      <c r="L287" s="7">
        <v>12.57</v>
      </c>
      <c r="M287" s="7">
        <f t="shared" si="55"/>
        <v>11.313000000000001</v>
      </c>
      <c r="N287" s="7">
        <v>31.95</v>
      </c>
      <c r="O287" s="7">
        <v>371.3</v>
      </c>
      <c r="P287" s="7">
        <f t="shared" si="54"/>
        <v>334.17</v>
      </c>
      <c r="Q287" s="7">
        <f t="shared" si="56"/>
        <v>8.6049016967411796E-2</v>
      </c>
      <c r="R287" s="8">
        <v>34.03</v>
      </c>
      <c r="S287" s="8">
        <v>48</v>
      </c>
      <c r="T287" s="4" t="str">
        <f t="shared" si="57"/>
        <v>Slow</v>
      </c>
      <c r="U287" s="4" t="s">
        <v>10</v>
      </c>
      <c r="V287" s="4" t="s">
        <v>32</v>
      </c>
      <c r="W287" s="4">
        <v>0</v>
      </c>
      <c r="X287" s="4">
        <v>1500</v>
      </c>
      <c r="Y287" s="4">
        <v>400</v>
      </c>
      <c r="Z287" s="4">
        <v>25</v>
      </c>
      <c r="AA287" s="11">
        <v>0.65</v>
      </c>
      <c r="AB287" s="8" t="s">
        <v>26</v>
      </c>
      <c r="AC287" s="4">
        <v>24.6</v>
      </c>
      <c r="AD287" s="11">
        <v>0.58299999999999996</v>
      </c>
      <c r="AE287" s="5" t="s">
        <v>182</v>
      </c>
      <c r="AF287" s="4" t="s">
        <v>733</v>
      </c>
    </row>
    <row r="288" spans="1:32" s="4" customFormat="1" x14ac:dyDescent="0.25">
      <c r="A288" s="4">
        <f t="shared" si="58"/>
        <v>165</v>
      </c>
      <c r="B288" s="5" t="s">
        <v>675</v>
      </c>
      <c r="C288" s="6" t="s">
        <v>211</v>
      </c>
      <c r="D288" s="4" t="s">
        <v>212</v>
      </c>
      <c r="E288" s="4" t="s">
        <v>182</v>
      </c>
      <c r="F288" s="10" t="s">
        <v>676</v>
      </c>
      <c r="G288" s="4" t="s">
        <v>9</v>
      </c>
      <c r="H288" s="4" t="s">
        <v>232</v>
      </c>
      <c r="I288" s="4" t="s">
        <v>563</v>
      </c>
      <c r="J288" s="7">
        <f t="shared" si="52"/>
        <v>36.666666666666664</v>
      </c>
      <c r="K288" s="4" t="str">
        <f t="shared" si="51"/>
        <v>Less Conserved</v>
      </c>
      <c r="L288" s="7">
        <v>13.2</v>
      </c>
      <c r="M288" s="7">
        <f t="shared" si="55"/>
        <v>11.879999999999999</v>
      </c>
      <c r="N288" s="7">
        <v>64</v>
      </c>
      <c r="O288" s="7">
        <v>360</v>
      </c>
      <c r="P288" s="7">
        <f t="shared" si="54"/>
        <v>324</v>
      </c>
      <c r="Q288" s="7">
        <f t="shared" si="56"/>
        <v>0.17777777777777778</v>
      </c>
      <c r="R288" s="8">
        <v>23.33</v>
      </c>
      <c r="S288" s="8">
        <v>33.94</v>
      </c>
      <c r="T288" s="4" t="str">
        <f t="shared" si="57"/>
        <v>Intermediate</v>
      </c>
      <c r="U288" s="4" t="s">
        <v>10</v>
      </c>
      <c r="V288" s="4" t="s">
        <v>41</v>
      </c>
      <c r="W288" s="4">
        <v>0</v>
      </c>
      <c r="X288" s="4">
        <v>1500</v>
      </c>
      <c r="Y288" s="4">
        <v>400</v>
      </c>
      <c r="Z288" s="4">
        <v>25</v>
      </c>
      <c r="AA288" s="11">
        <v>0.6</v>
      </c>
      <c r="AB288" s="8">
        <v>100</v>
      </c>
      <c r="AC288" s="4">
        <v>25</v>
      </c>
      <c r="AD288" s="11">
        <v>0.6</v>
      </c>
      <c r="AE288" s="5" t="s">
        <v>182</v>
      </c>
      <c r="AF288" s="4" t="s">
        <v>734</v>
      </c>
    </row>
    <row r="289" spans="1:32" s="4" customFormat="1" x14ac:dyDescent="0.25">
      <c r="A289" s="4">
        <f t="shared" ref="A289:A291" si="59">IF(C289=C288, A288, A288+1)</f>
        <v>165</v>
      </c>
      <c r="B289" s="5" t="s">
        <v>675</v>
      </c>
      <c r="C289" s="6" t="s">
        <v>211</v>
      </c>
      <c r="D289" s="4" t="s">
        <v>212</v>
      </c>
      <c r="E289" s="4" t="s">
        <v>182</v>
      </c>
      <c r="F289" s="10" t="s">
        <v>677</v>
      </c>
      <c r="G289" s="4" t="s">
        <v>9</v>
      </c>
      <c r="H289" s="4" t="s">
        <v>232</v>
      </c>
      <c r="I289" s="4" t="s">
        <v>563</v>
      </c>
      <c r="J289" s="7">
        <f t="shared" si="52"/>
        <v>28.588235294117649</v>
      </c>
      <c r="K289" s="4" t="str">
        <f t="shared" ref="K289:K322" si="60">IF(J289&gt;=80, "More Conserved", IF(J289&gt;=70, "Conserved", "Less Conserved"))</f>
        <v>Less Conserved</v>
      </c>
      <c r="L289" s="7">
        <v>9.7200000000000006</v>
      </c>
      <c r="M289" s="7">
        <f t="shared" si="55"/>
        <v>8.7480000000000011</v>
      </c>
      <c r="N289" s="7">
        <v>82</v>
      </c>
      <c r="O289" s="7">
        <v>340</v>
      </c>
      <c r="P289" s="7">
        <f t="shared" si="54"/>
        <v>306</v>
      </c>
      <c r="Q289" s="7">
        <f t="shared" si="56"/>
        <v>0.2411764705882353</v>
      </c>
      <c r="R289" s="8">
        <v>24.5</v>
      </c>
      <c r="S289" s="8">
        <v>34.83</v>
      </c>
      <c r="T289" s="4" t="str">
        <f t="shared" si="57"/>
        <v>Intermediate</v>
      </c>
      <c r="U289" s="4" t="s">
        <v>10</v>
      </c>
      <c r="V289" s="4" t="s">
        <v>41</v>
      </c>
      <c r="W289" s="4">
        <v>0</v>
      </c>
      <c r="X289" s="4">
        <v>1500</v>
      </c>
      <c r="Y289" s="4">
        <v>400</v>
      </c>
      <c r="Z289" s="4">
        <v>25</v>
      </c>
      <c r="AA289" s="11">
        <v>0.6</v>
      </c>
      <c r="AB289" s="8">
        <v>100</v>
      </c>
      <c r="AC289" s="4">
        <v>25</v>
      </c>
      <c r="AD289" s="11">
        <v>0.6</v>
      </c>
      <c r="AE289" s="5" t="s">
        <v>182</v>
      </c>
      <c r="AF289" s="4" t="s">
        <v>734</v>
      </c>
    </row>
    <row r="290" spans="1:32" s="4" customFormat="1" x14ac:dyDescent="0.25">
      <c r="A290" s="4">
        <f t="shared" si="59"/>
        <v>165</v>
      </c>
      <c r="B290" s="5" t="s">
        <v>675</v>
      </c>
      <c r="C290" s="6" t="s">
        <v>211</v>
      </c>
      <c r="D290" s="4" t="s">
        <v>212</v>
      </c>
      <c r="E290" s="4" t="s">
        <v>182</v>
      </c>
      <c r="F290" s="10" t="s">
        <v>678</v>
      </c>
      <c r="G290" s="4" t="s">
        <v>9</v>
      </c>
      <c r="H290" s="4" t="s">
        <v>232</v>
      </c>
      <c r="I290" s="4" t="s">
        <v>563</v>
      </c>
      <c r="J290" s="7">
        <f t="shared" si="52"/>
        <v>38.500000000000007</v>
      </c>
      <c r="K290" s="4" t="str">
        <f t="shared" si="60"/>
        <v>Less Conserved</v>
      </c>
      <c r="L290" s="7">
        <v>16.170000000000002</v>
      </c>
      <c r="M290" s="7">
        <f t="shared" si="55"/>
        <v>14.553000000000003</v>
      </c>
      <c r="N290" s="7">
        <v>79</v>
      </c>
      <c r="O290" s="7">
        <v>420</v>
      </c>
      <c r="P290" s="7">
        <f t="shared" si="54"/>
        <v>378</v>
      </c>
      <c r="Q290" s="7">
        <f t="shared" si="56"/>
        <v>0.18809523809523809</v>
      </c>
      <c r="R290" s="8">
        <v>19.829999999999998</v>
      </c>
      <c r="S290" s="8">
        <v>28.67</v>
      </c>
      <c r="T290" s="4" t="str">
        <f t="shared" si="57"/>
        <v>Intermediate</v>
      </c>
      <c r="U290" s="4" t="s">
        <v>10</v>
      </c>
      <c r="V290" s="4" t="s">
        <v>41</v>
      </c>
      <c r="W290" s="4">
        <v>0</v>
      </c>
      <c r="X290" s="4">
        <v>1500</v>
      </c>
      <c r="Y290" s="4">
        <v>400</v>
      </c>
      <c r="Z290" s="4">
        <v>25</v>
      </c>
      <c r="AA290" s="11">
        <v>0.6</v>
      </c>
      <c r="AB290" s="8">
        <v>100</v>
      </c>
      <c r="AC290" s="4">
        <v>25</v>
      </c>
      <c r="AD290" s="11">
        <v>0.6</v>
      </c>
      <c r="AE290" s="5" t="s">
        <v>182</v>
      </c>
      <c r="AF290" s="4" t="s">
        <v>734</v>
      </c>
    </row>
    <row r="291" spans="1:32" s="4" customFormat="1" x14ac:dyDescent="0.25">
      <c r="A291" s="4">
        <f t="shared" si="59"/>
        <v>166</v>
      </c>
      <c r="B291" s="5" t="s">
        <v>679</v>
      </c>
      <c r="C291" s="6" t="s">
        <v>39</v>
      </c>
      <c r="D291" s="4" t="s">
        <v>40</v>
      </c>
      <c r="E291" s="4" t="s">
        <v>182</v>
      </c>
      <c r="F291" s="10" t="s">
        <v>681</v>
      </c>
      <c r="G291" s="4" t="s">
        <v>9</v>
      </c>
      <c r="H291" s="4" t="s">
        <v>232</v>
      </c>
      <c r="I291" s="4" t="s">
        <v>341</v>
      </c>
      <c r="J291" s="7">
        <f t="shared" si="52"/>
        <v>55.107951553449176</v>
      </c>
      <c r="K291" s="4" t="str">
        <f t="shared" si="60"/>
        <v>Less Conserved</v>
      </c>
      <c r="L291" s="7">
        <v>20.93</v>
      </c>
      <c r="M291" s="7">
        <f t="shared" si="55"/>
        <v>18.837</v>
      </c>
      <c r="N291" s="7">
        <v>235.6</v>
      </c>
      <c r="O291" s="7">
        <v>379.8</v>
      </c>
      <c r="P291" s="7">
        <f t="shared" si="54"/>
        <v>341.82</v>
      </c>
      <c r="Q291" s="7">
        <f t="shared" si="56"/>
        <v>0.62032648762506581</v>
      </c>
      <c r="R291" s="8">
        <f>18.39-5</f>
        <v>13.39</v>
      </c>
      <c r="S291" s="8">
        <f>30.64-5</f>
        <v>25.64</v>
      </c>
      <c r="T291" s="4" t="str">
        <f t="shared" si="57"/>
        <v>Intermediate</v>
      </c>
      <c r="U291" s="4" t="s">
        <v>10</v>
      </c>
      <c r="V291" s="4" t="s">
        <v>32</v>
      </c>
      <c r="W291" s="4">
        <v>50</v>
      </c>
      <c r="X291" s="4">
        <v>1500</v>
      </c>
      <c r="Y291" s="4">
        <v>400</v>
      </c>
      <c r="Z291" s="4">
        <v>25</v>
      </c>
      <c r="AA291" s="11" t="s">
        <v>685</v>
      </c>
      <c r="AB291" s="8">
        <v>226</v>
      </c>
      <c r="AC291" s="4" t="s">
        <v>680</v>
      </c>
      <c r="AD291" s="11">
        <v>0.73</v>
      </c>
      <c r="AE291" s="5" t="s">
        <v>182</v>
      </c>
    </row>
    <row r="292" spans="1:32" s="4" customFormat="1" x14ac:dyDescent="0.25">
      <c r="A292" s="4">
        <f t="shared" ref="A292:A294" si="61">IF(C292=C291, A291, A291+1)</f>
        <v>166</v>
      </c>
      <c r="B292" s="5" t="s">
        <v>679</v>
      </c>
      <c r="C292" s="6" t="s">
        <v>39</v>
      </c>
      <c r="D292" s="4" t="s">
        <v>40</v>
      </c>
      <c r="E292" s="4" t="s">
        <v>182</v>
      </c>
      <c r="F292" s="10" t="s">
        <v>682</v>
      </c>
      <c r="G292" s="4" t="s">
        <v>9</v>
      </c>
      <c r="H292" s="4" t="s">
        <v>232</v>
      </c>
      <c r="I292" s="4" t="s">
        <v>341</v>
      </c>
      <c r="J292" s="7">
        <f t="shared" si="52"/>
        <v>55.190492834673186</v>
      </c>
      <c r="K292" s="4" t="str">
        <f t="shared" si="60"/>
        <v>Less Conserved</v>
      </c>
      <c r="L292" s="7">
        <v>15.79</v>
      </c>
      <c r="M292" s="7">
        <f t="shared" si="55"/>
        <v>14.211</v>
      </c>
      <c r="N292" s="7">
        <v>149.6</v>
      </c>
      <c r="O292" s="7">
        <v>286.10000000000002</v>
      </c>
      <c r="P292" s="7">
        <f t="shared" si="54"/>
        <v>257.49</v>
      </c>
      <c r="Q292" s="7">
        <f t="shared" si="56"/>
        <v>0.52289409297448441</v>
      </c>
      <c r="R292" s="8">
        <f>22.68-5</f>
        <v>17.68</v>
      </c>
      <c r="S292" s="8">
        <f>34.55-5</f>
        <v>29.549999999999997</v>
      </c>
      <c r="T292" s="4" t="str">
        <f t="shared" si="57"/>
        <v>Intermediate</v>
      </c>
      <c r="U292" s="4" t="s">
        <v>10</v>
      </c>
      <c r="V292" s="4" t="s">
        <v>32</v>
      </c>
      <c r="W292" s="4">
        <v>50</v>
      </c>
      <c r="X292" s="4">
        <v>1500</v>
      </c>
      <c r="Y292" s="4">
        <v>400</v>
      </c>
      <c r="Z292" s="4">
        <v>25</v>
      </c>
      <c r="AA292" s="11" t="s">
        <v>685</v>
      </c>
      <c r="AB292" s="8">
        <v>226</v>
      </c>
      <c r="AC292" s="4" t="s">
        <v>680</v>
      </c>
      <c r="AD292" s="11">
        <v>0.73</v>
      </c>
      <c r="AE292" s="5" t="s">
        <v>182</v>
      </c>
    </row>
    <row r="293" spans="1:32" s="4" customFormat="1" x14ac:dyDescent="0.25">
      <c r="A293" s="4">
        <f t="shared" si="61"/>
        <v>166</v>
      </c>
      <c r="B293" s="5" t="s">
        <v>679</v>
      </c>
      <c r="C293" s="6" t="s">
        <v>39</v>
      </c>
      <c r="D293" s="4" t="s">
        <v>40</v>
      </c>
      <c r="E293" s="4" t="s">
        <v>182</v>
      </c>
      <c r="F293" s="10" t="s">
        <v>683</v>
      </c>
      <c r="G293" s="4" t="s">
        <v>9</v>
      </c>
      <c r="H293" s="4" t="s">
        <v>232</v>
      </c>
      <c r="I293" s="4" t="s">
        <v>341</v>
      </c>
      <c r="J293" s="7">
        <f t="shared" si="52"/>
        <v>64.230171073094866</v>
      </c>
      <c r="K293" s="4" t="str">
        <f t="shared" si="60"/>
        <v>Less Conserved</v>
      </c>
      <c r="L293" s="7">
        <v>12.39</v>
      </c>
      <c r="M293" s="7">
        <f t="shared" si="55"/>
        <v>11.151000000000002</v>
      </c>
      <c r="N293" s="7">
        <v>73</v>
      </c>
      <c r="O293" s="7">
        <v>192.9</v>
      </c>
      <c r="P293" s="7">
        <f t="shared" si="54"/>
        <v>173.61</v>
      </c>
      <c r="Q293" s="7">
        <f t="shared" si="56"/>
        <v>0.37843442198030064</v>
      </c>
      <c r="R293" s="8">
        <f>25.74-5</f>
        <v>20.74</v>
      </c>
      <c r="S293" s="8">
        <f>40.9-5</f>
        <v>35.9</v>
      </c>
      <c r="T293" s="4" t="str">
        <f t="shared" si="57"/>
        <v>Intermediate</v>
      </c>
      <c r="U293" s="4" t="s">
        <v>10</v>
      </c>
      <c r="V293" s="4" t="s">
        <v>32</v>
      </c>
      <c r="W293" s="4">
        <v>50</v>
      </c>
      <c r="X293" s="4">
        <v>1500</v>
      </c>
      <c r="Y293" s="4">
        <v>400</v>
      </c>
      <c r="Z293" s="4">
        <v>25</v>
      </c>
      <c r="AA293" s="11" t="s">
        <v>685</v>
      </c>
      <c r="AB293" s="8">
        <v>226</v>
      </c>
      <c r="AC293" s="4" t="s">
        <v>680</v>
      </c>
      <c r="AD293" s="11">
        <v>0.73</v>
      </c>
      <c r="AE293" s="5" t="s">
        <v>182</v>
      </c>
    </row>
    <row r="294" spans="1:32" s="4" customFormat="1" x14ac:dyDescent="0.25">
      <c r="A294" s="4">
        <f t="shared" si="61"/>
        <v>166</v>
      </c>
      <c r="B294" s="5" t="s">
        <v>679</v>
      </c>
      <c r="C294" s="6" t="s">
        <v>39</v>
      </c>
      <c r="D294" s="4" t="s">
        <v>40</v>
      </c>
      <c r="E294" s="4" t="s">
        <v>182</v>
      </c>
      <c r="F294" s="10" t="s">
        <v>684</v>
      </c>
      <c r="G294" s="4" t="s">
        <v>9</v>
      </c>
      <c r="H294" s="4" t="s">
        <v>232</v>
      </c>
      <c r="I294" s="4" t="s">
        <v>341</v>
      </c>
      <c r="J294" s="7">
        <f t="shared" si="52"/>
        <v>63.869625520110965</v>
      </c>
      <c r="K294" s="4" t="str">
        <f t="shared" si="60"/>
        <v>Less Conserved</v>
      </c>
      <c r="L294" s="7">
        <v>9.2100000000000009</v>
      </c>
      <c r="M294" s="7">
        <f t="shared" si="55"/>
        <v>8.2890000000000015</v>
      </c>
      <c r="N294" s="7">
        <v>65.3</v>
      </c>
      <c r="O294" s="7">
        <v>144.19999999999999</v>
      </c>
      <c r="P294" s="7">
        <f t="shared" si="54"/>
        <v>129.78</v>
      </c>
      <c r="Q294" s="7">
        <f t="shared" si="56"/>
        <v>0.45284327323162277</v>
      </c>
      <c r="R294" s="8">
        <f>19.38-5</f>
        <v>14.379999999999999</v>
      </c>
      <c r="S294" s="8">
        <f>24.37-5</f>
        <v>19.37</v>
      </c>
      <c r="T294" s="4" t="str">
        <f t="shared" si="57"/>
        <v>Fast</v>
      </c>
      <c r="U294" s="4" t="s">
        <v>10</v>
      </c>
      <c r="V294" s="4" t="s">
        <v>32</v>
      </c>
      <c r="W294" s="4">
        <v>50</v>
      </c>
      <c r="X294" s="4">
        <v>1500</v>
      </c>
      <c r="Y294" s="4">
        <v>400</v>
      </c>
      <c r="Z294" s="4">
        <v>25</v>
      </c>
      <c r="AA294" s="11" t="s">
        <v>685</v>
      </c>
      <c r="AB294" s="8">
        <v>226</v>
      </c>
      <c r="AC294" s="4" t="s">
        <v>680</v>
      </c>
      <c r="AD294" s="11">
        <v>0.73</v>
      </c>
      <c r="AE294" s="5" t="s">
        <v>182</v>
      </c>
    </row>
    <row r="295" spans="1:32" s="4" customFormat="1" x14ac:dyDescent="0.25">
      <c r="A295" s="4">
        <f t="shared" ref="A295" si="62">IF(C295=C294, A294, A294+1)</f>
        <v>167</v>
      </c>
      <c r="B295" s="5" t="s">
        <v>686</v>
      </c>
      <c r="C295" s="6" t="s">
        <v>690</v>
      </c>
      <c r="D295" s="4" t="s">
        <v>691</v>
      </c>
      <c r="E295" s="4" t="s">
        <v>183</v>
      </c>
      <c r="F295" s="10" t="s">
        <v>692</v>
      </c>
      <c r="G295" s="4" t="s">
        <v>9</v>
      </c>
      <c r="H295" s="4" t="s">
        <v>232</v>
      </c>
      <c r="I295" s="4" t="s">
        <v>344</v>
      </c>
      <c r="J295" s="7">
        <f t="shared" si="52"/>
        <v>69.1125433812593</v>
      </c>
      <c r="K295" s="4" t="str">
        <f t="shared" si="60"/>
        <v>Less Conserved</v>
      </c>
      <c r="L295" s="7">
        <v>27.88</v>
      </c>
      <c r="M295" s="7">
        <f t="shared" si="55"/>
        <v>25.091999999999999</v>
      </c>
      <c r="N295" s="7">
        <v>178.7</v>
      </c>
      <c r="O295" s="7">
        <v>403.4</v>
      </c>
      <c r="P295" s="7">
        <f t="shared" si="54"/>
        <v>363.06</v>
      </c>
      <c r="Q295" s="7">
        <f t="shared" si="56"/>
        <v>0.44298463063956373</v>
      </c>
      <c r="R295" s="8">
        <f>18.77-6.5</f>
        <v>12.27</v>
      </c>
      <c r="S295" s="8">
        <f>25.38-6.5</f>
        <v>18.88</v>
      </c>
      <c r="T295" s="4" t="str">
        <f t="shared" si="57"/>
        <v>Fast</v>
      </c>
      <c r="U295" s="4" t="s">
        <v>10</v>
      </c>
      <c r="V295" s="4" t="s">
        <v>32</v>
      </c>
      <c r="W295" s="4">
        <v>50</v>
      </c>
      <c r="X295" s="4">
        <v>1700</v>
      </c>
      <c r="Y295" s="4">
        <v>400</v>
      </c>
      <c r="Z295" s="4">
        <v>27</v>
      </c>
      <c r="AA295" s="11" t="s">
        <v>689</v>
      </c>
      <c r="AB295" s="8" t="s">
        <v>37</v>
      </c>
      <c r="AC295" s="4" t="s">
        <v>687</v>
      </c>
      <c r="AD295" s="11" t="s">
        <v>688</v>
      </c>
      <c r="AE295" s="4" t="s">
        <v>183</v>
      </c>
      <c r="AF295" s="4" t="s">
        <v>735</v>
      </c>
    </row>
    <row r="296" spans="1:32" s="4" customFormat="1" x14ac:dyDescent="0.25">
      <c r="A296" s="4">
        <f t="shared" ref="A296:A322" si="63">IF(C296=C295, A295, A295+1)</f>
        <v>167</v>
      </c>
      <c r="B296" s="5" t="s">
        <v>686</v>
      </c>
      <c r="C296" s="6" t="s">
        <v>690</v>
      </c>
      <c r="D296" s="4" t="s">
        <v>691</v>
      </c>
      <c r="E296" s="4" t="s">
        <v>183</v>
      </c>
      <c r="F296" s="10" t="s">
        <v>693</v>
      </c>
      <c r="G296" s="4" t="s">
        <v>9</v>
      </c>
      <c r="H296" s="4" t="s">
        <v>232</v>
      </c>
      <c r="I296" s="4" t="s">
        <v>344</v>
      </c>
      <c r="J296" s="7">
        <f t="shared" si="52"/>
        <v>52.482544608223435</v>
      </c>
      <c r="K296" s="4" t="str">
        <f t="shared" si="60"/>
        <v>Less Conserved</v>
      </c>
      <c r="L296" s="7">
        <v>20.295000000000002</v>
      </c>
      <c r="M296" s="7">
        <f t="shared" si="55"/>
        <v>18.265500000000003</v>
      </c>
      <c r="N296" s="7">
        <v>176</v>
      </c>
      <c r="O296" s="7">
        <v>386.7</v>
      </c>
      <c r="P296" s="7">
        <f t="shared" ref="P296:P322" si="64">O296*0.9</f>
        <v>348.03</v>
      </c>
      <c r="Q296" s="7">
        <f t="shared" si="56"/>
        <v>0.45513317817429533</v>
      </c>
      <c r="R296" s="8">
        <f>13.08-6.5</f>
        <v>6.58</v>
      </c>
      <c r="S296" s="8">
        <f>19.08-6.5</f>
        <v>12.579999999999998</v>
      </c>
      <c r="T296" s="4" t="str">
        <f t="shared" si="57"/>
        <v>Fast</v>
      </c>
      <c r="U296" s="4" t="s">
        <v>10</v>
      </c>
      <c r="V296" s="4" t="s">
        <v>24</v>
      </c>
      <c r="W296" s="4">
        <v>50</v>
      </c>
      <c r="X296" s="4">
        <v>1700</v>
      </c>
      <c r="Y296" s="4">
        <v>400</v>
      </c>
      <c r="Z296" s="4">
        <v>27</v>
      </c>
      <c r="AA296" s="11" t="s">
        <v>689</v>
      </c>
      <c r="AB296" s="8" t="s">
        <v>37</v>
      </c>
      <c r="AC296" s="4" t="s">
        <v>687</v>
      </c>
      <c r="AD296" s="11" t="s">
        <v>688</v>
      </c>
      <c r="AE296" s="4" t="s">
        <v>183</v>
      </c>
      <c r="AF296" s="4" t="s">
        <v>735</v>
      </c>
    </row>
    <row r="297" spans="1:32" s="4" customFormat="1" x14ac:dyDescent="0.25">
      <c r="A297" s="4">
        <f t="shared" si="63"/>
        <v>168</v>
      </c>
      <c r="B297" s="5" t="s">
        <v>686</v>
      </c>
      <c r="C297" s="6" t="s">
        <v>694</v>
      </c>
      <c r="D297" s="4" t="s">
        <v>695</v>
      </c>
      <c r="E297" s="4" t="s">
        <v>183</v>
      </c>
      <c r="F297" s="10" t="s">
        <v>692</v>
      </c>
      <c r="G297" s="4" t="s">
        <v>9</v>
      </c>
      <c r="H297" s="4" t="s">
        <v>232</v>
      </c>
      <c r="I297" s="4" t="s">
        <v>565</v>
      </c>
      <c r="J297" s="7">
        <f t="shared" si="52"/>
        <v>62.95745313894674</v>
      </c>
      <c r="K297" s="4" t="str">
        <f t="shared" si="60"/>
        <v>Less Conserved</v>
      </c>
      <c r="L297" s="7">
        <v>21.16</v>
      </c>
      <c r="M297" s="7">
        <f t="shared" si="55"/>
        <v>19.044</v>
      </c>
      <c r="N297" s="7">
        <v>239.8</v>
      </c>
      <c r="O297" s="7">
        <v>336.1</v>
      </c>
      <c r="P297" s="7">
        <f t="shared" si="64"/>
        <v>302.49</v>
      </c>
      <c r="Q297" s="7">
        <f t="shared" si="56"/>
        <v>0.71347813150847961</v>
      </c>
      <c r="R297" s="8">
        <f>12.07-6.5</f>
        <v>5.57</v>
      </c>
      <c r="S297" s="8">
        <f>18.78-6.5</f>
        <v>12.280000000000001</v>
      </c>
      <c r="T297" s="4" t="str">
        <f t="shared" si="57"/>
        <v>Fast</v>
      </c>
      <c r="U297" s="4" t="s">
        <v>10</v>
      </c>
      <c r="V297" s="4" t="s">
        <v>32</v>
      </c>
      <c r="W297" s="4">
        <v>50</v>
      </c>
      <c r="X297" s="4">
        <v>1700</v>
      </c>
      <c r="Y297" s="4">
        <v>400</v>
      </c>
      <c r="Z297" s="4">
        <v>27</v>
      </c>
      <c r="AA297" s="11" t="s">
        <v>689</v>
      </c>
      <c r="AB297" s="8" t="s">
        <v>37</v>
      </c>
      <c r="AC297" s="4" t="s">
        <v>687</v>
      </c>
      <c r="AD297" s="11" t="s">
        <v>688</v>
      </c>
      <c r="AE297" s="4" t="s">
        <v>183</v>
      </c>
      <c r="AF297" s="4" t="s">
        <v>735</v>
      </c>
    </row>
    <row r="298" spans="1:32" s="4" customFormat="1" x14ac:dyDescent="0.25">
      <c r="A298" s="4">
        <f t="shared" si="63"/>
        <v>168</v>
      </c>
      <c r="B298" s="5" t="s">
        <v>686</v>
      </c>
      <c r="C298" s="6" t="s">
        <v>694</v>
      </c>
      <c r="D298" s="4" t="s">
        <v>695</v>
      </c>
      <c r="E298" s="4" t="s">
        <v>183</v>
      </c>
      <c r="F298" s="10" t="s">
        <v>693</v>
      </c>
      <c r="G298" s="4" t="s">
        <v>9</v>
      </c>
      <c r="H298" s="4" t="s">
        <v>232</v>
      </c>
      <c r="I298" s="4" t="s">
        <v>565</v>
      </c>
      <c r="J298" s="7">
        <f t="shared" si="52"/>
        <v>58.039215686274503</v>
      </c>
      <c r="K298" s="4" t="str">
        <f t="shared" si="60"/>
        <v>Less Conserved</v>
      </c>
      <c r="L298" s="7">
        <v>12.728</v>
      </c>
      <c r="M298" s="7">
        <f t="shared" si="55"/>
        <v>11.4552</v>
      </c>
      <c r="N298" s="7">
        <v>103.4</v>
      </c>
      <c r="O298" s="7">
        <v>219.3</v>
      </c>
      <c r="P298" s="7">
        <f t="shared" si="64"/>
        <v>197.37</v>
      </c>
      <c r="Q298" s="7">
        <f t="shared" si="56"/>
        <v>0.47150022799817604</v>
      </c>
      <c r="R298" s="8">
        <f>14.84-6.5</f>
        <v>8.34</v>
      </c>
      <c r="S298" s="8">
        <f>22.33-6.5</f>
        <v>15.829999999999998</v>
      </c>
      <c r="T298" s="4" t="str">
        <f t="shared" si="57"/>
        <v>Fast</v>
      </c>
      <c r="U298" s="4" t="s">
        <v>10</v>
      </c>
      <c r="V298" s="4" t="s">
        <v>24</v>
      </c>
      <c r="W298" s="4">
        <v>50</v>
      </c>
      <c r="X298" s="4">
        <v>1700</v>
      </c>
      <c r="Y298" s="4">
        <v>400</v>
      </c>
      <c r="Z298" s="4">
        <v>27</v>
      </c>
      <c r="AA298" s="11" t="s">
        <v>689</v>
      </c>
      <c r="AB298" s="8" t="s">
        <v>37</v>
      </c>
      <c r="AC298" s="4" t="s">
        <v>687</v>
      </c>
      <c r="AD298" s="11" t="s">
        <v>688</v>
      </c>
      <c r="AE298" s="4" t="s">
        <v>183</v>
      </c>
      <c r="AF298" s="4" t="s">
        <v>735</v>
      </c>
    </row>
    <row r="299" spans="1:32" s="4" customFormat="1" x14ac:dyDescent="0.25">
      <c r="A299" s="4">
        <f t="shared" si="63"/>
        <v>169</v>
      </c>
      <c r="B299" s="5" t="s">
        <v>686</v>
      </c>
      <c r="C299" s="6" t="s">
        <v>696</v>
      </c>
      <c r="D299" s="4" t="s">
        <v>697</v>
      </c>
      <c r="E299" s="4" t="s">
        <v>183</v>
      </c>
      <c r="F299" s="10" t="s">
        <v>692</v>
      </c>
      <c r="G299" s="4" t="s">
        <v>9</v>
      </c>
      <c r="H299" s="4" t="s">
        <v>232</v>
      </c>
      <c r="I299" s="4" t="s">
        <v>344</v>
      </c>
      <c r="J299" s="7">
        <f t="shared" si="52"/>
        <v>58.670143415906125</v>
      </c>
      <c r="K299" s="4" t="str">
        <f t="shared" si="60"/>
        <v>Less Conserved</v>
      </c>
      <c r="L299" s="7">
        <v>13.5</v>
      </c>
      <c r="M299" s="7">
        <f t="shared" si="55"/>
        <v>12.15</v>
      </c>
      <c r="N299" s="7">
        <v>132.1</v>
      </c>
      <c r="O299" s="7">
        <v>230.1</v>
      </c>
      <c r="P299" s="7">
        <f t="shared" si="64"/>
        <v>207.09</v>
      </c>
      <c r="Q299" s="7">
        <f t="shared" si="56"/>
        <v>0.57409821816601481</v>
      </c>
      <c r="R299" s="8">
        <f>12.51-6.5</f>
        <v>6.01</v>
      </c>
      <c r="S299" s="8">
        <f>17.88-6.5</f>
        <v>11.379999999999999</v>
      </c>
      <c r="T299" s="4" t="str">
        <f t="shared" si="57"/>
        <v>Fast</v>
      </c>
      <c r="U299" s="4" t="s">
        <v>10</v>
      </c>
      <c r="V299" s="4" t="s">
        <v>32</v>
      </c>
      <c r="W299" s="4">
        <v>50</v>
      </c>
      <c r="X299" s="4">
        <v>1700</v>
      </c>
      <c r="Y299" s="4">
        <v>400</v>
      </c>
      <c r="Z299" s="4">
        <v>27</v>
      </c>
      <c r="AA299" s="11" t="s">
        <v>689</v>
      </c>
      <c r="AB299" s="8" t="s">
        <v>37</v>
      </c>
      <c r="AC299" s="4" t="s">
        <v>687</v>
      </c>
      <c r="AD299" s="11" t="s">
        <v>688</v>
      </c>
      <c r="AE299" s="4" t="s">
        <v>183</v>
      </c>
      <c r="AF299" s="4" t="s">
        <v>735</v>
      </c>
    </row>
    <row r="300" spans="1:32" s="4" customFormat="1" x14ac:dyDescent="0.25">
      <c r="A300" s="4">
        <f t="shared" si="63"/>
        <v>169</v>
      </c>
      <c r="B300" s="5" t="s">
        <v>686</v>
      </c>
      <c r="C300" s="6" t="s">
        <v>696</v>
      </c>
      <c r="D300" s="4" t="s">
        <v>697</v>
      </c>
      <c r="E300" s="4" t="s">
        <v>183</v>
      </c>
      <c r="F300" s="10" t="s">
        <v>693</v>
      </c>
      <c r="G300" s="4" t="s">
        <v>9</v>
      </c>
      <c r="H300" s="4" t="s">
        <v>232</v>
      </c>
      <c r="I300" s="4" t="s">
        <v>344</v>
      </c>
      <c r="J300" s="7">
        <f t="shared" si="52"/>
        <v>49.542225730071031</v>
      </c>
      <c r="K300" s="4" t="str">
        <f t="shared" si="60"/>
        <v>Less Conserved</v>
      </c>
      <c r="L300" s="7">
        <v>12.554</v>
      </c>
      <c r="M300" s="7">
        <f t="shared" si="55"/>
        <v>11.2986</v>
      </c>
      <c r="N300" s="7">
        <v>64.099999999999994</v>
      </c>
      <c r="O300" s="7">
        <v>253.4</v>
      </c>
      <c r="P300" s="7">
        <f t="shared" si="64"/>
        <v>228.06</v>
      </c>
      <c r="Q300" s="7">
        <f t="shared" si="56"/>
        <v>0.25295974743488553</v>
      </c>
      <c r="R300" s="8">
        <f>20.72-6.5</f>
        <v>14.219999999999999</v>
      </c>
      <c r="S300" s="8">
        <f>28.7-6.5</f>
        <v>22.2</v>
      </c>
      <c r="T300" s="4" t="str">
        <f t="shared" si="57"/>
        <v>Intermediate</v>
      </c>
      <c r="U300" s="4" t="s">
        <v>10</v>
      </c>
      <c r="V300" s="4" t="s">
        <v>24</v>
      </c>
      <c r="W300" s="4">
        <v>50</v>
      </c>
      <c r="X300" s="4">
        <v>1700</v>
      </c>
      <c r="Y300" s="4">
        <v>400</v>
      </c>
      <c r="Z300" s="4">
        <v>27</v>
      </c>
      <c r="AA300" s="11" t="s">
        <v>689</v>
      </c>
      <c r="AB300" s="8" t="s">
        <v>37</v>
      </c>
      <c r="AC300" s="4" t="s">
        <v>687</v>
      </c>
      <c r="AD300" s="11" t="s">
        <v>688</v>
      </c>
      <c r="AE300" s="4" t="s">
        <v>183</v>
      </c>
      <c r="AF300" s="4" t="s">
        <v>735</v>
      </c>
    </row>
    <row r="301" spans="1:32" s="4" customFormat="1" x14ac:dyDescent="0.25">
      <c r="A301" s="4">
        <f t="shared" si="63"/>
        <v>170</v>
      </c>
      <c r="B301" s="5" t="s">
        <v>698</v>
      </c>
      <c r="C301" s="6" t="s">
        <v>36</v>
      </c>
      <c r="D301" s="4" t="s">
        <v>35</v>
      </c>
      <c r="E301" s="4" t="s">
        <v>182</v>
      </c>
      <c r="F301" s="4" t="s">
        <v>700</v>
      </c>
      <c r="G301" s="4" t="s">
        <v>9</v>
      </c>
      <c r="H301" s="4" t="s">
        <v>233</v>
      </c>
      <c r="I301" s="4" t="s">
        <v>331</v>
      </c>
      <c r="J301" s="7">
        <f t="shared" si="52"/>
        <v>184</v>
      </c>
      <c r="K301" s="4" t="str">
        <f t="shared" si="60"/>
        <v>More Conserved</v>
      </c>
      <c r="L301" s="7">
        <v>44.16</v>
      </c>
      <c r="M301" s="7">
        <f t="shared" si="55"/>
        <v>39.744</v>
      </c>
      <c r="N301" s="7">
        <v>140</v>
      </c>
      <c r="O301" s="7">
        <v>240</v>
      </c>
      <c r="P301" s="7">
        <f t="shared" si="64"/>
        <v>216</v>
      </c>
      <c r="Q301" s="7">
        <f t="shared" si="56"/>
        <v>0.58333333333333337</v>
      </c>
      <c r="R301" s="8">
        <v>1.8320000000000001</v>
      </c>
      <c r="S301" s="8">
        <v>2.0499999999999998</v>
      </c>
      <c r="T301" s="4" t="str">
        <f t="shared" si="57"/>
        <v>Fast</v>
      </c>
      <c r="U301" s="4" t="s">
        <v>30</v>
      </c>
      <c r="V301" s="4" t="s">
        <v>32</v>
      </c>
      <c r="W301" s="4">
        <v>300</v>
      </c>
      <c r="X301" s="4">
        <v>1800</v>
      </c>
      <c r="Y301" s="4">
        <v>370</v>
      </c>
      <c r="Z301" s="4">
        <v>30</v>
      </c>
      <c r="AA301" s="11">
        <v>0.7</v>
      </c>
      <c r="AB301" s="8">
        <v>1000</v>
      </c>
      <c r="AC301" s="4" t="s">
        <v>737</v>
      </c>
      <c r="AD301" s="4" t="s">
        <v>26</v>
      </c>
      <c r="AE301" s="5" t="s">
        <v>182</v>
      </c>
      <c r="AF301" s="4" t="s">
        <v>736</v>
      </c>
    </row>
    <row r="302" spans="1:32" s="4" customFormat="1" x14ac:dyDescent="0.25">
      <c r="A302" s="4">
        <f t="shared" si="63"/>
        <v>170</v>
      </c>
      <c r="B302" s="5" t="s">
        <v>698</v>
      </c>
      <c r="C302" s="6" t="s">
        <v>36</v>
      </c>
      <c r="D302" s="4" t="s">
        <v>35</v>
      </c>
      <c r="E302" s="4" t="s">
        <v>182</v>
      </c>
      <c r="F302" s="4" t="s">
        <v>699</v>
      </c>
      <c r="G302" s="4" t="s">
        <v>9</v>
      </c>
      <c r="H302" s="4" t="s">
        <v>233</v>
      </c>
      <c r="I302" s="4" t="s">
        <v>331</v>
      </c>
      <c r="J302" s="7">
        <f t="shared" ref="J302:J303" si="65">L302/(O302/1000)</f>
        <v>165.64516129032259</v>
      </c>
      <c r="K302" s="4" t="str">
        <f t="shared" si="60"/>
        <v>More Conserved</v>
      </c>
      <c r="L302" s="7">
        <v>51.35</v>
      </c>
      <c r="M302" s="7">
        <f t="shared" si="55"/>
        <v>46.215000000000003</v>
      </c>
      <c r="N302" s="7">
        <v>90</v>
      </c>
      <c r="O302" s="7">
        <v>310</v>
      </c>
      <c r="P302" s="7">
        <f t="shared" si="64"/>
        <v>279</v>
      </c>
      <c r="Q302" s="7">
        <f t="shared" si="56"/>
        <v>0.29032258064516131</v>
      </c>
      <c r="R302" s="8">
        <v>1.5489999999999999</v>
      </c>
      <c r="S302" s="8">
        <v>1.92</v>
      </c>
      <c r="T302" s="4" t="str">
        <f t="shared" si="57"/>
        <v>Fast</v>
      </c>
      <c r="U302" s="4" t="s">
        <v>30</v>
      </c>
      <c r="V302" s="4" t="s">
        <v>32</v>
      </c>
      <c r="W302" s="4">
        <v>300</v>
      </c>
      <c r="X302" s="4">
        <v>1800</v>
      </c>
      <c r="Y302" s="4">
        <v>370</v>
      </c>
      <c r="Z302" s="4">
        <v>30</v>
      </c>
      <c r="AA302" s="11">
        <v>0.7</v>
      </c>
      <c r="AB302" s="8">
        <v>1000</v>
      </c>
      <c r="AC302" s="4" t="s">
        <v>737</v>
      </c>
      <c r="AD302" s="4" t="s">
        <v>26</v>
      </c>
      <c r="AE302" s="5" t="s">
        <v>182</v>
      </c>
      <c r="AF302" s="4" t="s">
        <v>736</v>
      </c>
    </row>
    <row r="303" spans="1:32" s="4" customFormat="1" x14ac:dyDescent="0.25">
      <c r="A303" s="4">
        <f t="shared" si="63"/>
        <v>171</v>
      </c>
      <c r="B303" s="5" t="s">
        <v>738</v>
      </c>
      <c r="C303" s="6" t="s">
        <v>105</v>
      </c>
      <c r="D303" s="4" t="s">
        <v>106</v>
      </c>
      <c r="E303" s="4" t="s">
        <v>182</v>
      </c>
      <c r="F303" s="4" t="s">
        <v>739</v>
      </c>
      <c r="G303" s="4" t="s">
        <v>9</v>
      </c>
      <c r="H303" s="4" t="s">
        <v>233</v>
      </c>
      <c r="I303" s="4" t="s">
        <v>331</v>
      </c>
      <c r="J303" s="7">
        <f t="shared" si="65"/>
        <v>152.33285233285233</v>
      </c>
      <c r="K303" s="4" t="str">
        <f t="shared" si="60"/>
        <v>More Conserved</v>
      </c>
      <c r="L303" s="7">
        <v>31.67</v>
      </c>
      <c r="M303" s="7">
        <f t="shared" si="55"/>
        <v>28.503000000000004</v>
      </c>
      <c r="N303" s="7">
        <v>48.4</v>
      </c>
      <c r="O303" s="7">
        <v>207.9</v>
      </c>
      <c r="P303" s="7">
        <f t="shared" si="64"/>
        <v>187.11</v>
      </c>
      <c r="Q303" s="7">
        <f t="shared" si="56"/>
        <v>0.23280423280423279</v>
      </c>
      <c r="R303" s="8">
        <v>5.9189999999999996</v>
      </c>
      <c r="S303" s="8">
        <v>7.4619999999999997</v>
      </c>
      <c r="T303" s="4" t="str">
        <f t="shared" si="57"/>
        <v>Fast</v>
      </c>
      <c r="U303" s="4" t="s">
        <v>30</v>
      </c>
      <c r="V303" s="4" t="s">
        <v>32</v>
      </c>
      <c r="W303" s="4">
        <v>100</v>
      </c>
      <c r="X303" s="4">
        <v>1000</v>
      </c>
      <c r="Y303" s="4">
        <v>400</v>
      </c>
      <c r="Z303" s="4">
        <v>26</v>
      </c>
      <c r="AA303" s="11">
        <v>0.6</v>
      </c>
      <c r="AB303" s="8">
        <v>1000</v>
      </c>
      <c r="AC303" s="4">
        <v>26</v>
      </c>
      <c r="AD303" s="11">
        <v>0.6</v>
      </c>
      <c r="AE303" s="5" t="s">
        <v>182</v>
      </c>
    </row>
    <row r="304" spans="1:32" s="4" customFormat="1" x14ac:dyDescent="0.25">
      <c r="A304" s="4">
        <f t="shared" si="63"/>
        <v>171</v>
      </c>
      <c r="B304" s="5" t="s">
        <v>738</v>
      </c>
      <c r="C304" s="6" t="s">
        <v>105</v>
      </c>
      <c r="D304" s="4" t="s">
        <v>106</v>
      </c>
      <c r="E304" s="4" t="s">
        <v>182</v>
      </c>
      <c r="F304" s="4" t="s">
        <v>740</v>
      </c>
      <c r="G304" s="4" t="s">
        <v>9</v>
      </c>
      <c r="H304" s="4" t="s">
        <v>233</v>
      </c>
      <c r="I304" s="4" t="s">
        <v>331</v>
      </c>
      <c r="J304" s="7">
        <f t="shared" ref="J304:J321" si="66">L304/(O304/1000)</f>
        <v>152.76950565812984</v>
      </c>
      <c r="K304" s="4" t="str">
        <f t="shared" si="60"/>
        <v>More Conserved</v>
      </c>
      <c r="L304" s="7">
        <v>25.65</v>
      </c>
      <c r="M304" s="7">
        <f t="shared" si="55"/>
        <v>23.085000000000001</v>
      </c>
      <c r="N304" s="7">
        <v>31.8</v>
      </c>
      <c r="O304" s="7">
        <v>167.9</v>
      </c>
      <c r="P304" s="7">
        <f t="shared" si="64"/>
        <v>151.11000000000001</v>
      </c>
      <c r="Q304" s="7">
        <f t="shared" si="56"/>
        <v>0.18939845145920189</v>
      </c>
      <c r="R304" s="8">
        <v>9.9049999999999994</v>
      </c>
      <c r="S304" s="8">
        <v>10.95</v>
      </c>
      <c r="T304" s="4" t="str">
        <f t="shared" si="57"/>
        <v>Fast</v>
      </c>
      <c r="U304" s="4" t="s">
        <v>30</v>
      </c>
      <c r="V304" s="4" t="s">
        <v>32</v>
      </c>
      <c r="W304" s="4">
        <v>100</v>
      </c>
      <c r="X304" s="4">
        <v>1000</v>
      </c>
      <c r="Y304" s="4">
        <v>400</v>
      </c>
      <c r="Z304" s="4">
        <v>26</v>
      </c>
      <c r="AA304" s="11">
        <v>0.6</v>
      </c>
      <c r="AB304" s="8">
        <v>1000</v>
      </c>
      <c r="AC304" s="4">
        <v>26</v>
      </c>
      <c r="AD304" s="11">
        <v>0.6</v>
      </c>
      <c r="AE304" s="5" t="s">
        <v>182</v>
      </c>
    </row>
    <row r="305" spans="1:32" s="4" customFormat="1" x14ac:dyDescent="0.25">
      <c r="A305" s="4">
        <f t="shared" si="63"/>
        <v>171</v>
      </c>
      <c r="B305" s="5" t="s">
        <v>738</v>
      </c>
      <c r="C305" s="6" t="s">
        <v>105</v>
      </c>
      <c r="D305" s="4" t="s">
        <v>106</v>
      </c>
      <c r="E305" s="4" t="s">
        <v>182</v>
      </c>
      <c r="F305" s="4" t="s">
        <v>741</v>
      </c>
      <c r="G305" s="4" t="s">
        <v>9</v>
      </c>
      <c r="H305" s="4" t="s">
        <v>233</v>
      </c>
      <c r="I305" s="4" t="s">
        <v>331</v>
      </c>
      <c r="J305" s="7">
        <f t="shared" si="66"/>
        <v>170.97989949748745</v>
      </c>
      <c r="K305" s="4" t="str">
        <f t="shared" si="60"/>
        <v>More Conserved</v>
      </c>
      <c r="L305" s="7">
        <v>13.61</v>
      </c>
      <c r="M305" s="7">
        <f t="shared" ref="M305:M322" si="67">L305*0.9</f>
        <v>12.249000000000001</v>
      </c>
      <c r="N305" s="7">
        <v>17.899999999999999</v>
      </c>
      <c r="O305" s="7">
        <v>79.599999999999994</v>
      </c>
      <c r="P305" s="7">
        <f t="shared" si="64"/>
        <v>71.64</v>
      </c>
      <c r="Q305" s="7">
        <f t="shared" ref="Q305:Q313" si="68">N305/O305</f>
        <v>0.22487437185929648</v>
      </c>
      <c r="R305" s="8">
        <v>13</v>
      </c>
      <c r="S305" s="8">
        <v>4.5469999999999997</v>
      </c>
      <c r="T305" s="4" t="str">
        <f t="shared" si="57"/>
        <v>Fast</v>
      </c>
      <c r="U305" s="4" t="s">
        <v>30</v>
      </c>
      <c r="V305" s="4" t="s">
        <v>32</v>
      </c>
      <c r="W305" s="4">
        <v>100</v>
      </c>
      <c r="X305" s="4">
        <v>1000</v>
      </c>
      <c r="Y305" s="4">
        <v>400</v>
      </c>
      <c r="Z305" s="4">
        <v>26</v>
      </c>
      <c r="AA305" s="11">
        <v>0.6</v>
      </c>
      <c r="AB305" s="8">
        <v>1000</v>
      </c>
      <c r="AC305" s="4">
        <v>26</v>
      </c>
      <c r="AD305" s="11">
        <v>0.6</v>
      </c>
      <c r="AE305" s="5" t="s">
        <v>182</v>
      </c>
    </row>
    <row r="306" spans="1:32" s="4" customFormat="1" x14ac:dyDescent="0.25">
      <c r="A306" s="4">
        <f t="shared" si="63"/>
        <v>171</v>
      </c>
      <c r="B306" s="5" t="s">
        <v>738</v>
      </c>
      <c r="C306" s="6" t="s">
        <v>105</v>
      </c>
      <c r="D306" s="4" t="s">
        <v>106</v>
      </c>
      <c r="E306" s="4" t="s">
        <v>182</v>
      </c>
      <c r="F306" s="4" t="s">
        <v>742</v>
      </c>
      <c r="G306" s="4" t="s">
        <v>9</v>
      </c>
      <c r="H306" s="4" t="s">
        <v>233</v>
      </c>
      <c r="I306" s="4" t="s">
        <v>331</v>
      </c>
      <c r="J306" s="7">
        <f t="shared" si="66"/>
        <v>163.12364425162687</v>
      </c>
      <c r="K306" s="4" t="str">
        <f t="shared" si="60"/>
        <v>More Conserved</v>
      </c>
      <c r="L306" s="7">
        <v>22.56</v>
      </c>
      <c r="M306" s="7">
        <f t="shared" si="67"/>
        <v>20.303999999999998</v>
      </c>
      <c r="N306" s="7">
        <v>28.7</v>
      </c>
      <c r="O306" s="7">
        <v>138.30000000000001</v>
      </c>
      <c r="P306" s="7">
        <f t="shared" si="64"/>
        <v>124.47000000000001</v>
      </c>
      <c r="Q306" s="7">
        <f t="shared" si="68"/>
        <v>0.20751988430947213</v>
      </c>
      <c r="R306" s="8">
        <v>16.965</v>
      </c>
      <c r="S306" s="8">
        <v>18.785</v>
      </c>
      <c r="T306" s="4" t="str">
        <f t="shared" si="57"/>
        <v>Fast</v>
      </c>
      <c r="U306" s="4" t="s">
        <v>30</v>
      </c>
      <c r="V306" s="4" t="s">
        <v>32</v>
      </c>
      <c r="W306" s="4">
        <v>100</v>
      </c>
      <c r="X306" s="4">
        <v>1000</v>
      </c>
      <c r="Y306" s="4">
        <v>400</v>
      </c>
      <c r="Z306" s="4">
        <v>26</v>
      </c>
      <c r="AA306" s="11">
        <v>0.6</v>
      </c>
      <c r="AB306" s="8">
        <v>1000</v>
      </c>
      <c r="AC306" s="4">
        <v>26</v>
      </c>
      <c r="AD306" s="11">
        <v>0.6</v>
      </c>
      <c r="AE306" s="5" t="s">
        <v>182</v>
      </c>
    </row>
    <row r="307" spans="1:32" s="4" customFormat="1" x14ac:dyDescent="0.25">
      <c r="A307" s="4">
        <f t="shared" si="63"/>
        <v>171</v>
      </c>
      <c r="B307" s="5" t="s">
        <v>738</v>
      </c>
      <c r="C307" s="6" t="s">
        <v>105</v>
      </c>
      <c r="D307" s="4" t="s">
        <v>106</v>
      </c>
      <c r="E307" s="4" t="s">
        <v>182</v>
      </c>
      <c r="F307" s="4" t="s">
        <v>743</v>
      </c>
      <c r="G307" s="4" t="s">
        <v>9</v>
      </c>
      <c r="H307" s="4" t="s">
        <v>233</v>
      </c>
      <c r="I307" s="4" t="s">
        <v>331</v>
      </c>
      <c r="J307" s="7">
        <f t="shared" si="66"/>
        <v>155.00442869796279</v>
      </c>
      <c r="K307" s="4" t="str">
        <f t="shared" si="60"/>
        <v>More Conserved</v>
      </c>
      <c r="L307" s="7">
        <v>17.5</v>
      </c>
      <c r="M307" s="7">
        <f t="shared" si="67"/>
        <v>15.75</v>
      </c>
      <c r="N307" s="7">
        <v>21.5</v>
      </c>
      <c r="O307" s="7">
        <v>112.9</v>
      </c>
      <c r="P307" s="7">
        <f t="shared" si="64"/>
        <v>101.61000000000001</v>
      </c>
      <c r="Q307" s="7">
        <f t="shared" si="68"/>
        <v>0.19043401240035429</v>
      </c>
      <c r="R307" s="8">
        <v>12.487</v>
      </c>
      <c r="S307" s="8">
        <v>10.994999999999999</v>
      </c>
      <c r="T307" s="4" t="str">
        <f t="shared" si="57"/>
        <v>Fast</v>
      </c>
      <c r="U307" s="4" t="s">
        <v>30</v>
      </c>
      <c r="V307" s="4" t="s">
        <v>32</v>
      </c>
      <c r="W307" s="4">
        <v>100</v>
      </c>
      <c r="X307" s="4">
        <v>1000</v>
      </c>
      <c r="Y307" s="4">
        <v>400</v>
      </c>
      <c r="Z307" s="4">
        <v>26</v>
      </c>
      <c r="AA307" s="11">
        <v>0.6</v>
      </c>
      <c r="AB307" s="8">
        <v>1000</v>
      </c>
      <c r="AC307" s="4">
        <v>26</v>
      </c>
      <c r="AD307" s="11">
        <v>0.6</v>
      </c>
      <c r="AE307" s="5" t="s">
        <v>182</v>
      </c>
    </row>
    <row r="308" spans="1:32" s="4" customFormat="1" x14ac:dyDescent="0.25">
      <c r="A308" s="4">
        <f t="shared" si="63"/>
        <v>171</v>
      </c>
      <c r="B308" s="5" t="s">
        <v>738</v>
      </c>
      <c r="C308" s="6" t="s">
        <v>105</v>
      </c>
      <c r="D308" s="4" t="s">
        <v>106</v>
      </c>
      <c r="E308" s="4" t="s">
        <v>182</v>
      </c>
      <c r="F308" s="4" t="s">
        <v>744</v>
      </c>
      <c r="G308" s="4" t="s">
        <v>9</v>
      </c>
      <c r="H308" s="4" t="s">
        <v>233</v>
      </c>
      <c r="I308" s="4" t="s">
        <v>331</v>
      </c>
      <c r="J308" s="7">
        <f t="shared" si="66"/>
        <v>169.6921862667719</v>
      </c>
      <c r="K308" s="4" t="str">
        <f t="shared" si="60"/>
        <v>More Conserved</v>
      </c>
      <c r="L308" s="7">
        <v>21.5</v>
      </c>
      <c r="M308" s="7">
        <f t="shared" si="67"/>
        <v>19.350000000000001</v>
      </c>
      <c r="N308" s="7">
        <v>30</v>
      </c>
      <c r="O308" s="7">
        <v>126.7</v>
      </c>
      <c r="P308" s="7">
        <f t="shared" si="64"/>
        <v>114.03</v>
      </c>
      <c r="Q308" s="7">
        <f t="shared" si="68"/>
        <v>0.23677979479084452</v>
      </c>
      <c r="R308" s="8">
        <v>12.044</v>
      </c>
      <c r="S308" s="8">
        <v>10.946999999999999</v>
      </c>
      <c r="T308" s="4" t="str">
        <f t="shared" si="57"/>
        <v>Fast</v>
      </c>
      <c r="U308" s="4" t="s">
        <v>30</v>
      </c>
      <c r="V308" s="4" t="s">
        <v>32</v>
      </c>
      <c r="W308" s="4">
        <v>100</v>
      </c>
      <c r="X308" s="4">
        <v>1000</v>
      </c>
      <c r="Y308" s="4">
        <v>400</v>
      </c>
      <c r="Z308" s="4">
        <v>26</v>
      </c>
      <c r="AA308" s="11">
        <v>0.6</v>
      </c>
      <c r="AB308" s="8">
        <v>1000</v>
      </c>
      <c r="AC308" s="4">
        <v>26</v>
      </c>
      <c r="AD308" s="11">
        <v>0.6</v>
      </c>
      <c r="AE308" s="5" t="s">
        <v>182</v>
      </c>
    </row>
    <row r="309" spans="1:32" s="4" customFormat="1" x14ac:dyDescent="0.25">
      <c r="A309" s="4">
        <f t="shared" si="63"/>
        <v>171</v>
      </c>
      <c r="B309" s="5" t="s">
        <v>738</v>
      </c>
      <c r="C309" s="6" t="s">
        <v>105</v>
      </c>
      <c r="D309" s="4" t="s">
        <v>106</v>
      </c>
      <c r="E309" s="4" t="s">
        <v>182</v>
      </c>
      <c r="F309" s="4" t="s">
        <v>745</v>
      </c>
      <c r="G309" s="4" t="s">
        <v>9</v>
      </c>
      <c r="H309" s="4" t="s">
        <v>233</v>
      </c>
      <c r="I309" s="4" t="s">
        <v>331</v>
      </c>
      <c r="J309" s="7">
        <f t="shared" si="66"/>
        <v>132.83433133732535</v>
      </c>
      <c r="K309" s="4" t="str">
        <f t="shared" si="60"/>
        <v>More Conserved</v>
      </c>
      <c r="L309" s="7">
        <v>13.31</v>
      </c>
      <c r="M309" s="7">
        <f t="shared" si="67"/>
        <v>11.979000000000001</v>
      </c>
      <c r="N309" s="7">
        <v>19.7</v>
      </c>
      <c r="O309" s="7">
        <v>100.2</v>
      </c>
      <c r="P309" s="7">
        <f t="shared" si="64"/>
        <v>90.18</v>
      </c>
      <c r="Q309" s="7">
        <f t="shared" si="68"/>
        <v>0.19660678642714569</v>
      </c>
      <c r="R309" s="8">
        <v>6.0430000000000001</v>
      </c>
      <c r="S309" s="8">
        <v>3.7669999999999999</v>
      </c>
      <c r="T309" s="4" t="str">
        <f t="shared" si="57"/>
        <v>Fast</v>
      </c>
      <c r="U309" s="4" t="s">
        <v>30</v>
      </c>
      <c r="V309" s="4" t="s">
        <v>32</v>
      </c>
      <c r="W309" s="4">
        <v>100</v>
      </c>
      <c r="X309" s="4">
        <v>1000</v>
      </c>
      <c r="Y309" s="4">
        <v>400</v>
      </c>
      <c r="Z309" s="4">
        <v>26</v>
      </c>
      <c r="AA309" s="11">
        <v>0.6</v>
      </c>
      <c r="AB309" s="8">
        <v>1000</v>
      </c>
      <c r="AC309" s="4">
        <v>26</v>
      </c>
      <c r="AD309" s="11">
        <v>0.6</v>
      </c>
      <c r="AE309" s="5" t="s">
        <v>182</v>
      </c>
    </row>
    <row r="310" spans="1:32" s="4" customFormat="1" x14ac:dyDescent="0.25">
      <c r="A310" s="4">
        <f t="shared" si="63"/>
        <v>171</v>
      </c>
      <c r="B310" s="5" t="s">
        <v>738</v>
      </c>
      <c r="C310" s="6" t="s">
        <v>105</v>
      </c>
      <c r="D310" s="4" t="s">
        <v>106</v>
      </c>
      <c r="E310" s="4" t="s">
        <v>182</v>
      </c>
      <c r="F310" s="4" t="s">
        <v>746</v>
      </c>
      <c r="G310" s="4" t="s">
        <v>9</v>
      </c>
      <c r="H310" s="4" t="s">
        <v>233</v>
      </c>
      <c r="I310" s="4" t="s">
        <v>331</v>
      </c>
      <c r="J310" s="7">
        <f t="shared" si="66"/>
        <v>176.38888888888889</v>
      </c>
      <c r="K310" s="4" t="str">
        <f t="shared" si="60"/>
        <v>More Conserved</v>
      </c>
      <c r="L310" s="7">
        <v>12.7</v>
      </c>
      <c r="M310" s="7">
        <f t="shared" si="67"/>
        <v>11.43</v>
      </c>
      <c r="N310" s="7">
        <v>11.6</v>
      </c>
      <c r="O310" s="7">
        <v>72</v>
      </c>
      <c r="P310" s="7">
        <f t="shared" si="64"/>
        <v>64.8</v>
      </c>
      <c r="Q310" s="7">
        <f t="shared" si="68"/>
        <v>0.16111111111111109</v>
      </c>
      <c r="R310" s="8">
        <v>20.593</v>
      </c>
      <c r="S310" s="8">
        <v>21.611999999999998</v>
      </c>
      <c r="T310" s="4" t="str">
        <f t="shared" ref="T310:T322" si="69">IF(S310&gt;=45, "Slow", IF(S310&gt;=20, "Intermediate", "Fast"))</f>
        <v>Intermediate</v>
      </c>
      <c r="U310" s="4" t="s">
        <v>30</v>
      </c>
      <c r="V310" s="4" t="s">
        <v>32</v>
      </c>
      <c r="W310" s="4">
        <v>100</v>
      </c>
      <c r="X310" s="4">
        <v>1000</v>
      </c>
      <c r="Y310" s="4">
        <v>400</v>
      </c>
      <c r="Z310" s="4">
        <v>26</v>
      </c>
      <c r="AA310" s="11">
        <v>0.6</v>
      </c>
      <c r="AB310" s="8">
        <v>1000</v>
      </c>
      <c r="AC310" s="4">
        <v>26</v>
      </c>
      <c r="AD310" s="11">
        <v>0.6</v>
      </c>
      <c r="AE310" s="5" t="s">
        <v>182</v>
      </c>
    </row>
    <row r="311" spans="1:32" s="4" customFormat="1" x14ac:dyDescent="0.25">
      <c r="A311" s="4">
        <f t="shared" si="63"/>
        <v>171</v>
      </c>
      <c r="B311" s="5" t="s">
        <v>738</v>
      </c>
      <c r="C311" s="6" t="s">
        <v>105</v>
      </c>
      <c r="D311" s="4" t="s">
        <v>106</v>
      </c>
      <c r="E311" s="4" t="s">
        <v>182</v>
      </c>
      <c r="F311" s="4" t="s">
        <v>747</v>
      </c>
      <c r="G311" s="4" t="s">
        <v>9</v>
      </c>
      <c r="H311" s="4" t="s">
        <v>233</v>
      </c>
      <c r="I311" s="4" t="s">
        <v>331</v>
      </c>
      <c r="J311" s="7">
        <f t="shared" si="66"/>
        <v>173.8929279576999</v>
      </c>
      <c r="K311" s="4" t="str">
        <f t="shared" si="60"/>
        <v>More Conserved</v>
      </c>
      <c r="L311" s="7">
        <v>26.31</v>
      </c>
      <c r="M311" s="7">
        <f t="shared" si="67"/>
        <v>23.678999999999998</v>
      </c>
      <c r="N311" s="7">
        <v>31.8</v>
      </c>
      <c r="O311" s="7">
        <v>151.30000000000001</v>
      </c>
      <c r="P311" s="7">
        <f t="shared" si="64"/>
        <v>136.17000000000002</v>
      </c>
      <c r="Q311" s="7">
        <f t="shared" si="68"/>
        <v>0.21017845340383343</v>
      </c>
      <c r="R311" s="8">
        <v>13.638</v>
      </c>
      <c r="S311" s="8">
        <v>12.536</v>
      </c>
      <c r="T311" s="4" t="str">
        <f t="shared" si="69"/>
        <v>Fast</v>
      </c>
      <c r="U311" s="4" t="s">
        <v>30</v>
      </c>
      <c r="V311" s="4" t="s">
        <v>32</v>
      </c>
      <c r="W311" s="4">
        <v>100</v>
      </c>
      <c r="X311" s="4">
        <v>1000</v>
      </c>
      <c r="Y311" s="4">
        <v>400</v>
      </c>
      <c r="Z311" s="4">
        <v>26</v>
      </c>
      <c r="AA311" s="11">
        <v>0.6</v>
      </c>
      <c r="AB311" s="8">
        <v>1000</v>
      </c>
      <c r="AC311" s="4">
        <v>26</v>
      </c>
      <c r="AD311" s="11">
        <v>0.6</v>
      </c>
      <c r="AE311" s="5" t="s">
        <v>182</v>
      </c>
    </row>
    <row r="312" spans="1:32" s="4" customFormat="1" x14ac:dyDescent="0.25">
      <c r="A312" s="4">
        <f t="shared" si="63"/>
        <v>171</v>
      </c>
      <c r="B312" s="5" t="s">
        <v>738</v>
      </c>
      <c r="C312" s="6" t="s">
        <v>105</v>
      </c>
      <c r="D312" s="4" t="s">
        <v>106</v>
      </c>
      <c r="E312" s="4" t="s">
        <v>182</v>
      </c>
      <c r="F312" s="4" t="s">
        <v>748</v>
      </c>
      <c r="G312" s="4" t="s">
        <v>9</v>
      </c>
      <c r="H312" s="4" t="s">
        <v>233</v>
      </c>
      <c r="I312" s="4" t="s">
        <v>331</v>
      </c>
      <c r="J312" s="7">
        <f t="shared" si="66"/>
        <v>152.48490478402226</v>
      </c>
      <c r="K312" s="4" t="str">
        <f t="shared" si="60"/>
        <v>More Conserved</v>
      </c>
      <c r="L312" s="7">
        <v>32.83</v>
      </c>
      <c r="M312" s="7">
        <f t="shared" si="67"/>
        <v>29.547000000000001</v>
      </c>
      <c r="N312" s="7">
        <v>59.1</v>
      </c>
      <c r="O312" s="7">
        <v>215.3</v>
      </c>
      <c r="P312" s="7">
        <f t="shared" si="64"/>
        <v>193.77</v>
      </c>
      <c r="Q312" s="7">
        <f t="shared" si="68"/>
        <v>0.27450069670227589</v>
      </c>
      <c r="R312" s="8">
        <v>14.840999999999999</v>
      </c>
      <c r="S312" s="8">
        <v>17.228000000000002</v>
      </c>
      <c r="T312" s="4" t="str">
        <f t="shared" si="69"/>
        <v>Fast</v>
      </c>
      <c r="U312" s="4" t="s">
        <v>30</v>
      </c>
      <c r="V312" s="4" t="s">
        <v>32</v>
      </c>
      <c r="W312" s="4">
        <v>100</v>
      </c>
      <c r="X312" s="4">
        <v>1000</v>
      </c>
      <c r="Y312" s="4">
        <v>400</v>
      </c>
      <c r="Z312" s="4">
        <v>26</v>
      </c>
      <c r="AA312" s="11">
        <v>0.6</v>
      </c>
      <c r="AB312" s="8">
        <v>1000</v>
      </c>
      <c r="AC312" s="4">
        <v>26</v>
      </c>
      <c r="AD312" s="11">
        <v>0.6</v>
      </c>
      <c r="AE312" s="5" t="s">
        <v>182</v>
      </c>
    </row>
    <row r="313" spans="1:32" s="4" customFormat="1" x14ac:dyDescent="0.25">
      <c r="A313" s="4">
        <f t="shared" si="63"/>
        <v>172</v>
      </c>
      <c r="B313" s="5" t="s">
        <v>751</v>
      </c>
      <c r="C313" s="6" t="s">
        <v>158</v>
      </c>
      <c r="D313" s="4" t="s">
        <v>161</v>
      </c>
      <c r="E313" s="4" t="s">
        <v>183</v>
      </c>
      <c r="F313" s="4" t="s">
        <v>753</v>
      </c>
      <c r="G313" s="4" t="s">
        <v>9</v>
      </c>
      <c r="H313" s="4" t="s">
        <v>232</v>
      </c>
      <c r="I313" s="4" t="s">
        <v>348</v>
      </c>
      <c r="J313" s="7">
        <f t="shared" si="66"/>
        <v>78.376294337959905</v>
      </c>
      <c r="K313" s="4" t="str">
        <f t="shared" si="60"/>
        <v>Conserved</v>
      </c>
      <c r="L313" s="7">
        <v>14.23</v>
      </c>
      <c r="M313" s="7">
        <f t="shared" si="67"/>
        <v>12.807</v>
      </c>
      <c r="N313" s="7">
        <v>57.35</v>
      </c>
      <c r="O313" s="7">
        <v>181.56</v>
      </c>
      <c r="P313" s="7">
        <f t="shared" si="64"/>
        <v>163.404</v>
      </c>
      <c r="Q313" s="7">
        <f t="shared" si="68"/>
        <v>0.3158735404274069</v>
      </c>
      <c r="R313" s="8">
        <v>10.324999999999999</v>
      </c>
      <c r="S313" s="8">
        <v>17.753</v>
      </c>
      <c r="T313" s="4" t="str">
        <f t="shared" si="69"/>
        <v>Fast</v>
      </c>
      <c r="U313" s="4" t="s">
        <v>10</v>
      </c>
      <c r="V313" s="4" t="s">
        <v>51</v>
      </c>
      <c r="W313" s="4">
        <v>20</v>
      </c>
      <c r="X313" s="4">
        <v>1200</v>
      </c>
      <c r="Y313" s="4">
        <v>400</v>
      </c>
      <c r="Z313" s="4">
        <v>25</v>
      </c>
      <c r="AA313" s="11">
        <v>0.6</v>
      </c>
      <c r="AB313" s="8" t="s">
        <v>37</v>
      </c>
      <c r="AC313" s="4" t="s">
        <v>37</v>
      </c>
      <c r="AD313" s="4" t="s">
        <v>37</v>
      </c>
      <c r="AE313" s="9" t="s">
        <v>183</v>
      </c>
      <c r="AF313" s="4" t="s">
        <v>752</v>
      </c>
    </row>
    <row r="314" spans="1:32" s="4" customFormat="1" x14ac:dyDescent="0.25">
      <c r="A314" s="4">
        <f t="shared" si="63"/>
        <v>172</v>
      </c>
      <c r="B314" s="5" t="s">
        <v>751</v>
      </c>
      <c r="C314" s="6" t="s">
        <v>158</v>
      </c>
      <c r="D314" s="4" t="s">
        <v>161</v>
      </c>
      <c r="E314" s="4" t="s">
        <v>183</v>
      </c>
      <c r="F314" s="4" t="s">
        <v>754</v>
      </c>
      <c r="G314" s="4" t="s">
        <v>9</v>
      </c>
      <c r="H314" s="4" t="s">
        <v>232</v>
      </c>
      <c r="I314" s="4" t="s">
        <v>348</v>
      </c>
      <c r="J314" s="7">
        <f t="shared" si="66"/>
        <v>80.709195792331187</v>
      </c>
      <c r="K314" s="4" t="str">
        <f t="shared" si="60"/>
        <v>More Conserved</v>
      </c>
      <c r="L314" s="7">
        <v>4.7569999999999997</v>
      </c>
      <c r="M314" s="7">
        <f t="shared" si="67"/>
        <v>4.2812999999999999</v>
      </c>
      <c r="N314" s="7">
        <v>12.04</v>
      </c>
      <c r="O314" s="7">
        <v>58.94</v>
      </c>
      <c r="P314" s="7">
        <f t="shared" si="64"/>
        <v>53.045999999999999</v>
      </c>
      <c r="Q314" s="7">
        <f t="shared" ref="Q314:Q322" si="70">N314/O314</f>
        <v>0.20427553444180521</v>
      </c>
      <c r="R314" s="8">
        <v>6.3019999999999996</v>
      </c>
      <c r="S314" s="8">
        <v>8.2789999999999999</v>
      </c>
      <c r="T314" s="4" t="str">
        <f t="shared" si="69"/>
        <v>Fast</v>
      </c>
      <c r="U314" s="4" t="s">
        <v>10</v>
      </c>
      <c r="V314" s="4" t="s">
        <v>51</v>
      </c>
      <c r="W314" s="4">
        <v>20</v>
      </c>
      <c r="X314" s="4">
        <v>1200</v>
      </c>
      <c r="Y314" s="4">
        <v>400</v>
      </c>
      <c r="Z314" s="4">
        <v>25</v>
      </c>
      <c r="AA314" s="11">
        <v>0.6</v>
      </c>
      <c r="AB314" s="8" t="s">
        <v>37</v>
      </c>
      <c r="AC314" s="4" t="s">
        <v>37</v>
      </c>
      <c r="AD314" s="4" t="s">
        <v>37</v>
      </c>
      <c r="AE314" s="9" t="s">
        <v>183</v>
      </c>
      <c r="AF314" s="4" t="s">
        <v>752</v>
      </c>
    </row>
    <row r="315" spans="1:32" s="4" customFormat="1" x14ac:dyDescent="0.25">
      <c r="A315" s="4">
        <f t="shared" si="63"/>
        <v>172</v>
      </c>
      <c r="B315" s="5" t="s">
        <v>751</v>
      </c>
      <c r="C315" s="6" t="s">
        <v>158</v>
      </c>
      <c r="D315" s="4" t="s">
        <v>161</v>
      </c>
      <c r="E315" s="4" t="s">
        <v>183</v>
      </c>
      <c r="F315" s="4" t="s">
        <v>758</v>
      </c>
      <c r="G315" s="4" t="s">
        <v>9</v>
      </c>
      <c r="H315" s="4" t="s">
        <v>232</v>
      </c>
      <c r="I315" s="4" t="s">
        <v>348</v>
      </c>
      <c r="J315" s="7">
        <f t="shared" si="66"/>
        <v>85.985299264963245</v>
      </c>
      <c r="K315" s="4" t="str">
        <f t="shared" si="60"/>
        <v>More Conserved</v>
      </c>
      <c r="L315" s="7">
        <v>12.282999999999999</v>
      </c>
      <c r="M315" s="7">
        <f t="shared" si="67"/>
        <v>11.0547</v>
      </c>
      <c r="N315" s="7">
        <v>32.950000000000003</v>
      </c>
      <c r="O315" s="7">
        <v>142.85</v>
      </c>
      <c r="P315" s="7">
        <f t="shared" si="64"/>
        <v>128.565</v>
      </c>
      <c r="Q315" s="7">
        <f t="shared" si="70"/>
        <v>0.23066153307665385</v>
      </c>
      <c r="R315" s="8">
        <v>14.852</v>
      </c>
      <c r="S315" s="8">
        <v>21.524000000000001</v>
      </c>
      <c r="T315" s="4" t="str">
        <f t="shared" si="69"/>
        <v>Intermediate</v>
      </c>
      <c r="U315" s="4" t="s">
        <v>10</v>
      </c>
      <c r="V315" s="4" t="s">
        <v>51</v>
      </c>
      <c r="W315" s="4">
        <v>20</v>
      </c>
      <c r="X315" s="4">
        <v>1200</v>
      </c>
      <c r="Y315" s="4">
        <v>400</v>
      </c>
      <c r="Z315" s="4">
        <v>25</v>
      </c>
      <c r="AA315" s="11">
        <v>0.6</v>
      </c>
      <c r="AB315" s="8" t="s">
        <v>37</v>
      </c>
      <c r="AC315" s="4" t="s">
        <v>37</v>
      </c>
      <c r="AD315" s="4" t="s">
        <v>37</v>
      </c>
      <c r="AE315" s="9" t="s">
        <v>183</v>
      </c>
      <c r="AF315" s="4" t="s">
        <v>752</v>
      </c>
    </row>
    <row r="316" spans="1:32" s="4" customFormat="1" x14ac:dyDescent="0.25">
      <c r="A316" s="4">
        <f t="shared" si="63"/>
        <v>172</v>
      </c>
      <c r="B316" s="5" t="s">
        <v>751</v>
      </c>
      <c r="C316" s="6" t="s">
        <v>158</v>
      </c>
      <c r="D316" s="4" t="s">
        <v>161</v>
      </c>
      <c r="E316" s="4" t="s">
        <v>183</v>
      </c>
      <c r="F316" s="4" t="s">
        <v>755</v>
      </c>
      <c r="G316" s="4" t="s">
        <v>9</v>
      </c>
      <c r="H316" s="4" t="s">
        <v>232</v>
      </c>
      <c r="I316" s="4" t="s">
        <v>348</v>
      </c>
      <c r="J316" s="7">
        <f t="shared" si="66"/>
        <v>69.525015832805565</v>
      </c>
      <c r="K316" s="4" t="str">
        <f t="shared" si="60"/>
        <v>Less Conserved</v>
      </c>
      <c r="L316" s="7">
        <v>5.4889999999999999</v>
      </c>
      <c r="M316" s="7">
        <f t="shared" si="67"/>
        <v>4.9401000000000002</v>
      </c>
      <c r="N316" s="7">
        <v>14.57</v>
      </c>
      <c r="O316" s="7">
        <v>78.95</v>
      </c>
      <c r="P316" s="7">
        <f t="shared" si="64"/>
        <v>71.055000000000007</v>
      </c>
      <c r="Q316" s="7">
        <f t="shared" si="70"/>
        <v>0.18454718176060797</v>
      </c>
      <c r="R316" s="8">
        <v>6.32</v>
      </c>
      <c r="S316" s="8">
        <v>7.2670000000000003</v>
      </c>
      <c r="T316" s="4" t="str">
        <f t="shared" si="69"/>
        <v>Fast</v>
      </c>
      <c r="U316" s="4" t="s">
        <v>10</v>
      </c>
      <c r="V316" s="4" t="s">
        <v>51</v>
      </c>
      <c r="W316" s="4">
        <v>20</v>
      </c>
      <c r="X316" s="4">
        <v>1200</v>
      </c>
      <c r="Y316" s="4">
        <v>400</v>
      </c>
      <c r="Z316" s="4">
        <v>25</v>
      </c>
      <c r="AA316" s="11">
        <v>0.6</v>
      </c>
      <c r="AB316" s="8" t="s">
        <v>37</v>
      </c>
      <c r="AC316" s="4" t="s">
        <v>37</v>
      </c>
      <c r="AD316" s="4" t="s">
        <v>37</v>
      </c>
      <c r="AE316" s="9" t="s">
        <v>183</v>
      </c>
      <c r="AF316" s="4" t="s">
        <v>752</v>
      </c>
    </row>
    <row r="317" spans="1:32" s="4" customFormat="1" x14ac:dyDescent="0.25">
      <c r="A317" s="4">
        <f t="shared" si="63"/>
        <v>172</v>
      </c>
      <c r="B317" s="5" t="s">
        <v>751</v>
      </c>
      <c r="C317" s="6" t="s">
        <v>158</v>
      </c>
      <c r="D317" s="4" t="s">
        <v>161</v>
      </c>
      <c r="E317" s="4" t="s">
        <v>183</v>
      </c>
      <c r="F317" s="4" t="s">
        <v>756</v>
      </c>
      <c r="G317" s="4" t="s">
        <v>9</v>
      </c>
      <c r="H317" s="4" t="s">
        <v>232</v>
      </c>
      <c r="I317" s="4" t="s">
        <v>348</v>
      </c>
      <c r="J317" s="7">
        <f t="shared" si="66"/>
        <v>71.495779106577558</v>
      </c>
      <c r="K317" s="4" t="str">
        <f t="shared" si="60"/>
        <v>Conserved</v>
      </c>
      <c r="L317" s="7">
        <v>16.260999999999999</v>
      </c>
      <c r="M317" s="7">
        <f t="shared" si="67"/>
        <v>14.6349</v>
      </c>
      <c r="N317" s="4">
        <v>65.59</v>
      </c>
      <c r="O317" s="4">
        <v>227.44</v>
      </c>
      <c r="P317" s="7">
        <f t="shared" si="64"/>
        <v>204.696</v>
      </c>
      <c r="Q317" s="7">
        <f t="shared" si="70"/>
        <v>0.28838374956032364</v>
      </c>
      <c r="R317" s="8">
        <v>10.74</v>
      </c>
      <c r="S317" s="8">
        <v>20.742000000000001</v>
      </c>
      <c r="T317" s="4" t="str">
        <f t="shared" si="69"/>
        <v>Intermediate</v>
      </c>
      <c r="U317" s="4" t="s">
        <v>10</v>
      </c>
      <c r="V317" s="4" t="s">
        <v>51</v>
      </c>
      <c r="W317" s="4">
        <v>20</v>
      </c>
      <c r="X317" s="4">
        <v>1200</v>
      </c>
      <c r="Y317" s="4">
        <v>400</v>
      </c>
      <c r="Z317" s="4">
        <v>25</v>
      </c>
      <c r="AA317" s="11">
        <v>0.6</v>
      </c>
      <c r="AB317" s="8" t="s">
        <v>37</v>
      </c>
      <c r="AC317" s="4" t="s">
        <v>37</v>
      </c>
      <c r="AD317" s="4" t="s">
        <v>37</v>
      </c>
      <c r="AE317" s="9" t="s">
        <v>183</v>
      </c>
      <c r="AF317" s="4" t="s">
        <v>752</v>
      </c>
    </row>
    <row r="318" spans="1:32" s="4" customFormat="1" x14ac:dyDescent="0.25">
      <c r="A318" s="4">
        <f t="shared" si="63"/>
        <v>172</v>
      </c>
      <c r="B318" s="5" t="s">
        <v>751</v>
      </c>
      <c r="C318" s="6" t="s">
        <v>158</v>
      </c>
      <c r="D318" s="4" t="s">
        <v>161</v>
      </c>
      <c r="E318" s="4" t="s">
        <v>183</v>
      </c>
      <c r="F318" s="4" t="s">
        <v>757</v>
      </c>
      <c r="G318" s="4" t="s">
        <v>9</v>
      </c>
      <c r="H318" s="4" t="s">
        <v>232</v>
      </c>
      <c r="I318" s="4" t="s">
        <v>348</v>
      </c>
      <c r="J318" s="7">
        <f t="shared" si="66"/>
        <v>70.880211780277975</v>
      </c>
      <c r="K318" s="4" t="str">
        <f t="shared" si="60"/>
        <v>Conserved</v>
      </c>
      <c r="L318" s="7">
        <v>6.4260000000000002</v>
      </c>
      <c r="M318" s="7">
        <f t="shared" si="67"/>
        <v>5.7834000000000003</v>
      </c>
      <c r="N318" s="7">
        <v>16.16</v>
      </c>
      <c r="O318" s="7">
        <v>90.66</v>
      </c>
      <c r="P318" s="7">
        <f t="shared" si="64"/>
        <v>81.593999999999994</v>
      </c>
      <c r="Q318" s="7">
        <f t="shared" si="70"/>
        <v>0.17824840061769248</v>
      </c>
      <c r="R318" s="8">
        <v>8.1069999999999993</v>
      </c>
      <c r="S318" s="8">
        <v>11.497999999999999</v>
      </c>
      <c r="T318" s="4" t="str">
        <f t="shared" si="69"/>
        <v>Fast</v>
      </c>
      <c r="U318" s="4" t="s">
        <v>10</v>
      </c>
      <c r="V318" s="4" t="s">
        <v>51</v>
      </c>
      <c r="W318" s="4">
        <v>20</v>
      </c>
      <c r="X318" s="4">
        <v>1200</v>
      </c>
      <c r="Y318" s="4">
        <v>400</v>
      </c>
      <c r="Z318" s="4">
        <v>25</v>
      </c>
      <c r="AA318" s="11">
        <v>0.6</v>
      </c>
      <c r="AB318" s="8" t="s">
        <v>37</v>
      </c>
      <c r="AC318" s="4" t="s">
        <v>37</v>
      </c>
      <c r="AD318" s="4" t="s">
        <v>37</v>
      </c>
      <c r="AE318" s="9" t="s">
        <v>183</v>
      </c>
      <c r="AF318" s="4" t="s">
        <v>752</v>
      </c>
    </row>
    <row r="319" spans="1:32" s="4" customFormat="1" x14ac:dyDescent="0.25">
      <c r="A319" s="4">
        <f t="shared" si="63"/>
        <v>173</v>
      </c>
      <c r="B319" s="5" t="s">
        <v>759</v>
      </c>
      <c r="C319" s="6" t="s">
        <v>14</v>
      </c>
      <c r="D319" s="4" t="s">
        <v>13</v>
      </c>
      <c r="E319" s="4" t="s">
        <v>182</v>
      </c>
      <c r="F319" s="10" t="s">
        <v>762</v>
      </c>
      <c r="G319" s="4" t="s">
        <v>9</v>
      </c>
      <c r="H319" s="4" t="s">
        <v>233</v>
      </c>
      <c r="I319" s="4" t="s">
        <v>331</v>
      </c>
      <c r="J319" s="7">
        <f t="shared" ref="J319:J320" si="71">L319/(O319/1000)</f>
        <v>51.614887726853283</v>
      </c>
      <c r="K319" s="4" t="str">
        <f t="shared" si="60"/>
        <v>Less Conserved</v>
      </c>
      <c r="L319" s="7">
        <v>33.56</v>
      </c>
      <c r="M319" s="7">
        <f t="shared" si="67"/>
        <v>30.204000000000004</v>
      </c>
      <c r="N319" s="7">
        <v>227.5</v>
      </c>
      <c r="O319" s="7">
        <v>650.20000000000005</v>
      </c>
      <c r="P319" s="7">
        <f t="shared" si="64"/>
        <v>585.18000000000006</v>
      </c>
      <c r="Q319" s="7">
        <f t="shared" ref="Q319:Q320" si="72">N319/O319</f>
        <v>0.34989234081820975</v>
      </c>
      <c r="R319" s="8">
        <v>7.444</v>
      </c>
      <c r="S319" s="8">
        <v>7.79</v>
      </c>
      <c r="T319" s="4" t="str">
        <f t="shared" si="69"/>
        <v>Fast</v>
      </c>
      <c r="U319" s="4" t="s">
        <v>10</v>
      </c>
      <c r="V319" s="4" t="s">
        <v>32</v>
      </c>
      <c r="W319" s="4">
        <v>50</v>
      </c>
      <c r="X319" s="4">
        <v>1500</v>
      </c>
      <c r="Y319" s="4">
        <v>400</v>
      </c>
      <c r="Z319" s="4">
        <v>30</v>
      </c>
      <c r="AA319" s="11" t="s">
        <v>761</v>
      </c>
      <c r="AB319" s="8" t="s">
        <v>37</v>
      </c>
      <c r="AC319" s="4" t="s">
        <v>37</v>
      </c>
      <c r="AD319" s="11" t="s">
        <v>37</v>
      </c>
      <c r="AE319" s="5" t="s">
        <v>182</v>
      </c>
      <c r="AF319" s="4" t="s">
        <v>760</v>
      </c>
    </row>
    <row r="320" spans="1:32" s="4" customFormat="1" x14ac:dyDescent="0.25">
      <c r="A320" s="4">
        <f t="shared" si="63"/>
        <v>173</v>
      </c>
      <c r="B320" s="5" t="s">
        <v>759</v>
      </c>
      <c r="C320" s="6" t="s">
        <v>14</v>
      </c>
      <c r="D320" s="4" t="s">
        <v>13</v>
      </c>
      <c r="E320" s="4" t="s">
        <v>182</v>
      </c>
      <c r="F320" s="10" t="s">
        <v>644</v>
      </c>
      <c r="G320" s="4" t="s">
        <v>9</v>
      </c>
      <c r="H320" s="4" t="s">
        <v>233</v>
      </c>
      <c r="I320" s="4" t="s">
        <v>331</v>
      </c>
      <c r="J320" s="7">
        <f t="shared" si="71"/>
        <v>49.444009397024281</v>
      </c>
      <c r="K320" s="4" t="str">
        <f t="shared" si="60"/>
        <v>Less Conserved</v>
      </c>
      <c r="L320" s="7">
        <v>31.57</v>
      </c>
      <c r="M320" s="7">
        <f t="shared" si="67"/>
        <v>28.413</v>
      </c>
      <c r="N320" s="7">
        <v>337.2</v>
      </c>
      <c r="O320" s="7">
        <v>638.5</v>
      </c>
      <c r="P320" s="7">
        <f t="shared" si="64"/>
        <v>574.65</v>
      </c>
      <c r="Q320" s="7">
        <f t="shared" si="72"/>
        <v>0.52811276429130771</v>
      </c>
      <c r="R320" s="8">
        <v>7.2640000000000002</v>
      </c>
      <c r="S320" s="8">
        <v>7.5060000000000002</v>
      </c>
      <c r="T320" s="4" t="str">
        <f t="shared" si="69"/>
        <v>Fast</v>
      </c>
      <c r="U320" s="4" t="s">
        <v>10</v>
      </c>
      <c r="V320" s="4" t="s">
        <v>32</v>
      </c>
      <c r="W320" s="4">
        <v>50</v>
      </c>
      <c r="X320" s="4">
        <v>1500</v>
      </c>
      <c r="Y320" s="4">
        <v>400</v>
      </c>
      <c r="Z320" s="4">
        <v>30</v>
      </c>
      <c r="AA320" s="11" t="s">
        <v>761</v>
      </c>
      <c r="AB320" s="8" t="s">
        <v>37</v>
      </c>
      <c r="AC320" s="4" t="s">
        <v>37</v>
      </c>
      <c r="AD320" s="11" t="s">
        <v>37</v>
      </c>
      <c r="AE320" s="5" t="s">
        <v>182</v>
      </c>
      <c r="AF320" s="4" t="s">
        <v>760</v>
      </c>
    </row>
    <row r="321" spans="1:32" s="4" customFormat="1" x14ac:dyDescent="0.25">
      <c r="A321" s="4">
        <f t="shared" si="63"/>
        <v>173</v>
      </c>
      <c r="B321" s="5" t="s">
        <v>759</v>
      </c>
      <c r="C321" s="6" t="s">
        <v>14</v>
      </c>
      <c r="D321" s="4" t="s">
        <v>13</v>
      </c>
      <c r="E321" s="4" t="s">
        <v>182</v>
      </c>
      <c r="F321" s="10" t="s">
        <v>646</v>
      </c>
      <c r="G321" s="4" t="s">
        <v>9</v>
      </c>
      <c r="H321" s="4" t="s">
        <v>233</v>
      </c>
      <c r="I321" s="4" t="s">
        <v>331</v>
      </c>
      <c r="J321" s="7">
        <f t="shared" si="66"/>
        <v>54.369654146522876</v>
      </c>
      <c r="K321" s="4" t="str">
        <f t="shared" si="60"/>
        <v>Less Conserved</v>
      </c>
      <c r="L321" s="7">
        <v>14.62</v>
      </c>
      <c r="M321" s="7">
        <f t="shared" si="67"/>
        <v>13.157999999999999</v>
      </c>
      <c r="N321" s="7">
        <v>97.1</v>
      </c>
      <c r="O321" s="7">
        <v>268.89999999999998</v>
      </c>
      <c r="P321" s="7">
        <f t="shared" si="64"/>
        <v>242.01</v>
      </c>
      <c r="Q321" s="7">
        <f t="shared" si="70"/>
        <v>0.36110078095946452</v>
      </c>
      <c r="R321" s="8">
        <v>9.0389999999999997</v>
      </c>
      <c r="S321" s="8">
        <v>8.9879999999999995</v>
      </c>
      <c r="T321" s="4" t="str">
        <f t="shared" si="69"/>
        <v>Fast</v>
      </c>
      <c r="U321" s="4" t="s">
        <v>10</v>
      </c>
      <c r="V321" s="4" t="s">
        <v>41</v>
      </c>
      <c r="W321" s="4">
        <v>50</v>
      </c>
      <c r="X321" s="4">
        <v>1500</v>
      </c>
      <c r="Y321" s="4">
        <v>400</v>
      </c>
      <c r="Z321" s="4">
        <v>30</v>
      </c>
      <c r="AA321" s="11" t="s">
        <v>761</v>
      </c>
      <c r="AB321" s="8" t="s">
        <v>37</v>
      </c>
      <c r="AC321" s="4" t="s">
        <v>37</v>
      </c>
      <c r="AD321" s="11" t="s">
        <v>37</v>
      </c>
      <c r="AE321" s="5" t="s">
        <v>182</v>
      </c>
      <c r="AF321" s="4" t="s">
        <v>760</v>
      </c>
    </row>
    <row r="322" spans="1:32" s="4" customFormat="1" x14ac:dyDescent="0.25">
      <c r="A322" s="4">
        <f t="shared" si="63"/>
        <v>173</v>
      </c>
      <c r="B322" s="5" t="s">
        <v>759</v>
      </c>
      <c r="C322" s="6" t="s">
        <v>14</v>
      </c>
      <c r="D322" s="4" t="s">
        <v>13</v>
      </c>
      <c r="E322" s="4" t="s">
        <v>182</v>
      </c>
      <c r="F322" s="10" t="s">
        <v>645</v>
      </c>
      <c r="G322" s="4" t="s">
        <v>9</v>
      </c>
      <c r="H322" s="4" t="s">
        <v>233</v>
      </c>
      <c r="I322" s="4" t="s">
        <v>331</v>
      </c>
      <c r="J322" s="7">
        <f t="shared" ref="J322" si="73">L322/(O322/1000)</f>
        <v>33.468448729184928</v>
      </c>
      <c r="K322" s="4" t="str">
        <f t="shared" si="60"/>
        <v>Less Conserved</v>
      </c>
      <c r="L322" s="7">
        <v>30.55</v>
      </c>
      <c r="M322" s="7">
        <f t="shared" si="67"/>
        <v>27.495000000000001</v>
      </c>
      <c r="N322" s="7">
        <v>243.7</v>
      </c>
      <c r="O322" s="7">
        <v>912.8</v>
      </c>
      <c r="P322" s="7">
        <f t="shared" si="64"/>
        <v>821.52</v>
      </c>
      <c r="Q322" s="7">
        <f t="shared" si="70"/>
        <v>0.26698071866783524</v>
      </c>
      <c r="R322" s="8">
        <v>7.6609999999999996</v>
      </c>
      <c r="S322" s="8">
        <v>7.26</v>
      </c>
      <c r="T322" s="4" t="str">
        <f t="shared" si="69"/>
        <v>Fast</v>
      </c>
      <c r="U322" s="4" t="s">
        <v>10</v>
      </c>
      <c r="V322" s="4" t="s">
        <v>41</v>
      </c>
      <c r="W322" s="4">
        <v>50</v>
      </c>
      <c r="X322" s="4">
        <v>1500</v>
      </c>
      <c r="Y322" s="4">
        <v>400</v>
      </c>
      <c r="Z322" s="4">
        <v>30</v>
      </c>
      <c r="AA322" s="11" t="s">
        <v>761</v>
      </c>
      <c r="AB322" s="8" t="s">
        <v>37</v>
      </c>
      <c r="AC322" s="4" t="s">
        <v>37</v>
      </c>
      <c r="AD322" s="11" t="s">
        <v>37</v>
      </c>
      <c r="AE322" s="5" t="s">
        <v>182</v>
      </c>
      <c r="AF322" s="4" t="s">
        <v>760</v>
      </c>
    </row>
  </sheetData>
  <autoFilter ref="A2:AF271" xr:uid="{00000000-0001-0000-0000-000000000000}"/>
  <sortState xmlns:xlrd2="http://schemas.microsoft.com/office/spreadsheetml/2017/richdata2" ref="A3:AF271">
    <sortCondition ref="B3:B271"/>
    <sortCondition descending="1" ref="G3:G271"/>
    <sortCondition ref="C3:C271"/>
    <sortCondition ref="X3:X271"/>
    <sortCondition ref="F3:F271"/>
  </sortState>
  <mergeCells count="6">
    <mergeCell ref="AB1:AD1"/>
    <mergeCell ref="C1:F1"/>
    <mergeCell ref="J1:T1"/>
    <mergeCell ref="U1:V1"/>
    <mergeCell ref="W1:AA1"/>
    <mergeCell ref="G1:I1"/>
  </mergeCells>
  <phoneticPr fontId="6" type="noConversion"/>
  <conditionalFormatting sqref="A3:C3 G3:I3 K3:O3 D3:E7 P3:XFD28 A4:B4 K4:P4 C4:C7 F4:I7 K5 M5:P5 B5:B19 A5:A273 C8:I19 AB29:XFD29 R29:AA41 AB30:AE35 AF30:XFD42 P32:Q57 B20:I58 AB36:AD41 AE37:AE42 R42:AD57 AE43:XFD93 P58:AD81 B59:B72 C59:I68 C69 E69:I69 C70:I72 B73:I93 W86:AA89 AB86:AC93 R87:V89 Q87:Q95 R90:AA92 S93:AA93 M93:P95 B94:B109 R94:XFD111 C94:I101 M96:Q111 D102:I105 C102:C107 D106:G106 D107:I107 C108:I109 K112:XFD112 M113:Q116 K113:L117 R113:XFD130 O117:Q117 K118 B110:I176 R131:S131 T131:XFD140 M171:XFD171 S172 T172:XFD173 M172:Q176 R174:XFD176 M177:U185 V177:XFD186 B184:I185 K186:U186 B187:C188 G187:H188 B188:E197 G188:I189 M198:XFD209 K202:T204 A252:I252 R254:XFD254 T254:XFD255 B254:E258 Q254:Q259 M255:P255 G254:I258 R256:XFD259 D257:I257 M257:XFD260 G260:H260 B260:E261 I260:I261 F261:H261 M261:V261 W261:XFD264 B262:I262 K269:M269 O269:XFD269 F269:H270 K270:XFD273 G271:H273 L317:M317 K262:V262 K260:L261 B259:I259 K256:P259 K254:P254 K210:XFD253 K208:T209 K198:L210 B190:I254 K187:XFD197 K184:XFD185 K173:S173 K171:L184 K141:XFD170 K132:S140 K119:Q131 K94:L111 K93 K87:P92 K86:V86 K82:AC85 K32:P81 K29:Q31 K6:P28 J3:J301">
    <cfRule type="cellIs" dxfId="87" priority="537" operator="equal">
      <formula>"higher vascular"</formula>
    </cfRule>
    <cfRule type="cellIs" dxfId="86" priority="538" operator="equal">
      <formula>"basal vascular"</formula>
    </cfRule>
    <cfRule type="cellIs" dxfId="85" priority="539" operator="equal">
      <formula>"bryophytes"</formula>
    </cfRule>
    <cfRule type="cellIs" dxfId="84" priority="540" operator="equal">
      <formula>"algae"</formula>
    </cfRule>
  </conditionalFormatting>
  <conditionalFormatting sqref="A272:I296 B302:XFD303 A297:A322 B297:I301 K272:XFD301">
    <cfRule type="cellIs" dxfId="83" priority="133" operator="equal">
      <formula>"higher vascular"</formula>
    </cfRule>
    <cfRule type="cellIs" dxfId="82" priority="134" operator="equal">
      <formula>"basal vascular"</formula>
    </cfRule>
    <cfRule type="cellIs" dxfId="81" priority="135" operator="equal">
      <formula>"bryophytes"</formula>
    </cfRule>
    <cfRule type="cellIs" dxfId="80" priority="136" operator="equal">
      <formula>"algae"</formula>
    </cfRule>
  </conditionalFormatting>
  <conditionalFormatting sqref="B269:E273">
    <cfRule type="cellIs" dxfId="79" priority="301" operator="equal">
      <formula>"higher vascular"</formula>
    </cfRule>
    <cfRule type="cellIs" dxfId="78" priority="302" operator="equal">
      <formula>"basal vascular"</formula>
    </cfRule>
    <cfRule type="cellIs" dxfId="77" priority="303" operator="equal">
      <formula>"bryophytes"</formula>
    </cfRule>
    <cfRule type="cellIs" dxfId="76" priority="304" operator="equal">
      <formula>"algae"</formula>
    </cfRule>
  </conditionalFormatting>
  <conditionalFormatting sqref="B177:I186">
    <cfRule type="cellIs" dxfId="75" priority="389" operator="equal">
      <formula>"higher vascular"</formula>
    </cfRule>
    <cfRule type="cellIs" dxfId="74" priority="390" operator="equal">
      <formula>"basal vascular"</formula>
    </cfRule>
    <cfRule type="cellIs" dxfId="73" priority="391" operator="equal">
      <formula>"bryophytes"</formula>
    </cfRule>
    <cfRule type="cellIs" dxfId="72" priority="392" operator="equal">
      <formula>"algae"</formula>
    </cfRule>
  </conditionalFormatting>
  <conditionalFormatting sqref="B304:K318">
    <cfRule type="cellIs" dxfId="71" priority="101" operator="equal">
      <formula>"higher vascular"</formula>
    </cfRule>
    <cfRule type="cellIs" dxfId="70" priority="102" operator="equal">
      <formula>"basal vascular"</formula>
    </cfRule>
    <cfRule type="cellIs" dxfId="69" priority="103" operator="equal">
      <formula>"bryophytes"</formula>
    </cfRule>
    <cfRule type="cellIs" dxfId="68" priority="104" operator="equal">
      <formula>"algae"</formula>
    </cfRule>
  </conditionalFormatting>
  <conditionalFormatting sqref="B280:I285 K280:V285">
    <cfRule type="cellIs" dxfId="67" priority="269" operator="equal">
      <formula>"higher vascular"</formula>
    </cfRule>
    <cfRule type="cellIs" dxfId="66" priority="270" operator="equal">
      <formula>"basal vascular"</formula>
    </cfRule>
    <cfRule type="cellIs" dxfId="65" priority="271" operator="equal">
      <formula>"bryophytes"</formula>
    </cfRule>
    <cfRule type="cellIs" dxfId="64" priority="272" operator="equal">
      <formula>"algae"</formula>
    </cfRule>
  </conditionalFormatting>
  <conditionalFormatting sqref="B263:I268 K263:XFD268">
    <cfRule type="cellIs" dxfId="63" priority="305" operator="equal">
      <formula>"higher vascular"</formula>
    </cfRule>
    <cfRule type="cellIs" dxfId="62" priority="306" operator="equal">
      <formula>"basal vascular"</formula>
    </cfRule>
    <cfRule type="cellIs" dxfId="61" priority="307" operator="equal">
      <formula>"bryophytes"</formula>
    </cfRule>
    <cfRule type="cellIs" dxfId="60" priority="308" operator="equal">
      <formula>"algae"</formula>
    </cfRule>
  </conditionalFormatting>
  <conditionalFormatting sqref="B319:XFD322">
    <cfRule type="cellIs" dxfId="59" priority="65" operator="equal">
      <formula>"higher vascular"</formula>
    </cfRule>
    <cfRule type="cellIs" dxfId="58" priority="66" operator="equal">
      <formula>"basal vascular"</formula>
    </cfRule>
    <cfRule type="cellIs" dxfId="57" priority="67" operator="equal">
      <formula>"bryophytes"</formula>
    </cfRule>
    <cfRule type="cellIs" dxfId="56" priority="68" operator="equal">
      <formula>"algae"</formula>
    </cfRule>
  </conditionalFormatting>
  <conditionalFormatting sqref="C209:D213">
    <cfRule type="cellIs" dxfId="55" priority="441" operator="equal">
      <formula>"higher vascular"</formula>
    </cfRule>
    <cfRule type="cellIs" dxfId="54" priority="442" operator="equal">
      <formula>"basal vascular"</formula>
    </cfRule>
    <cfRule type="cellIs" dxfId="53" priority="443" operator="equal">
      <formula>"bryophytes"</formula>
    </cfRule>
    <cfRule type="cellIs" dxfId="52" priority="444" operator="equal">
      <formula>"algae"</formula>
    </cfRule>
  </conditionalFormatting>
  <conditionalFormatting sqref="C229:I231 K229:L231">
    <cfRule type="cellIs" dxfId="51" priority="381" operator="equal">
      <formula>"higher vascular"</formula>
    </cfRule>
    <cfRule type="cellIs" dxfId="50" priority="382" operator="equal">
      <formula>"basal vascular"</formula>
    </cfRule>
    <cfRule type="cellIs" dxfId="49" priority="383" operator="equal">
      <formula>"bryophytes"</formula>
    </cfRule>
    <cfRule type="cellIs" dxfId="48" priority="384" operator="equal">
      <formula>"algae"</formula>
    </cfRule>
  </conditionalFormatting>
  <conditionalFormatting sqref="F258:F259">
    <cfRule type="cellIs" dxfId="47" priority="337" operator="equal">
      <formula>"higher vascular"</formula>
    </cfRule>
    <cfRule type="cellIs" dxfId="46" priority="338" operator="equal">
      <formula>"basal vascular"</formula>
    </cfRule>
    <cfRule type="cellIs" dxfId="45" priority="339" operator="equal">
      <formula>"bryophytes"</formula>
    </cfRule>
    <cfRule type="cellIs" dxfId="44" priority="340" operator="equal">
      <formula>"algae"</formula>
    </cfRule>
  </conditionalFormatting>
  <conditionalFormatting sqref="I185">
    <cfRule type="cellIs" dxfId="43" priority="361" operator="equal">
      <formula>"higher vascular"</formula>
    </cfRule>
    <cfRule type="cellIs" dxfId="42" priority="362" operator="equal">
      <formula>"basal vascular"</formula>
    </cfRule>
    <cfRule type="cellIs" dxfId="41" priority="363" operator="equal">
      <formula>"bryophytes"</formula>
    </cfRule>
    <cfRule type="cellIs" dxfId="40" priority="364" operator="equal">
      <formula>"algae"</formula>
    </cfRule>
  </conditionalFormatting>
  <conditionalFormatting sqref="I187:I197">
    <cfRule type="cellIs" dxfId="39" priority="357" operator="equal">
      <formula>"higher vascular"</formula>
    </cfRule>
    <cfRule type="cellIs" dxfId="38" priority="358" operator="equal">
      <formula>"basal vascular"</formula>
    </cfRule>
    <cfRule type="cellIs" dxfId="37" priority="359" operator="equal">
      <formula>"bryophytes"</formula>
    </cfRule>
    <cfRule type="cellIs" dxfId="36" priority="360" operator="equal">
      <formula>"algae"</formula>
    </cfRule>
  </conditionalFormatting>
  <conditionalFormatting sqref="I217:I218">
    <cfRule type="cellIs" dxfId="35" priority="353" operator="equal">
      <formula>"higher vascular"</formula>
    </cfRule>
    <cfRule type="cellIs" dxfId="34" priority="354" operator="equal">
      <formula>"basal vascular"</formula>
    </cfRule>
    <cfRule type="cellIs" dxfId="33" priority="355" operator="equal">
      <formula>"bryophytes"</formula>
    </cfRule>
    <cfRule type="cellIs" dxfId="32" priority="356" operator="equal">
      <formula>"algae"</formula>
    </cfRule>
  </conditionalFormatting>
  <conditionalFormatting sqref="I265:I273">
    <cfRule type="cellIs" dxfId="31" priority="297" operator="equal">
      <formula>"higher vascular"</formula>
    </cfRule>
    <cfRule type="cellIs" dxfId="30" priority="298" operator="equal">
      <formula>"basal vascular"</formula>
    </cfRule>
    <cfRule type="cellIs" dxfId="29" priority="299" operator="equal">
      <formula>"bryophytes"</formula>
    </cfRule>
    <cfRule type="cellIs" dxfId="28" priority="300" operator="equal">
      <formula>"algae"</formula>
    </cfRule>
  </conditionalFormatting>
  <conditionalFormatting sqref="L314:O316">
    <cfRule type="cellIs" dxfId="27" priority="117" operator="equal">
      <formula>"higher vascular"</formula>
    </cfRule>
    <cfRule type="cellIs" dxfId="26" priority="118" operator="equal">
      <formula>"basal vascular"</formula>
    </cfRule>
    <cfRule type="cellIs" dxfId="25" priority="119" operator="equal">
      <formula>"bryophytes"</formula>
    </cfRule>
    <cfRule type="cellIs" dxfId="24" priority="120" operator="equal">
      <formula>"algae"</formula>
    </cfRule>
  </conditionalFormatting>
  <conditionalFormatting sqref="L318:O318">
    <cfRule type="cellIs" dxfId="23" priority="109" operator="equal">
      <formula>"higher vascular"</formula>
    </cfRule>
    <cfRule type="cellIs" dxfId="22" priority="110" operator="equal">
      <formula>"basal vascular"</formula>
    </cfRule>
    <cfRule type="cellIs" dxfId="21" priority="111" operator="equal">
      <formula>"bryophytes"</formula>
    </cfRule>
    <cfRule type="cellIs" dxfId="20" priority="112" operator="equal">
      <formula>"algae"</formula>
    </cfRule>
  </conditionalFormatting>
  <conditionalFormatting sqref="L304:XFD313">
    <cfRule type="cellIs" dxfId="19" priority="129" operator="equal">
      <formula>"higher vascular"</formula>
    </cfRule>
    <cfRule type="cellIs" dxfId="18" priority="130" operator="equal">
      <formula>"basal vascular"</formula>
    </cfRule>
    <cfRule type="cellIs" dxfId="17" priority="131" operator="equal">
      <formula>"bryophytes"</formula>
    </cfRule>
    <cfRule type="cellIs" dxfId="16" priority="132" operator="equal">
      <formula>"algae"</formula>
    </cfRule>
  </conditionalFormatting>
  <conditionalFormatting sqref="M117:N118 P117:P118 D187:E197 B236:E237">
    <cfRule type="cellIs" dxfId="15" priority="589" operator="equal">
      <formula>"higher vascular"</formula>
    </cfRule>
    <cfRule type="cellIs" dxfId="14" priority="590" operator="equal">
      <formula>"basal vascular"</formula>
    </cfRule>
    <cfRule type="cellIs" dxfId="13" priority="591" operator="equal">
      <formula>"bryophytes"</formula>
    </cfRule>
    <cfRule type="cellIs" dxfId="12" priority="592" operator="equal">
      <formula>"algae"</formula>
    </cfRule>
  </conditionalFormatting>
  <conditionalFormatting sqref="P314:XFD318">
    <cfRule type="cellIs" dxfId="11" priority="97" operator="equal">
      <formula>"higher vascular"</formula>
    </cfRule>
    <cfRule type="cellIs" dxfId="10" priority="98" operator="equal">
      <formula>"basal vascular"</formula>
    </cfRule>
    <cfRule type="cellIs" dxfId="9" priority="99" operator="equal">
      <formula>"bryophytes"</formula>
    </cfRule>
    <cfRule type="cellIs" dxfId="8" priority="100" operator="equal">
      <formula>"algae"</formula>
    </cfRule>
  </conditionalFormatting>
  <conditionalFormatting sqref="R255:S255">
    <cfRule type="cellIs" dxfId="7" priority="341" operator="equal">
      <formula>"higher vascular"</formula>
    </cfRule>
    <cfRule type="cellIs" dxfId="6" priority="342" operator="equal">
      <formula>"basal vascular"</formula>
    </cfRule>
    <cfRule type="cellIs" dxfId="5" priority="343" operator="equal">
      <formula>"bryophytes"</formula>
    </cfRule>
    <cfRule type="cellIs" dxfId="4" priority="344" operator="equal">
      <formula>"algae"</formula>
    </cfRule>
  </conditionalFormatting>
  <conditionalFormatting sqref="AG280:XFD285 B283:C285 E283:I285 K283:V285">
    <cfRule type="cellIs" dxfId="3" priority="257" operator="equal">
      <formula>"higher vascular"</formula>
    </cfRule>
    <cfRule type="cellIs" dxfId="2" priority="258" operator="equal">
      <formula>"basal vascular"</formula>
    </cfRule>
    <cfRule type="cellIs" dxfId="1" priority="259" operator="equal">
      <formula>"bryophytes"</formula>
    </cfRule>
    <cfRule type="cellIs" dxfId="0" priority="260" operator="equal">
      <formula>"algae"</formula>
    </cfRule>
  </conditionalFormatting>
  <dataValidations count="6">
    <dataValidation type="list" allowBlank="1" showInputMessage="1" showErrorMessage="1" sqref="T184:T185 T208:T213 T232:T259 T272:T301" xr:uid="{544E1E69-E0A4-47AB-8829-3E14537700A8}">
      <formula1>"fast, intermediate, slow"</formula1>
    </dataValidation>
    <dataValidation type="list" allowBlank="1" showInputMessage="1" showErrorMessage="1" sqref="H3:H322" xr:uid="{11DD87D1-F595-4048-88B7-188AFC3D704A}">
      <formula1>"Hornwort, Liverwort, Moss, Lycophyte, Fern, Fern (Leptosporangiopsida), Gymnosperm, Angiosperm (Monocot), Angiosperm (Eudicot), Angiosperm (Magnoliids)"</formula1>
    </dataValidation>
    <dataValidation type="list" allowBlank="1" showInputMessage="1" showErrorMessage="1" sqref="V3:V322" xr:uid="{3FEDEFC9-DBD5-4B3C-8E2A-321DDF5962E2}">
      <formula1>"Temperate sun, Temperate shade, Tropical sun, Tropical shade"</formula1>
    </dataValidation>
    <dataValidation type="list" allowBlank="1" showInputMessage="1" showErrorMessage="1" sqref="E3:E322" xr:uid="{1D857B59-DCDE-44C5-9B61-B5F6857346D6}">
      <formula1>"Yes, No"</formula1>
    </dataValidation>
    <dataValidation type="list" allowBlank="1" showInputMessage="1" showErrorMessage="1" sqref="U3:U322" xr:uid="{33E6E5E4-1750-4B68-965E-D7C05FCB2C97}">
      <formula1>"C3, C2, C4"</formula1>
    </dataValidation>
    <dataValidation type="list" allowBlank="1" showInputMessage="1" showErrorMessage="1" sqref="G3:G322" xr:uid="{C7DA4478-5D4B-4F67-BC83-D0642344BCEA}">
      <formula1>"algae, bryophytes, basal vascular, higher vascular"</formula1>
    </dataValidation>
  </dataValidations>
  <hyperlinks>
    <hyperlink ref="C78" r:id="rId1" xr:uid="{687FD82D-2958-41F2-8243-BFC25D758A76}"/>
    <hyperlink ref="C128" r:id="rId2" xr:uid="{BA7B686E-85E8-41AF-B0CD-EDC8D5A09214}"/>
    <hyperlink ref="C13" r:id="rId3" xr:uid="{AFC38FB9-18D7-4CC2-B381-2AEAA0F77B26}"/>
    <hyperlink ref="C62" r:id="rId4" xr:uid="{0C115121-1254-4ADD-8B11-8194CEC97EA1}"/>
    <hyperlink ref="C155" r:id="rId5" xr:uid="{6ACC3135-F073-49E0-9908-18FACE4FA1D5}"/>
    <hyperlink ref="C160" r:id="rId6" xr:uid="{A5CFFB9B-00DD-4EEA-80B9-12942FAE3C63}"/>
    <hyperlink ref="C159" r:id="rId7" xr:uid="{C4DBC0CE-94D6-4EEC-8993-04C9C9F590B6}"/>
    <hyperlink ref="C70" r:id="rId8" xr:uid="{2653BA23-C5E3-4563-AA71-3C1F2E7C0B7E}"/>
    <hyperlink ref="C26" r:id="rId9" xr:uid="{C31B92EC-DB0B-4533-A843-8E34E36D34A5}"/>
    <hyperlink ref="C27" r:id="rId10" xr:uid="{4F3F2CB2-0B30-48C2-AF57-1734C88B284D}"/>
    <hyperlink ref="C29" r:id="rId11" xr:uid="{486E56E3-1968-43D7-9355-168183CA4968}"/>
    <hyperlink ref="C15" r:id="rId12" xr:uid="{E3B4A1FF-94EE-4175-8232-B5330ECD998C}"/>
    <hyperlink ref="C20" r:id="rId13" xr:uid="{AEB0526A-EFC6-412A-8290-7C091931CBFB}"/>
    <hyperlink ref="C21" r:id="rId14" xr:uid="{282042F2-8577-48E4-9503-6CC1B56B5AC5}"/>
    <hyperlink ref="C17" r:id="rId15" xr:uid="{A41C90D0-2F6E-4157-BD81-5BAD3CC5A627}"/>
    <hyperlink ref="C18" r:id="rId16" xr:uid="{E8910E00-1015-4B8A-96ED-91FEF81F62DC}"/>
    <hyperlink ref="C19" r:id="rId17" xr:uid="{EAB7FB9B-C515-43D7-913F-5D9B474B249C}"/>
    <hyperlink ref="C22" r:id="rId18" xr:uid="{D3752D3E-1603-470E-9C4C-A7DE2F879F04}"/>
    <hyperlink ref="C23" r:id="rId19" xr:uid="{0F2A7421-C183-4BAE-87F9-04383B0393A8}"/>
    <hyperlink ref="C24" r:id="rId20" xr:uid="{8294DFF3-F490-47BC-86F2-629BFE32FD56}"/>
    <hyperlink ref="C197" r:id="rId21" xr:uid="{873CA7DE-D039-455C-A8A2-4F7AB138EE30}"/>
    <hyperlink ref="C196" r:id="rId22" xr:uid="{08EE3CF6-0433-4D61-B5E2-2EC174D8DD28}"/>
    <hyperlink ref="C195" r:id="rId23" xr:uid="{EDED3AD6-61E1-4D3B-80E0-E7CA3900417E}"/>
    <hyperlink ref="C189" r:id="rId24" display="Ginkgo bioba" xr:uid="{689B454A-6291-4DE1-9C81-AA2B0DCCFA34}"/>
    <hyperlink ref="C192" r:id="rId25" xr:uid="{11DF35F2-CA33-42DA-90D5-B9DFDAE2107F}"/>
    <hyperlink ref="C194" r:id="rId26" xr:uid="{40AE5850-693B-4A25-942B-0234BBD89F30}"/>
    <hyperlink ref="C190" r:id="rId27" xr:uid="{FC7D429F-0244-4F3D-90B4-B4573AD57265}"/>
    <hyperlink ref="C191" r:id="rId28" xr:uid="{783F724E-44CF-4341-A612-833A2B43E139}"/>
    <hyperlink ref="C188" r:id="rId29" xr:uid="{DA269662-8F53-4C9F-AFB2-9DEB0857C42E}"/>
    <hyperlink ref="C193" r:id="rId30" xr:uid="{7DAF90EC-AA40-400C-9C1E-ECCB42435EDF}"/>
    <hyperlink ref="C99" r:id="rId31" xr:uid="{2E30E28E-4AE7-4272-949F-77253795976A}"/>
    <hyperlink ref="C103" r:id="rId32" xr:uid="{4ED82AA0-08DD-4AD4-92AD-7C6A0B46755E}"/>
    <hyperlink ref="C97" r:id="rId33" xr:uid="{E0D74F08-6D46-44E6-9EEB-7F23BB09D96D}"/>
    <hyperlink ref="C96" r:id="rId34" xr:uid="{586E2878-80A4-49F8-8349-87F87CC9A748}"/>
    <hyperlink ref="C106" r:id="rId35" xr:uid="{AF79E151-9685-44B6-91C8-2141052F7838}"/>
    <hyperlink ref="C93" r:id="rId36" xr:uid="{D1515509-94BD-4B1D-86CA-00EC1FD526B3}"/>
    <hyperlink ref="C98" r:id="rId37" xr:uid="{C19184B3-4FCA-4697-BC9E-A4CFBFAC214E}"/>
    <hyperlink ref="C102" r:id="rId38" xr:uid="{8EF587D9-1E79-4BDE-A40A-66322799405F}"/>
    <hyperlink ref="C92" r:id="rId39" xr:uid="{D86ACAA3-E810-48C5-B988-4E8AE9C06E36}"/>
    <hyperlink ref="C104" r:id="rId40" xr:uid="{8BC7743D-7694-4D2F-A057-EA730909A7E7}"/>
    <hyperlink ref="C100" r:id="rId41" xr:uid="{7B113432-836E-41BA-BD9A-AC826CB782B5}"/>
    <hyperlink ref="C101" r:id="rId42" xr:uid="{9225AE88-D383-4C9F-BE62-C751E8107835}"/>
    <hyperlink ref="C95" r:id="rId43" xr:uid="{2E006229-785F-4438-B0FE-35DEE82656CD}"/>
    <hyperlink ref="C94" r:id="rId44" xr:uid="{7CA25443-ADCC-410E-9313-BFCCE4A8F366}"/>
    <hyperlink ref="C105" r:id="rId45" xr:uid="{058F2546-EEE5-4793-AB9D-ECACEEED0EC6}"/>
    <hyperlink ref="C157" r:id="rId46" xr:uid="{5EDEC996-A885-47D6-B6E7-AEFCD6BB8109}"/>
    <hyperlink ref="C156" r:id="rId47" xr:uid="{8964108C-B164-4766-A525-A228AE8E9618}"/>
    <hyperlink ref="C158" r:id="rId48" xr:uid="{0AE35EB1-561E-4595-9CC3-DCE3A6999E4B}"/>
    <hyperlink ref="C32" r:id="rId49" xr:uid="{F08BD25A-6363-4819-ADFA-F368E3AA89DA}"/>
    <hyperlink ref="C31" r:id="rId50" xr:uid="{27B36D0C-CCD2-416F-8DE0-ED739768CDA1}"/>
    <hyperlink ref="C119" r:id="rId51" xr:uid="{951AB0D4-B4DD-4C8E-9807-D820EB2690CF}"/>
    <hyperlink ref="C121" r:id="rId52" xr:uid="{F2595BB4-E2C3-4C0E-89B4-89BF383911C4}"/>
    <hyperlink ref="C118" r:id="rId53" xr:uid="{B1E838D8-4F8E-4E4B-AC3D-B7C73CCB25CC}"/>
    <hyperlink ref="C117" r:id="rId54" xr:uid="{2ACABEA9-C5EF-49E2-87D7-0E6C18426FBF}"/>
    <hyperlink ref="C120" r:id="rId55" xr:uid="{794C053A-A6B6-46D0-A1F4-BD6B84DA33FB}"/>
    <hyperlink ref="C89" r:id="rId56" xr:uid="{4F4EF1D3-3F51-42A9-8993-B79B20B926F5}"/>
    <hyperlink ref="C183" r:id="rId57" xr:uid="{5B661A61-1AE2-497C-B4CA-F521009296CB}"/>
    <hyperlink ref="C179" r:id="rId58" xr:uid="{A173432A-9C9D-4B2D-877E-316DD6A38509}"/>
    <hyperlink ref="C177" r:id="rId59" xr:uid="{0FE538AE-879C-4BD0-AA2A-F54C9573DDDF}"/>
    <hyperlink ref="C181" r:id="rId60" xr:uid="{EE2DE466-3A25-4EA8-8337-DAFF22716695}"/>
    <hyperlink ref="C130" r:id="rId61" xr:uid="{4C52B545-A738-4481-9632-DFD7FC1B4AF2}"/>
    <hyperlink ref="C131" r:id="rId62" xr:uid="{37214619-5005-446B-B098-0A8713ECF896}"/>
    <hyperlink ref="C33" r:id="rId63" xr:uid="{691E1E7C-3048-408F-9A90-272FAAA4760D}"/>
    <hyperlink ref="C36" r:id="rId64" xr:uid="{2886657B-0795-44A8-BB0F-732B2D8E5E66}"/>
    <hyperlink ref="C34" r:id="rId65" xr:uid="{ABD76F4D-AE14-449A-9F8F-9C40B363404F}"/>
    <hyperlink ref="C35" r:id="rId66" xr:uid="{F532CDBC-7B68-4524-8249-97FD26FA0397}"/>
    <hyperlink ref="C41" r:id="rId67" xr:uid="{B686CED3-0920-4583-90CA-C456C621A26A}"/>
    <hyperlink ref="C39" r:id="rId68" xr:uid="{69AF6E92-FAD7-427A-AAC9-095629D2869E}"/>
    <hyperlink ref="C47" r:id="rId69" xr:uid="{C9404AD8-12FE-4BB0-B065-B4D716E35344}"/>
    <hyperlink ref="C50" r:id="rId70" xr:uid="{E1707F1E-7FC7-484A-A152-7C316423BEFE}"/>
    <hyperlink ref="C14" r:id="rId71" xr:uid="{5E599193-1631-4E13-A7DF-9BE4C41A88BC}"/>
    <hyperlink ref="C127" r:id="rId72" xr:uid="{74F55748-1F40-498D-ABC1-8730EB29FFE0}"/>
    <hyperlink ref="C146" r:id="rId73" xr:uid="{F3842E1B-721D-459B-8E3D-D5525804B2FF}"/>
    <hyperlink ref="C147" r:id="rId74" xr:uid="{16816937-731A-4B7E-8EA5-93D264E8F76A}"/>
    <hyperlink ref="C8" r:id="rId75" xr:uid="{C33EF16A-3111-4DCF-A3B0-720AD077C15C}"/>
    <hyperlink ref="C7" r:id="rId76" xr:uid="{5291A96E-204F-41FE-B37E-CD865C76A861}"/>
    <hyperlink ref="C198" r:id="rId77" xr:uid="{BB27CD99-F4A5-4EF8-BB76-E9E88DE56263}"/>
    <hyperlink ref="C200" r:id="rId78" xr:uid="{0ADE10E3-5DFE-4822-B860-197E0157BB5F}"/>
    <hyperlink ref="C201" r:id="rId79" xr:uid="{3A6EA02E-7DB4-444E-AFD9-1D6AF0AB8D91}"/>
    <hyperlink ref="C59" r:id="rId80" xr:uid="{C3963B4D-3F0E-4D4C-B95C-E0D54EE69905}"/>
    <hyperlink ref="C60" r:id="rId81" xr:uid="{3FEF2141-9A06-4BC1-9A27-D011259755E1}"/>
    <hyperlink ref="C61" r:id="rId82" xr:uid="{2491324F-D856-4D41-9F6D-8AB41311FAA8}"/>
    <hyperlink ref="C75" r:id="rId83" xr:uid="{52075412-79F0-44AA-9060-7ADAD1B974AC}"/>
    <hyperlink ref="C71" r:id="rId84" xr:uid="{5DDC4615-B8D6-44C4-B929-A33445C73EF9}"/>
    <hyperlink ref="C72" r:id="rId85" xr:uid="{9FED03BA-23AE-4D1A-950F-4AB02874FA37}"/>
    <hyperlink ref="C73" r:id="rId86" xr:uid="{98B3EA10-E9D4-4562-9CBC-ED20254C6F5B}"/>
    <hyperlink ref="C74" r:id="rId87" xr:uid="{79000672-469D-472E-804A-F7BA396258DC}"/>
    <hyperlink ref="C239" r:id="rId88" xr:uid="{FB02C630-BE29-41A0-9830-D6F8AD8DCAF6}"/>
    <hyperlink ref="C151" r:id="rId89" xr:uid="{E992B5F0-590C-4508-B971-4C29A8052FC5}"/>
    <hyperlink ref="C234" r:id="rId90" xr:uid="{B74AB6FF-087D-44C4-B720-1FED62566453}"/>
    <hyperlink ref="C148" r:id="rId91" xr:uid="{539A024A-254E-48C1-89BE-CBA3A2E63CD1}"/>
    <hyperlink ref="C150" r:id="rId92" xr:uid="{9913B093-A6AF-4617-9531-3C2E52ED1B3A}"/>
    <hyperlink ref="C149" r:id="rId93" xr:uid="{AA6D97C1-F991-47B2-9B56-6BDF677D770C}"/>
    <hyperlink ref="C84" r:id="rId94" xr:uid="{5B82B66B-7F06-4B63-BCE9-747BCA67F1CE}"/>
    <hyperlink ref="C82" r:id="rId95" xr:uid="{A09C8C77-AB06-499B-8FC1-B438F2462410}"/>
    <hyperlink ref="C87" r:id="rId96" xr:uid="{AA50521E-1C34-4C90-B14D-B6F90CC4DEB7}"/>
    <hyperlink ref="C81" r:id="rId97" xr:uid="{4A5ACC8D-5662-48D5-894B-2E6B7C7FE994}"/>
    <hyperlink ref="C88" r:id="rId98" xr:uid="{73AE5455-EDBB-41C9-89C3-55A249D44B04}"/>
    <hyperlink ref="C85" r:id="rId99" xr:uid="{6106B488-0FC1-487A-B7F8-38C16187D302}"/>
    <hyperlink ref="C83" r:id="rId100" xr:uid="{9770E497-47D3-4753-BC1B-23DDCE573C31}"/>
    <hyperlink ref="C86" r:id="rId101" xr:uid="{DFC25844-68FE-40CF-A72B-B8EC58F3EA32}"/>
    <hyperlink ref="C134" r:id="rId102" display="Manihot esculenta" xr:uid="{1E8140F7-C462-48F5-BD3E-C8EADAA2D600}"/>
    <hyperlink ref="C135" r:id="rId103" display="Manihot esculenta" xr:uid="{E48F6A39-5B95-45DE-8677-A08EF06F0C45}"/>
    <hyperlink ref="C126" r:id="rId104" xr:uid="{239F3E12-3248-4E46-9EB2-04EF3EF159E6}"/>
    <hyperlink ref="C264" r:id="rId105" xr:uid="{A99664B5-95E4-4852-955B-9439D8F2FCF8}"/>
    <hyperlink ref="C265" r:id="rId106" xr:uid="{1C1BEF48-1D79-41C3-9639-BB182DA61DEB}"/>
    <hyperlink ref="C266" r:id="rId107" xr:uid="{C4B27E0A-C854-4731-A34A-16DFE719118B}"/>
    <hyperlink ref="C263" r:id="rId108" xr:uid="{D001578A-7325-421B-AE2E-918E799D3860}"/>
    <hyperlink ref="C132" r:id="rId109" xr:uid="{1BBC262F-B0B9-4620-9793-25CF00D244ED}"/>
    <hyperlink ref="C42" r:id="rId110" display="https://en.wikipedia.org/wiki/Musa_(genus)" xr:uid="{5C4D5F77-6E5A-4FE2-BB67-9274CCA3FABE}"/>
    <hyperlink ref="C43" r:id="rId111" display="https://en.wikipedia.org/wiki/Musa_(genus)" xr:uid="{0A8A676E-1D65-4EC3-BD91-AE46EEB92A69}"/>
    <hyperlink ref="C44" r:id="rId112" display="https://en.wikipedia.org/wiki/Musa_(genus)" xr:uid="{02C98397-FF2A-40E8-B3E8-09BE446F0C22}"/>
    <hyperlink ref="C45" r:id="rId113" display="https://en.wikipedia.org/wiki/Musa_(genus)" xr:uid="{1ECE56BC-A165-40CA-BD0D-85A71ED11974}"/>
    <hyperlink ref="C46" r:id="rId114" display="https://en.wikipedia.org/wiki/Musa_(genus)" xr:uid="{BDFFB047-283D-4BF7-936D-F2FCD1C22E9B}"/>
    <hyperlink ref="C240" r:id="rId115" xr:uid="{FEBA2F5E-2123-4896-8DCB-54D7D9D2AD74}"/>
    <hyperlink ref="C250" r:id="rId116" xr:uid="{F111382E-138E-4453-A0D6-273A40BE9BEE}"/>
    <hyperlink ref="C247" r:id="rId117" xr:uid="{F9399370-9263-4342-A595-438B97A9B0BC}"/>
    <hyperlink ref="C244" r:id="rId118" xr:uid="{F22F31C6-1D68-4AEF-863E-F752D033B249}"/>
    <hyperlink ref="C253" r:id="rId119" xr:uid="{30FD2D52-0081-4758-BAE3-9FA4B1A92F4D}"/>
    <hyperlink ref="C256" r:id="rId120" xr:uid="{9A08B72F-06DA-462B-BB90-75B8CAE2E32B}"/>
    <hyperlink ref="C251" r:id="rId121" xr:uid="{5B2DB1E3-4254-44F4-BA84-10FD1F4500EB}"/>
    <hyperlink ref="C252" r:id="rId122" xr:uid="{297AC7A6-29A6-4DC0-99F0-C04068AEFB4E}"/>
    <hyperlink ref="C241" r:id="rId123" xr:uid="{39F08289-50AE-4FAE-8636-D3D417F614F2}"/>
    <hyperlink ref="C242" r:id="rId124" xr:uid="{1DE7DE33-464F-472D-8F32-C7AFE85F09BD}"/>
    <hyperlink ref="C243" r:id="rId125" xr:uid="{879E3EC4-36C7-49B5-B28A-42A2ED3CD28B}"/>
    <hyperlink ref="C245" r:id="rId126" xr:uid="{802D35AA-EA7A-41D8-A4E0-E2032C0F4A5C}"/>
    <hyperlink ref="C246" r:id="rId127" xr:uid="{0C84AC66-75C3-48B7-840B-703690ACA830}"/>
    <hyperlink ref="C248" r:id="rId128" xr:uid="{682DD357-BA7D-4B4C-A8F1-D1B119EF23E3}"/>
    <hyperlink ref="C249" r:id="rId129" xr:uid="{5580CF53-D44E-4A5E-AF94-2643E0E1DE3E}"/>
    <hyperlink ref="C254" r:id="rId130" xr:uid="{F424A229-7231-4910-9EE6-2033ED5877D2}"/>
    <hyperlink ref="C255" r:id="rId131" xr:uid="{76D21B4C-EE27-4D45-B830-9BB246DA86C8}"/>
    <hyperlink ref="C257" r:id="rId132" xr:uid="{CAE1D89E-A84C-4FAC-9FA4-8831CCA4AF73}"/>
    <hyperlink ref="C136" r:id="rId133" xr:uid="{27E0E12D-AD05-45F3-A78D-1110255B3CD1}"/>
    <hyperlink ref="C143" r:id="rId134" xr:uid="{FABAE257-F116-4D4D-AEAD-1844330289C7}"/>
    <hyperlink ref="C142" r:id="rId135" xr:uid="{46643437-9E92-4BA2-B559-3ACE7633D825}"/>
    <hyperlink ref="C145" r:id="rId136" xr:uid="{A0ADA76C-8C07-4BCB-B750-15F78D4F9F18}"/>
    <hyperlink ref="C144" r:id="rId137" xr:uid="{37D7FF9B-E8A3-417C-8E24-6FC60B8C2607}"/>
    <hyperlink ref="C12" r:id="rId138" xr:uid="{9908BDE4-8F19-4E04-BC95-EDFBF576CFDD}"/>
    <hyperlink ref="C11" r:id="rId139" xr:uid="{E435F433-1F22-4FA5-B051-7EDFCB9CB337}"/>
    <hyperlink ref="B78" r:id="rId140" display="Kirschbaum1988" xr:uid="{C2F78B6A-2F2B-4122-B05D-88E4504E103C}"/>
    <hyperlink ref="B159" r:id="rId141" display="Tinoco-Ojanguren1993" xr:uid="{44FD4B15-1E47-4494-B8F6-159C12161853}"/>
    <hyperlink ref="B56" r:id="rId142" display="Horton1998" xr:uid="{258FB4C9-286C-4435-B4F4-D8D67F1712A8}"/>
    <hyperlink ref="C56" r:id="rId143" xr:uid="{265864C0-836C-4A19-9CDB-9AD700289031}"/>
    <hyperlink ref="C57" r:id="rId144" xr:uid="{FAB36AD6-C300-467A-8C1A-6111A05F11C5}"/>
    <hyperlink ref="B33" r:id="rId145" display="Doi2006" xr:uid="{FA97EC94-729E-4232-B576-C3A6AF7A7FB9}"/>
    <hyperlink ref="B13" r:id="rId146" display="Chen2013" xr:uid="{4C14C894-4542-4C78-B693-A1BE56BBD6CB}"/>
    <hyperlink ref="B14" r:id="rId147" display="Chen2013" xr:uid="{D75507C3-7A4A-4F2C-9EFB-F6BDAB87048B}"/>
    <hyperlink ref="C91" r:id="rId148" xr:uid="{288B792B-C57E-4E9B-ABEB-9AF70EBAE8D5}"/>
    <hyperlink ref="B91" r:id="rId149" display="Matrosova2015" xr:uid="{FC2F2E78-AD29-4A2C-84B2-4EBA64DD5A60}"/>
    <hyperlink ref="C37" r:id="rId150" location="null" xr:uid="{EB563019-DD63-4038-94C5-AD7FB638908C}"/>
    <hyperlink ref="C38" r:id="rId151" xr:uid="{F2B65F7E-040C-4DCB-B21C-7DD493D64878}"/>
    <hyperlink ref="C171" r:id="rId152" xr:uid="{0C3E5006-C801-4A89-9666-325B9073ACAE}"/>
    <hyperlink ref="B171" r:id="rId153" display="Valladares1997" xr:uid="{017745BA-26E0-493F-8FBC-0634B259FB4B}"/>
    <hyperlink ref="AE91" r:id="rId154" display="T" xr:uid="{A316C879-F6D2-4663-B31D-99CF5887A3A8}"/>
    <hyperlink ref="AE105" r:id="rId155" xr:uid="{EB37F283-B82E-4187-B3B4-C5D1308A9A5C}"/>
    <hyperlink ref="AE23" r:id="rId156" xr:uid="{E35B771C-56BB-4186-8589-D18BEC6F55F6}"/>
    <hyperlink ref="AE11" r:id="rId157" xr:uid="{25AB3223-E111-49FF-B9D2-6481B67A74BC}"/>
    <hyperlink ref="AE12" r:id="rId158" display="T" xr:uid="{D1C76FD6-D3D8-486E-8958-4DD556A85EAF}"/>
    <hyperlink ref="AE145" r:id="rId159" xr:uid="{1E78AB0B-5BDE-4C74-BDBE-B4574D34F212}"/>
    <hyperlink ref="AE144" r:id="rId160" xr:uid="{49D40FC3-81DD-44C3-8326-ABB8389E79C1}"/>
    <hyperlink ref="AE143" r:id="rId161" xr:uid="{A69E9D8E-1764-422A-963F-B41086733AD4}"/>
    <hyperlink ref="AE142" r:id="rId162" xr:uid="{705600B8-F8AA-48BF-ADC6-12352619CE30}"/>
    <hyperlink ref="AE257" r:id="rId163" display="T" xr:uid="{DE882CC9-2189-4D87-961B-557FF75880AF}"/>
    <hyperlink ref="AE249" r:id="rId164" xr:uid="{CCF4045A-4D98-4877-83AD-B0CF183A02E5}"/>
    <hyperlink ref="AE248" r:id="rId165" xr:uid="{5F6D7DDE-8E04-419B-9B2E-1984E8DBB7AC}"/>
    <hyperlink ref="AE246" r:id="rId166" xr:uid="{C37EAAAF-AF14-4AE7-8250-63AA2647C6AA}"/>
    <hyperlink ref="AE245" r:id="rId167" xr:uid="{D7A4FAF0-FBF2-4406-9A2B-73D6C493A713}"/>
    <hyperlink ref="AE256" r:id="rId168" display="T" xr:uid="{1B829135-342F-453D-BD87-C83FF4F497AA}"/>
    <hyperlink ref="AE244" r:id="rId169" xr:uid="{58DAD82B-92E1-4CAC-8D74-4CDAD2923A5A}"/>
    <hyperlink ref="AE247" r:id="rId170" xr:uid="{2676A3C7-AD4F-4BFB-957D-D23E651C9B8F}"/>
    <hyperlink ref="AE46" r:id="rId171" xr:uid="{E3E6D4B1-84CE-489A-A83E-3152D5F3A2D2}"/>
    <hyperlink ref="AE45" r:id="rId172" xr:uid="{8BAD3095-85F0-4F17-8BBB-A1AFDDFCE7B7}"/>
    <hyperlink ref="AE44" r:id="rId173" xr:uid="{D6A594E1-8384-4F41-A0A6-6D63210450AD}"/>
    <hyperlink ref="AE43" r:id="rId174" xr:uid="{67F8DDAB-1DA8-46DE-ABD1-B2D5C24BFBAA}"/>
    <hyperlink ref="AE42" r:id="rId175" xr:uid="{401331BE-104C-4975-B8AC-0F2B676229C1}"/>
    <hyperlink ref="AE9" r:id="rId176" display="T" xr:uid="{21D082D2-1EBA-4E51-962F-310DA822A42B}"/>
    <hyperlink ref="AE132" r:id="rId177" display="T" xr:uid="{CFF79F57-8699-4FA1-9477-0E5E1D335E29}"/>
    <hyperlink ref="AE133" r:id="rId178" display="T" xr:uid="{23A9B10E-A794-420B-A393-C1C9A6B65D9C}"/>
    <hyperlink ref="AE263" r:id="rId179" display="T" xr:uid="{D4917585-D988-4CFE-80AE-01F0D59A941F}"/>
    <hyperlink ref="AE266" r:id="rId180" display="T" xr:uid="{42900937-7F7E-4112-9E60-6042F2CA8738}"/>
    <hyperlink ref="AE265" r:id="rId181" display="T" xr:uid="{1B972EDA-DE55-41B4-B76E-2CA7F4A83763}"/>
    <hyperlink ref="AE264" r:id="rId182" display="T" xr:uid="{1E6D8565-6E00-4872-8DEE-1A223D03CD18}"/>
    <hyperlink ref="AE126" r:id="rId183" display="T" xr:uid="{0257F191-A683-42C1-A171-C32322FA6530}"/>
    <hyperlink ref="AE149" r:id="rId184" display="T" xr:uid="{DF563EB4-C33C-4D87-AF48-AF78C83B1297}"/>
    <hyperlink ref="AE150" r:id="rId185" display="T" xr:uid="{710615BF-1152-4A06-864A-FC7704430B2B}"/>
    <hyperlink ref="AE148" r:id="rId186" display="T" xr:uid="{54A04AC8-A4C3-434E-AE1E-9B1E158DFF1A}"/>
    <hyperlink ref="AE234" r:id="rId187" display="T" xr:uid="{08CCF161-FE28-41AA-BF40-5DA6B529EDE5}"/>
    <hyperlink ref="AE151" r:id="rId188" display="T" xr:uid="{91295A3B-7702-451D-9757-E2DD404C0C4C}"/>
    <hyperlink ref="AE239" r:id="rId189" display="T" xr:uid="{AB0CB2E8-0EB6-4D30-AEE0-0DFACCD2AFAA}"/>
    <hyperlink ref="AE74" r:id="rId190" display="T" xr:uid="{D212D3F0-D6F8-4505-AD2B-2A70500BA2E6}"/>
    <hyperlink ref="AE73" r:id="rId191" display="T" xr:uid="{03282CDC-D027-4A51-81C9-D65B762F8896}"/>
    <hyperlink ref="AE72" r:id="rId192" display="T" xr:uid="{8AA8E224-81B6-4F89-BD05-7B4DB82D645A}"/>
    <hyperlink ref="AE71" r:id="rId193" display="T" xr:uid="{F6E2E510-710C-42C4-9DAD-2E8A3F7E2996}"/>
    <hyperlink ref="AE75" r:id="rId194" display="T" xr:uid="{E9F64075-AF28-4CA7-A4FB-176C3EC66277}"/>
    <hyperlink ref="AE61" r:id="rId195" display="T" xr:uid="{0859CD2C-9908-4059-814E-FB21B050C3EF}"/>
    <hyperlink ref="AE60" r:id="rId196" display="T" xr:uid="{9914F39D-7C64-46CA-B5BB-8F9D46CE4FF0}"/>
    <hyperlink ref="AE59" r:id="rId197" display="T" xr:uid="{37B2EB52-233E-4352-8A0C-C06174B68300}"/>
    <hyperlink ref="AE201" r:id="rId198" display="T" xr:uid="{C372EE4E-0B09-4F55-917F-89EAE2D67DCC}"/>
    <hyperlink ref="AE200" r:id="rId199" display="T" xr:uid="{6C3634C2-2168-40F0-94DC-0C3CF7C8FDD4}"/>
    <hyperlink ref="AE198" r:id="rId200" display="T" xr:uid="{794A2D98-FEED-4CDD-8042-3F4064770B25}"/>
    <hyperlink ref="AE7" r:id="rId201" display="T" xr:uid="{98173D7D-4D9F-44F6-BB36-E75891AA2BA9}"/>
    <hyperlink ref="AE8" r:id="rId202" display="T" xr:uid="{5714BBF6-71AD-44CA-82F7-26576A4D41A5}"/>
    <hyperlink ref="AE147" r:id="rId203" display="T" xr:uid="{55FDF94A-04B3-4BF7-A196-F75D64E79C9D}"/>
    <hyperlink ref="AE146" r:id="rId204" display="T" xr:uid="{683F9120-C98F-4CFA-9284-4AAA2C735226}"/>
    <hyperlink ref="AE127" r:id="rId205" display="T" xr:uid="{B7A1393D-34E6-4E7B-9E17-823F12283ADB}"/>
    <hyperlink ref="AE14" r:id="rId206" display="T" xr:uid="{892B8F97-D2EE-40D0-B9B0-8C5BBFC19790}"/>
    <hyperlink ref="AE50" r:id="rId207" display="T" xr:uid="{A40B6EC2-C942-4882-994D-6DEB4E12B0C2}"/>
    <hyperlink ref="AE47" r:id="rId208" display="T" xr:uid="{AE452EDE-D61F-4D54-ACD2-D0857888BB79}"/>
    <hyperlink ref="AE90" r:id="rId209" xr:uid="{BFAF47C0-A530-47D0-B5AC-0B0DB2C27811}"/>
    <hyperlink ref="AE89" r:id="rId210" xr:uid="{A14E221B-ADA6-4BFA-B94F-A48B27B79644}"/>
    <hyperlink ref="AE121" r:id="rId211" display="F" xr:uid="{A11FF289-B70A-4FA5-8E19-6BA9F8397A46}"/>
    <hyperlink ref="AE134" r:id="rId212" display="T" xr:uid="{EE7E5291-167A-4AC4-81E7-FFFEE4BC55B0}"/>
    <hyperlink ref="AE135" r:id="rId213" display="T" xr:uid="{8A92F2C4-1F50-4295-841C-6F767ABB03F2}"/>
    <hyperlink ref="AE31" r:id="rId214" display="T" xr:uid="{7E1A3975-F7A6-43AF-A9C7-A939DE8B7EDA}"/>
    <hyperlink ref="AE32" r:id="rId215" display="T" xr:uid="{2CFACF2C-19DE-4BCF-8ACC-A7CECD3EF25D}"/>
    <hyperlink ref="AE158" r:id="rId216" display="T" xr:uid="{B8851C69-E9CF-4F71-9271-6CC92B5E705C}"/>
    <hyperlink ref="AE157" r:id="rId217" display="T" xr:uid="{CA62F931-E003-4A8B-86CD-503CB38B7902}"/>
    <hyperlink ref="AE100" r:id="rId218" display="T" xr:uid="{D12CE407-9A87-42EB-BD02-CE9BB60F955B}"/>
    <hyperlink ref="AE118" r:id="rId219" display="T" xr:uid="{519A246F-7B8F-4F99-B46D-C445F0945F4B}"/>
    <hyperlink ref="AE96" r:id="rId220" display="T" xr:uid="{2CD6A167-C652-4C85-A317-B63F43D01091}"/>
    <hyperlink ref="AE103" r:id="rId221" display="T" xr:uid="{531B0C76-522E-4933-BD05-B46822A4B4A9}"/>
    <hyperlink ref="AE183" r:id="rId222" display="T" xr:uid="{FC693080-B206-4AC9-8A41-545AB93BDF34}"/>
    <hyperlink ref="AE95" r:id="rId223" display="T" xr:uid="{917C6AE6-3422-4B2E-8D98-04E550582EF8}"/>
    <hyperlink ref="AE191" r:id="rId224" display="T" xr:uid="{C799CAC0-7360-4197-A075-E9DAB2E86282}"/>
    <hyperlink ref="AE194" r:id="rId225" display="T" xr:uid="{A674AF5D-A381-4E92-ABC3-6A9085930367}"/>
    <hyperlink ref="AE24" r:id="rId226" display="T" xr:uid="{D41CCF14-8C6F-4AC2-8C19-327E9DC15ECB}"/>
    <hyperlink ref="AE22" r:id="rId227" display="T" xr:uid="{80623F26-E415-4A68-814F-81C722054559}"/>
    <hyperlink ref="AE190" r:id="rId228" display="T" xr:uid="{65E521EF-E9D5-4A57-850B-F09DC8159965}"/>
    <hyperlink ref="AE18" r:id="rId229" display="T" xr:uid="{71228405-3376-4925-95EF-850F1042BF48}"/>
    <hyperlink ref="AE130" r:id="rId230" display="T" xr:uid="{62A9137D-896A-49A7-949A-6465DD62FE37}"/>
    <hyperlink ref="AE92" r:id="rId231" display="T" xr:uid="{85B28845-BED7-49EF-B703-B1682964C1F5}"/>
    <hyperlink ref="AE70" r:id="rId232" display="T" xr:uid="{D78C78D7-D583-469F-9DA1-0F8575F26581}"/>
    <hyperlink ref="AE104" r:id="rId233" display="T" xr:uid="{83C415F9-EA5D-482B-A939-9F5E8FAABDB2}"/>
    <hyperlink ref="AE155" r:id="rId234" display="T" xr:uid="{5CD31856-7509-438E-9A8F-F22738B177B4}"/>
    <hyperlink ref="AE102" r:id="rId235" display="T" xr:uid="{94EEC495-ED87-4516-898F-821655B5C4DE}"/>
    <hyperlink ref="AE62" r:id="rId236" display="T" xr:uid="{1CAFC03B-0515-46FC-9043-31C246B8C845}"/>
    <hyperlink ref="AE106" r:id="rId237" display="T" xr:uid="{9B5F853C-55FA-4C58-8980-5A78274DA90C}"/>
    <hyperlink ref="AE13" r:id="rId238" display="T" xr:uid="{E54F8AD6-ACEC-42D6-856E-0A0A83F09F3C}"/>
    <hyperlink ref="AE99" r:id="rId239" display="T" xr:uid="{D0AE7CCF-79EC-4D3E-B53E-22421094EC19}"/>
    <hyperlink ref="AE193" r:id="rId240" display="T" xr:uid="{C14A164C-F8EA-4D97-A3B1-29FA06BC3193}"/>
    <hyperlink ref="AE128" r:id="rId241" display="T" xr:uid="{682DE190-4EB9-4E7C-AA57-9682C10911A5}"/>
    <hyperlink ref="C172" r:id="rId242" xr:uid="{05246C5F-F254-4C8B-8A0C-24CF1256CF3A}"/>
    <hyperlink ref="B173" r:id="rId243" display="Vialet-Chabrand2013" xr:uid="{66199A55-26FA-4DF0-BBD5-5C2181A6E6CF}"/>
    <hyperlink ref="C174" r:id="rId244" xr:uid="{57626C81-6D69-4512-844C-4277F6A57D47}"/>
    <hyperlink ref="C176" r:id="rId245" xr:uid="{9B1F0FA8-E432-4DD6-9905-0FDEB1F12AF4}"/>
    <hyperlink ref="C175" r:id="rId246" xr:uid="{CF5516A5-40C9-4B70-B6C1-9E225C750EC1}"/>
    <hyperlink ref="C173" r:id="rId247" xr:uid="{71760739-D762-449A-9AE4-E6FFEFDB7CA9}"/>
    <hyperlink ref="B92" r:id="rId248" display="McAusland2016" xr:uid="{FC11E677-A5D9-4FA5-BDBD-4CD2CFFFC4AB}"/>
    <hyperlink ref="B127" r:id="rId249" display="Qu2016" xr:uid="{24C6B956-BDB3-495D-B033-FB9A3061F6DA}"/>
    <hyperlink ref="C58" r:id="rId250" xr:uid="{D09BD10F-9F33-4EBE-9213-5219E7A4D994}"/>
    <hyperlink ref="B58" r:id="rId251" display="Matrosova2015" xr:uid="{96D287C6-39F5-4EFB-B550-478C87D3BADD}"/>
    <hyperlink ref="AE58" r:id="rId252" display="T" xr:uid="{E4510EFF-253F-4805-A563-CA1E30FC7F1A}"/>
    <hyperlink ref="B62" r:id="rId253" display="Kaiser2017" xr:uid="{E347C961-A81C-4C15-82BC-93E59BBE8C5C}"/>
    <hyperlink ref="C63" r:id="rId254" xr:uid="{2CE716AD-85F9-4184-A7A6-DC44549BDC80}"/>
    <hyperlink ref="AE63" r:id="rId255" display="T" xr:uid="{DEDA386F-AC2A-4C71-8775-D23E8E05B2EB}"/>
    <hyperlink ref="C64" r:id="rId256" xr:uid="{160C429F-E053-433A-9F00-CA7E2EA067B8}"/>
    <hyperlink ref="AE64" r:id="rId257" display="T" xr:uid="{FE9E37CF-AB9B-4C2B-B459-B1F321B755AC}"/>
    <hyperlink ref="C65" r:id="rId258" xr:uid="{D4FC70C3-6483-4579-89E6-555C19C35F93}"/>
    <hyperlink ref="AE65" r:id="rId259" display="T" xr:uid="{2A693126-1F33-456D-B986-B1907BEA5ED7}"/>
    <hyperlink ref="C66" r:id="rId260" xr:uid="{75E16011-303B-4707-84CA-4304A01944E6}"/>
    <hyperlink ref="AE66" r:id="rId261" display="T" xr:uid="{EBA91BCF-7D1D-411F-9194-754A10A4B226}"/>
    <hyperlink ref="C67" r:id="rId262" xr:uid="{67EE91BB-5674-4384-B7E9-A7CC7461E93C}"/>
    <hyperlink ref="AE67" r:id="rId263" display="T" xr:uid="{4DE085D1-C33D-4957-8E68-A82D1A75816F}"/>
    <hyperlink ref="C68" r:id="rId264" xr:uid="{1CFC732C-EFCB-4993-8F77-0A2B7625FEAB}"/>
    <hyperlink ref="AE68" r:id="rId265" display="T" xr:uid="{77866350-B969-48A5-93B3-F02D67302520}"/>
    <hyperlink ref="C69" r:id="rId266" xr:uid="{0B72A079-A8F1-4212-B684-9B9B9623169C}"/>
    <hyperlink ref="AE69" r:id="rId267" display="T" xr:uid="{004B0FC0-3C08-4616-BA20-D50BCEE64953}"/>
    <hyperlink ref="B59" r:id="rId268" display="Kaiser2017" xr:uid="{1D550624-6C4A-4576-B69F-71613D4701D8}"/>
    <hyperlink ref="B107" r:id="rId269" display="Meinzer2017" xr:uid="{9A48788D-BF5A-4F28-8F60-FE967445D972}"/>
    <hyperlink ref="C107" r:id="rId270" xr:uid="{97D4CEB2-9420-44CC-A32A-2F389170A72F}"/>
    <hyperlink ref="C115" r:id="rId271" xr:uid="{ECE1F1E1-0F0F-4A2F-8382-788B721F9F85}"/>
    <hyperlink ref="C40" r:id="rId272" xr:uid="{174F5C15-D8DD-4EE9-A1E5-B7FEDCB9D496}"/>
    <hyperlink ref="C108" r:id="rId273" xr:uid="{ACBFF0BA-56FE-47EE-9193-6271C90D1F13}"/>
    <hyperlink ref="C116" r:id="rId274" xr:uid="{FA31162D-BF9A-46D9-98E6-ADA3ABF49E0B}"/>
    <hyperlink ref="C111" r:id="rId275" xr:uid="{B25D6400-DEA3-4561-B193-B2583498DD99}"/>
    <hyperlink ref="C110" r:id="rId276" xr:uid="{126ED35F-D086-457D-B886-0CD3EA2BF32A}"/>
    <hyperlink ref="C114" r:id="rId277" xr:uid="{A8648CEE-C809-44CA-81C7-C369F4430E2F}"/>
    <hyperlink ref="C113" r:id="rId278" xr:uid="{39DB4C50-9BD8-42B1-BC35-49472233DB6C}"/>
    <hyperlink ref="C109" r:id="rId279" xr:uid="{CC7D91D9-5AFD-4C20-A458-39672DB3A71E}"/>
    <hyperlink ref="C112" r:id="rId280" xr:uid="{B52BAA51-EF7E-4D7C-9BAA-3B8349AF1878}"/>
    <hyperlink ref="C122" r:id="rId281" xr:uid="{C9F8FA27-3622-451D-BA58-33E2797451B7}"/>
    <hyperlink ref="B122" r:id="rId282" display="Papanatsiou2017" xr:uid="{D9014D75-7DB8-487B-9721-BD1B2566456D}"/>
    <hyperlink ref="C124" r:id="rId283" xr:uid="{FDAB1845-9C66-4AC1-9A0B-3A34ABCA62FF}"/>
    <hyperlink ref="C123" r:id="rId284" xr:uid="{E2DD733F-49A4-46C6-B31D-0A6DD991EF96}"/>
    <hyperlink ref="C125" r:id="rId285" xr:uid="{BD7A974E-4E08-4294-B713-BB122B3B01A0}"/>
    <hyperlink ref="C129" r:id="rId286" xr:uid="{88905BD6-C568-47DE-9289-A0144AEBEFDF}"/>
    <hyperlink ref="B129" r:id="rId287" display="Raissig2017" xr:uid="{AC7336A6-CAE9-4D9D-ADAD-3B022FE8834E}"/>
    <hyperlink ref="B126" r:id="rId288" display="Pearcy1990" xr:uid="{57727533-20CE-4549-9854-757974FF4230}"/>
    <hyperlink ref="B134" r:id="rId289" display="Soleh2017" xr:uid="{1CEACA22-6CD8-48D2-97F5-125619A7174C}"/>
    <hyperlink ref="B155" r:id="rId290" display="Taylor2017" xr:uid="{C7D2CD0E-02EB-4301-81AA-DFE6C68B6D30}"/>
    <hyperlink ref="B177" r:id="rId291" display="Wachendorf2017" xr:uid="{158651F4-16D5-41D6-9C5D-FAB29A78C799}"/>
    <hyperlink ref="C184" r:id="rId292" xr:uid="{6151F24F-2273-4034-87F6-0DC6B5AC1FA0}"/>
    <hyperlink ref="AE184" r:id="rId293" display="T" xr:uid="{A47791E5-E432-481E-A86A-E237756838E9}"/>
    <hyperlink ref="C180" r:id="rId294" xr:uid="{5D40CE9B-4530-4E5F-92DB-BF29357EB9C3}"/>
    <hyperlink ref="C178" r:id="rId295" xr:uid="{049FE49D-65C4-46FD-BF5E-C26A8BC88325}"/>
    <hyperlink ref="C182" r:id="rId296" xr:uid="{DFD12496-5E0B-4034-8DDF-39A410F2E698}"/>
    <hyperlink ref="C209" r:id="rId297" xr:uid="{7552660A-D3FA-4674-B1B7-97CD7C19633D}"/>
    <hyperlink ref="C210" r:id="rId298" xr:uid="{E347C01D-F237-4A75-888B-A1023B20315F}"/>
    <hyperlink ref="C212" r:id="rId299" xr:uid="{64E5DA4F-0FB7-4CD5-BE08-E7B3113C581E}"/>
    <hyperlink ref="C208" r:id="rId300" xr:uid="{0FBEBBE1-79F2-436A-90A6-EC520EA0C5F5}"/>
    <hyperlink ref="C211" r:id="rId301" xr:uid="{75E457A5-C4B1-4089-AE5E-8749510CCC8A}"/>
    <hyperlink ref="C213" r:id="rId302" xr:uid="{66FB6F9E-1DB1-484B-9E27-C00A6F1F44C6}"/>
    <hyperlink ref="C204" r:id="rId303" xr:uid="{BEB2D9B5-B304-467A-9B92-F752C4C7ECBB}"/>
    <hyperlink ref="C205" r:id="rId304" xr:uid="{9A5070DA-A02E-45D6-B891-D0811D9C5524}"/>
    <hyperlink ref="B202" r:id="rId305" display="Zhang2009" xr:uid="{C8EF091F-2DFE-4426-80A0-5BD58A9C00FE}"/>
    <hyperlink ref="C202" r:id="rId306" xr:uid="{A04E026B-0CF2-4296-B35A-FE83D7ACEE9B}"/>
    <hyperlink ref="C203" r:id="rId307" xr:uid="{237D807B-B2CB-4058-AA44-D8257B5C15D2}"/>
    <hyperlink ref="C207" r:id="rId308" xr:uid="{C5BA1EB6-CC3B-4419-807B-CBB83796AE44}"/>
    <hyperlink ref="C206" r:id="rId309" display="Ficus auriculata" xr:uid="{73471168-4609-44B4-B829-6C3665C44D74}"/>
    <hyperlink ref="B70" r:id="rId310" display="Kaiser2018" xr:uid="{52A31DF7-DF72-4A5D-B29C-B9C143C96959}"/>
    <hyperlink ref="B188" r:id="rId311" display="Xiong2018" xr:uid="{7088F741-3EE7-404A-A824-D64E53BD1680}"/>
    <hyperlink ref="C25" r:id="rId312" xr:uid="{620E9FE6-1F0E-4524-A1EE-13C6F066F680}"/>
    <hyperlink ref="C28" r:id="rId313" xr:uid="{BE7D4CB7-2440-45E0-88A0-9992A376743B}"/>
    <hyperlink ref="B15" r:id="rId314" display="Deans2019" xr:uid="{636B6026-1F3E-4E08-8002-B579B2BD7145}"/>
    <hyperlink ref="C16" r:id="rId315" xr:uid="{6AE62729-0576-4FD0-9454-BDB0B13F7E6F}"/>
    <hyperlink ref="B47" r:id="rId316" display="Faralli2019" xr:uid="{7DCC84E7-CA27-4630-85BF-5D382CEB7AF8}"/>
    <hyperlink ref="C48" r:id="rId317" xr:uid="{89DE1606-E801-4B8B-B7EC-1D1C69C8797C}"/>
    <hyperlink ref="AE48" r:id="rId318" display="T" xr:uid="{49A02365-7152-499D-8D2B-D545282BCD0D}"/>
    <hyperlink ref="C49" r:id="rId319" xr:uid="{10C40B07-A6A0-4824-A591-2EEC083EB756}"/>
    <hyperlink ref="AE49" r:id="rId320" display="T" xr:uid="{E178E686-C081-4C0F-B2CE-F3E237E11975}"/>
    <hyperlink ref="C51" r:id="rId321" xr:uid="{4B93BC50-1791-4B19-B4C8-D8C72110254B}"/>
    <hyperlink ref="AE51" r:id="rId322" display="T" xr:uid="{3B5B2748-78C9-4108-9C5F-59B4AD076D8E}"/>
    <hyperlink ref="C52" r:id="rId323" xr:uid="{7B632042-6675-4A70-9B0F-B1C29AF7B3EA}"/>
    <hyperlink ref="AE52" r:id="rId324" display="T" xr:uid="{5C6EA1DB-8147-45EB-9103-DE75DDA42D87}"/>
    <hyperlink ref="C53" r:id="rId325" xr:uid="{3F9788C3-E489-4C5B-9477-D9C7D5B01CDF}"/>
    <hyperlink ref="AE53" r:id="rId326" display="T" xr:uid="{378D90D9-EDEE-4DAA-BF1E-3F68C623F18F}"/>
    <hyperlink ref="C54" r:id="rId327" xr:uid="{86D0FFA6-0309-4274-BC13-1964A934B095}"/>
    <hyperlink ref="AE54" r:id="rId328" display="T" xr:uid="{A088B821-D8B7-49CF-B6AC-BDCF31F9FFCD}"/>
    <hyperlink ref="B79" r:id="rId329" display="Knapp1994" xr:uid="{E44B85D5-3FCD-42C4-94CB-679D763EA3F3}"/>
    <hyperlink ref="AE79" r:id="rId330" display="T" xr:uid="{99703B8E-8E37-4442-84A6-9F64369FC457}"/>
    <hyperlink ref="C79" r:id="rId331" xr:uid="{B6EEAFDF-04A4-487A-BADD-1CF9D46DBDE1}"/>
    <hyperlink ref="Y79" r:id="rId332" display="https://clevercarbon.io/ppm/" xr:uid="{70A4C998-5DA7-46DC-A482-19039F2DF5F6}"/>
    <hyperlink ref="B80" r:id="rId333" display="Knapp1994" xr:uid="{B5A3FEAF-148C-47F7-9A39-86137363E5F2}"/>
    <hyperlink ref="AE80" r:id="rId334" display="T" xr:uid="{03B62D66-09EA-480F-811E-A1A5D407A8A0}"/>
    <hyperlink ref="C80" r:id="rId335" xr:uid="{DA58E7E3-25FB-482A-89B6-A0141FD6BC8C}"/>
    <hyperlink ref="B6:B19" r:id="rId336" display="Deans2019" xr:uid="{989CA5AB-DC2E-437D-BA8C-8EF371E2DBA9}"/>
    <hyperlink ref="B30:B36" r:id="rId337" display="Faralli2019" xr:uid="{0347DC49-46DB-4A44-8188-39B6E9949F9C}"/>
    <hyperlink ref="B57" r:id="rId338" display="Horton1998" xr:uid="{2D48EFE0-CFE7-4819-80F6-E0DBCF88DD53}"/>
    <hyperlink ref="B41:B46" r:id="rId339" display="Kaiser2017" xr:uid="{0B6E51C6-CF61-4A21-92D5-B8A164869E1F}"/>
    <hyperlink ref="B69" r:id="rId340" display="Kaiser2017" xr:uid="{53082B83-8CBB-41E8-A74B-4DFFE06AEF10}"/>
    <hyperlink ref="B49:B50" r:id="rId341" display="Kaiser2017" xr:uid="{EBB16F90-2464-405B-B076-C522743C3C09}"/>
    <hyperlink ref="B52:B55" r:id="rId342" display="Kaiser2018" xr:uid="{896BBCBD-B3B9-4A1C-921A-B826564DC5FC}"/>
    <hyperlink ref="B59:B72" r:id="rId343" display="McAusland2016" xr:uid="{1726C452-9537-44D3-9329-14395CEA9AC1}"/>
    <hyperlink ref="B74:B82" r:id="rId344" display="Meinzer2017" xr:uid="{A69120A6-D449-408D-B8C5-E7C38179C9CB}"/>
    <hyperlink ref="B84:B86" r:id="rId345" display="Papanatsiou2017" xr:uid="{9017FBF4-136F-4173-B34D-6E5DF32B41E8}"/>
    <hyperlink ref="B128" r:id="rId346" display="Qu2016" xr:uid="{18DB6E23-D830-4F12-BA5A-B3051D9DA15C}"/>
    <hyperlink ref="B135" r:id="rId347" display="Soleh2017" xr:uid="{F46F81DA-80FA-4F2A-B7DF-507A293A0C27}"/>
    <hyperlink ref="B160" r:id="rId348" display="Tinoco-Ojanguren1993" xr:uid="{887EE1E0-5329-4771-872D-8FFF5A2529AD}"/>
    <hyperlink ref="B172" r:id="rId349" display="Valladares1997" xr:uid="{2020FDC7-2997-405C-AC0C-8779E3489B78}"/>
    <hyperlink ref="B99:B101" r:id="rId350" display="Vialet-Chabrand2013" xr:uid="{1512EA35-C7C1-4279-BFDC-C633062803B0}"/>
    <hyperlink ref="B103:B109" r:id="rId351" display="Wachendorf2017" xr:uid="{607D5456-4BB7-4244-8080-E7CE45A8BDE6}"/>
    <hyperlink ref="B111:B119" r:id="rId352" display="Xiong2018" xr:uid="{2B252139-0970-4510-8C51-7703F5F0AA3C}"/>
    <hyperlink ref="B121:B131" r:id="rId353" display="Zhang2009" xr:uid="{9FDDD6A2-63D0-466E-9E07-13F9B03696D2}"/>
    <hyperlink ref="B119" r:id="rId354" xr:uid="{AAE5F0F7-C80C-4289-BACF-CE6ADCA616CF}"/>
    <hyperlink ref="B118" r:id="rId355" xr:uid="{3980C511-8492-43B3-8C67-90AB696EBB50}"/>
    <hyperlink ref="B121" r:id="rId356" xr:uid="{4FF9F574-35B8-4AA7-9F53-52184D4A110D}"/>
    <hyperlink ref="B120" r:id="rId357" xr:uid="{52D0C5B2-986F-46BE-98C5-A064F6D3549D}"/>
    <hyperlink ref="B117" r:id="rId358" xr:uid="{1EF7E8D5-6555-46D4-BC8A-8BBEAC26860A}"/>
    <hyperlink ref="Y117" r:id="rId359" display="https://clevercarbon.io/ppm/" xr:uid="{60AA076C-B9A0-4E18-AB4F-E67EBBC9AB8D}"/>
    <hyperlink ref="Y118" r:id="rId360" display="https://clevercarbon.io/ppm/" xr:uid="{069378E3-AC71-40DA-BE45-93E5BD01AA96}"/>
    <hyperlink ref="Y119" r:id="rId361" display="https://clevercarbon.io/ppm/" xr:uid="{640EBC76-7064-49BD-93E9-73EB834E5CA0}"/>
    <hyperlink ref="Y120" r:id="rId362" display="https://clevercarbon.io/ppm/" xr:uid="{CBD40E23-7FCE-44F3-A81F-6F01565886DF}"/>
    <hyperlink ref="Y121" r:id="rId363" display="https://clevercarbon.io/ppm/" xr:uid="{D5B99B04-0B44-47D4-92F5-F044967254ED}"/>
    <hyperlink ref="B166" r:id="rId364" xr:uid="{B1686E73-223E-4927-A3B0-BF13CA2DF426}"/>
    <hyperlink ref="C166" r:id="rId365" xr:uid="{4C3A3396-F7A9-4F34-B724-A2F41B965E73}"/>
    <hyperlink ref="B164" r:id="rId366" xr:uid="{800C490E-0FC1-496A-B36E-081DF4CE9368}"/>
    <hyperlink ref="C164" r:id="rId367" xr:uid="{626DE8CB-40B4-4DAA-8001-218F3FC2D7EE}"/>
    <hyperlink ref="B170" r:id="rId368" xr:uid="{81395018-9013-45A2-AEF5-7AB852329F79}"/>
    <hyperlink ref="C170" r:id="rId369" xr:uid="{0B0876E8-F480-41D7-8204-1E8CCBE0BFB7}"/>
    <hyperlink ref="B162" r:id="rId370" xr:uid="{14914F05-445F-4651-A947-9B60C2288E3B}"/>
    <hyperlink ref="C162" r:id="rId371" xr:uid="{284F9289-6AFC-4DC8-A1D9-37B6E9A0762B}"/>
    <hyperlink ref="B168" r:id="rId372" xr:uid="{A2906507-8631-42C0-AAC5-F59B5ABF0A40}"/>
    <hyperlink ref="C168" r:id="rId373" xr:uid="{4845C52D-F565-4D69-916D-871985E79D72}"/>
    <hyperlink ref="B165" r:id="rId374" xr:uid="{E345D0F0-B9B1-4DEC-B4C0-B8993EDDEC03}"/>
    <hyperlink ref="C165" r:id="rId375" xr:uid="{27FCC364-9B4A-4DAE-84D2-E5C83561CD39}"/>
    <hyperlink ref="B163" r:id="rId376" xr:uid="{2DB2B3BF-9F63-416A-989E-CEE11B3A4A47}"/>
    <hyperlink ref="C163" r:id="rId377" xr:uid="{D5B09939-9FD1-4984-861D-FE469BD8583F}"/>
    <hyperlink ref="B169" r:id="rId378" xr:uid="{9FF47F16-9EF1-42BF-BD75-D1C6BB384485}"/>
    <hyperlink ref="C169" r:id="rId379" xr:uid="{6116ADB9-7B69-49C3-911D-079C53C0EE32}"/>
    <hyperlink ref="B161" r:id="rId380" xr:uid="{E5B05BA0-B6B0-460A-9713-5A7B4C31272F}"/>
    <hyperlink ref="C161" r:id="rId381" xr:uid="{AF629A96-8707-4F3A-9BE2-D3CCA9E4DD42}"/>
    <hyperlink ref="B167" r:id="rId382" xr:uid="{C0BB0AD4-152D-4AAD-956D-F59B55D1B5F2}"/>
    <hyperlink ref="C167" r:id="rId383" xr:uid="{2011973C-91AF-420A-9B91-9117D03BAADE}"/>
    <hyperlink ref="B55" r:id="rId384" xr:uid="{A594B3B7-54D7-4416-B745-C4FD1920C856}"/>
    <hyperlink ref="C55" r:id="rId385" xr:uid="{1A1FFAC2-BA39-468C-BFB9-DDB993216C59}"/>
    <hyperlink ref="Y55" r:id="rId386" display="https://clevercarbon.io/ppm/" xr:uid="{C18EC9F5-8EE2-4A62-B3AA-51FC3F608D31}"/>
    <hyperlink ref="B37" r:id="rId387" xr:uid="{8DC31807-3A5A-40C1-A2A1-82E1B34F3376}"/>
    <hyperlink ref="B38" r:id="rId388" xr:uid="{D6B15411-AFDF-4CBF-A92D-D7C74FBE64B8}"/>
    <hyperlink ref="B39" r:id="rId389" xr:uid="{1B382775-2DAA-429C-96E1-B46EBCD0E665}"/>
    <hyperlink ref="B40" r:id="rId390" xr:uid="{856CDAB7-91BF-417C-B946-3A8CCDC6E5ED}"/>
    <hyperlink ref="B41" r:id="rId391" xr:uid="{E1EE2B02-4595-4916-B42A-DBF13EC4B1EF}"/>
    <hyperlink ref="C228" r:id="rId392" xr:uid="{3ACF6068-8D36-46CC-B1BF-7AF5F654B606}"/>
    <hyperlink ref="AE228" r:id="rId393" display="T" xr:uid="{12FE229A-EB85-43A1-B190-344609A2E3C5}"/>
    <hyperlink ref="B228" r:id="rId394" xr:uid="{6FABE509-F58F-40D7-A32C-D7F0F296B88C}"/>
    <hyperlink ref="C225" r:id="rId395" xr:uid="{5F021200-0345-404C-9B2E-9A64DCEE7E27}"/>
    <hyperlink ref="AE225" r:id="rId396" display="T" xr:uid="{CCE13C8F-75BA-4CEA-B5CA-7CD020F21E1B}"/>
    <hyperlink ref="B225" r:id="rId397" xr:uid="{16082C24-33C0-4145-8268-5EE1A80D46BF}"/>
    <hyperlink ref="C229" r:id="rId398" xr:uid="{B5930686-D581-4722-806B-F24053FD6AAA}"/>
    <hyperlink ref="AE229" r:id="rId399" display="T" xr:uid="{878DA1DE-8CE7-48CC-93A2-D756A1C01CFE}"/>
    <hyperlink ref="B229" r:id="rId400" xr:uid="{8D13A58E-DC22-4B2B-8038-A0EF3C69BF8D}"/>
    <hyperlink ref="C222" r:id="rId401" xr:uid="{2CD14F02-79EC-4B99-8E58-2325C37D135E}"/>
    <hyperlink ref="AE222" r:id="rId402" display="T" xr:uid="{023068A0-85AC-49A5-943C-ED2036FF6EE3}"/>
    <hyperlink ref="B222" r:id="rId403" xr:uid="{DF20A897-7A12-4955-A591-6691D4B2D5C8}"/>
    <hyperlink ref="C224" r:id="rId404" xr:uid="{3CB1F57B-401C-4439-ACD5-35212DB28789}"/>
    <hyperlink ref="AE224" r:id="rId405" display="T" xr:uid="{1DE5F758-AEC0-4816-8016-A7676B6AC562}"/>
    <hyperlink ref="B224" r:id="rId406" xr:uid="{A3D1D0D3-79B6-4EED-8990-AD113852FCC1}"/>
    <hyperlink ref="C226" r:id="rId407" xr:uid="{374E6393-48EB-461E-85C6-E15FAF9289B4}"/>
    <hyperlink ref="AE226" r:id="rId408" display="T" xr:uid="{DA1D6111-D3B6-43AF-BB6F-FDE25D4B6F1F}"/>
    <hyperlink ref="B226" r:id="rId409" xr:uid="{E0DDA816-FFA7-42B8-98B8-437EB952A606}"/>
    <hyperlink ref="C227" r:id="rId410" xr:uid="{FB039904-348C-42AC-A614-0F0E65D21C41}"/>
    <hyperlink ref="AE227" r:id="rId411" display="T" xr:uid="{5DAC6A66-05B3-4DD4-8D47-75896C790670}"/>
    <hyperlink ref="B227" r:id="rId412" xr:uid="{250AD707-D1A3-46C5-8887-17DC1100D917}"/>
    <hyperlink ref="C223" r:id="rId413" xr:uid="{5692D8D7-D758-4ACE-A42D-9D34CD3C51D8}"/>
    <hyperlink ref="AE223" r:id="rId414" display="T" xr:uid="{624354D8-42CC-4C3D-8954-DAD71F44370C}"/>
    <hyperlink ref="B223" r:id="rId415" xr:uid="{B0B33556-A991-4CBA-A731-C62D8F669ED5}"/>
    <hyperlink ref="C215" r:id="rId416" xr:uid="{04AB3AE8-D392-457B-8122-60A8A7603C20}"/>
    <hyperlink ref="AE215" r:id="rId417" display="T" xr:uid="{E5C54358-7D7A-49FE-842E-A3E30A731315}"/>
    <hyperlink ref="B215" r:id="rId418" xr:uid="{8FD9725A-BBBD-4207-A9CD-7BA76BE190A0}"/>
    <hyperlink ref="C218" r:id="rId419" xr:uid="{61FCB38B-3354-4700-9F8F-C0C507CD7E38}"/>
    <hyperlink ref="AE218" r:id="rId420" display="T" xr:uid="{FE2D3642-3DCA-4F64-BAB1-7AF35ECDF240}"/>
    <hyperlink ref="B218" r:id="rId421" xr:uid="{762475E0-4B39-47AB-9A89-5053DEE8B16B}"/>
    <hyperlink ref="C216" r:id="rId422" display="Oryza latifolia" xr:uid="{CDDBE9B4-C402-4907-BE9E-D4A6EF87A46F}"/>
    <hyperlink ref="AE216" r:id="rId423" display="T" xr:uid="{E120A90C-D60C-4A00-B74D-82D744CB0BF8}"/>
    <hyperlink ref="B216" r:id="rId424" xr:uid="{DDF777A3-C043-4675-BFC5-D9800FCDC88D}"/>
    <hyperlink ref="C217" r:id="rId425" xr:uid="{F75FF35F-859B-4AF0-860C-7D119A9AA977}"/>
    <hyperlink ref="AE217" r:id="rId426" display="T" xr:uid="{FE57D37B-05A9-47E1-8868-A536B3C7DFAE}"/>
    <hyperlink ref="B217" r:id="rId427" xr:uid="{F19635C7-8681-4CBD-8258-68EEDE6F9296}"/>
    <hyperlink ref="C214" r:id="rId428" xr:uid="{2BDA51D3-5FCF-4B64-ADF7-E482C4CC1B02}"/>
    <hyperlink ref="AE214" r:id="rId429" display="T" xr:uid="{CF58C3C4-4DBB-46AA-9312-8AFA9E38B8E0}"/>
    <hyperlink ref="B214" r:id="rId430" xr:uid="{84F6B920-44DC-4C94-AF94-8C1F66AE1F48}"/>
    <hyperlink ref="C220" r:id="rId431" xr:uid="{A4760B91-DDDF-4266-A65A-B0E3D967ADA1}"/>
    <hyperlink ref="AE220" r:id="rId432" display="T" xr:uid="{AE4A76F3-E082-42EF-A00A-0960F0202505}"/>
    <hyperlink ref="B220" r:id="rId433" xr:uid="{9384626F-8878-4964-8015-A1CEAFE53116}"/>
    <hyperlink ref="C221" r:id="rId434" display="Oryza minuta" xr:uid="{9202902F-1A36-44F3-ADFE-3124EC256E57}"/>
    <hyperlink ref="AE221" r:id="rId435" display="T" xr:uid="{43E4DBC2-7309-404D-8DB4-52A36CA4D1C6}"/>
    <hyperlink ref="B221" r:id="rId436" xr:uid="{66B56FFE-26C3-4DCA-9609-4538070B8F71}"/>
    <hyperlink ref="C219" r:id="rId437" xr:uid="{84A258C1-E7AB-471C-93FD-BF4D0D476C58}"/>
    <hyperlink ref="AE219" r:id="rId438" display="T" xr:uid="{2CB1C1D8-B6A1-42ED-9922-8F5ED46C83AA}"/>
    <hyperlink ref="B219" r:id="rId439" xr:uid="{8FA36BE5-1CBC-4ACF-9004-A17697ED9431}"/>
    <hyperlink ref="C268" r:id="rId440" xr:uid="{30AA4ABD-6359-4DC0-BD64-98AA2A3F4AFB}"/>
    <hyperlink ref="B268" r:id="rId441" xr:uid="{43BC6599-BCCF-457E-91FA-6FF98EAFEDB4}"/>
    <hyperlink ref="B21:B23" r:id="rId442" display="Doi2006" xr:uid="{CD70CB5E-F692-4AC2-9C8C-A543CD80EC9A}"/>
    <hyperlink ref="C267" r:id="rId443" xr:uid="{3F82D7CB-7B15-48B0-96D6-49014593B138}"/>
    <hyperlink ref="B267" r:id="rId444" xr:uid="{2CBF2103-3B01-41DF-8C1B-EF7099ED6AB6}"/>
    <hyperlink ref="C270" r:id="rId445" xr:uid="{25F786B3-BE2B-4209-95D5-DDBE3C5E32ED}"/>
    <hyperlink ref="B270" r:id="rId446" xr:uid="{37AF989D-4614-4DD4-B81C-547237FE217A}"/>
    <hyperlink ref="C271" r:id="rId447" xr:uid="{1DDE1F69-A7E0-4561-AB1E-32F2B444B4F9}"/>
    <hyperlink ref="B271" r:id="rId448" xr:uid="{7B734BEC-0181-4D6B-8535-1391B8446F3F}"/>
    <hyperlink ref="C269" r:id="rId449" xr:uid="{120869CF-3238-4DD0-B417-D659412C39E7}"/>
    <hyperlink ref="B269" r:id="rId450" xr:uid="{AFA0BE50-E6BD-4255-ADA9-40C2CFF6144C}"/>
    <hyperlink ref="B11" r:id="rId451" xr:uid="{4226D99F-9B08-4450-8688-5DA444AB390C}"/>
    <hyperlink ref="B12" r:id="rId452" xr:uid="{6302258F-37D6-45E0-9406-244460BE932F}"/>
    <hyperlink ref="Y126" r:id="rId453" display="https://clevercarbon.io/ppm/" xr:uid="{BD003C2E-A84C-4823-AC97-AB3384F154BA}"/>
    <hyperlink ref="Y171" r:id="rId454" display="https://clevercarbon.io/ppm/" xr:uid="{6C7C2B50-6CF8-4939-BF18-13B63EF7F0A3}"/>
    <hyperlink ref="Y172" r:id="rId455" display="https://clevercarbon.io/ppm/" xr:uid="{1963C090-0F1D-4A83-B355-6891499536B5}"/>
    <hyperlink ref="B90" r:id="rId456" xr:uid="{91A54DD1-4433-4485-89BE-EC63EA623998}"/>
    <hyperlink ref="B89" r:id="rId457" xr:uid="{E4351878-4FE0-40A4-911B-E5F89EA8C1F2}"/>
    <hyperlink ref="B81" r:id="rId458" xr:uid="{D3EEBF73-81C6-4BD4-B6E9-1C5C37A255AA}"/>
    <hyperlink ref="B130" r:id="rId459" xr:uid="{23AB0B9D-CC58-47B7-887A-DC01AC0C97D4}"/>
    <hyperlink ref="B131" r:id="rId460" xr:uid="{5ECB36A2-9283-4ECB-998A-A93F4B32702F}"/>
    <hyperlink ref="B156" r:id="rId461" xr:uid="{ACA9A6B3-87A1-4769-A768-9D609FA0CEFB}"/>
    <hyperlink ref="B157" r:id="rId462" xr:uid="{F1B5E095-9722-4F5D-9E44-F866579DA7F8}"/>
    <hyperlink ref="B158" r:id="rId463" xr:uid="{8BBA6799-4FDC-470B-81F7-0156CF218FE6}"/>
    <hyperlink ref="B9" r:id="rId464" xr:uid="{F66AC74D-175C-4F9E-9331-51891C3F2F8F}"/>
    <hyperlink ref="C9" r:id="rId465" xr:uid="{F4004CD0-94A1-4C35-BC9F-1104281F001E}"/>
    <hyperlink ref="Y9" r:id="rId466" display="https://clevercarbon.io/ppm/" xr:uid="{4A1DC8D3-B6AA-4416-95BF-11854111A1D4}"/>
    <hyperlink ref="AE10" r:id="rId467" display="T" xr:uid="{17032303-3990-44AD-8AF7-277F13B1AE42}"/>
    <hyperlink ref="B10" r:id="rId468" xr:uid="{D623A770-5E74-4CC4-B1C0-4FE6A7A4D797}"/>
    <hyperlink ref="C10" r:id="rId469" xr:uid="{1EF6FA2A-92EC-4B25-892C-92D9D8E79F98}"/>
    <hyperlink ref="Y10" r:id="rId470" display="https://clevercarbon.io/ppm/" xr:uid="{FC260014-64C7-4DCC-AC47-63F0819D0E8F}"/>
    <hyperlink ref="B142" r:id="rId471" xr:uid="{94F1A8A7-215F-468F-8273-77E31F108CAA}"/>
    <hyperlink ref="B143" r:id="rId472" xr:uid="{E3BA2F82-35E6-4DC3-8FE6-ADDEDC9EC51A}"/>
    <hyperlink ref="B144" r:id="rId473" xr:uid="{13FF1F68-E229-4A2B-9B9B-281A6308F1EE}"/>
    <hyperlink ref="B145" r:id="rId474" xr:uid="{DF1B1FF3-0781-4ADE-ABB3-4DD74CB622B3}"/>
    <hyperlink ref="C139" r:id="rId475" xr:uid="{7C997519-2211-488D-8F7C-15AA69212991}"/>
    <hyperlink ref="C138" r:id="rId476" xr:uid="{85E12D86-11F9-4E44-AAC5-1490A2520619}"/>
    <hyperlink ref="C141" r:id="rId477" xr:uid="{97B9EA5A-6A78-49E7-8610-C72B6ED2842E}"/>
    <hyperlink ref="C140" r:id="rId478" xr:uid="{1429C907-0376-4B22-95C9-203DD96958CA}"/>
    <hyperlink ref="AE141" r:id="rId479" xr:uid="{C36A4BE6-B4A7-4D54-A08B-F05749A2A27A}"/>
    <hyperlink ref="AE140" r:id="rId480" xr:uid="{E8E45F8A-FCB9-4ED0-B99B-721683C926E2}"/>
    <hyperlink ref="AE139" r:id="rId481" xr:uid="{BE796DD1-3D01-40ED-8D1F-ACBA284DDECA}"/>
    <hyperlink ref="AE138" r:id="rId482" xr:uid="{22FAB56B-BA71-4B8C-BF40-82D23E2F445E}"/>
    <hyperlink ref="B138" r:id="rId483" xr:uid="{D8E63932-F56D-4D00-B554-CE06E2CD3082}"/>
    <hyperlink ref="B139" r:id="rId484" xr:uid="{2E962073-9BC9-47D5-855F-B01AAD3A7CDE}"/>
    <hyperlink ref="B140" r:id="rId485" xr:uid="{B53BE95A-975B-4942-88CD-03AC964738BA}"/>
    <hyperlink ref="B141" r:id="rId486" xr:uid="{6BE517EC-289B-4FD3-B742-313B8B1B83A4}"/>
    <hyperlink ref="B240" r:id="rId487" xr:uid="{5AA38815-C45D-4F95-A1B5-E795D1242D69}"/>
    <hyperlink ref="B199:B209" r:id="rId488" display="Zhang2022Variation" xr:uid="{055339EB-F3CC-4189-BE4B-B76127C89C56}"/>
    <hyperlink ref="C258" r:id="rId489" xr:uid="{57C6958B-AC8F-469F-8F1F-3072D5812C47}"/>
    <hyperlink ref="AE258" r:id="rId490" display="T" xr:uid="{0AD0A6F8-DC95-445F-B26D-37A8FF0419F6}"/>
    <hyperlink ref="B258" r:id="rId491" xr:uid="{7734A19A-DE9F-428B-B953-00DB7C19C5FC}"/>
    <hyperlink ref="B136" r:id="rId492" xr:uid="{CF97523B-DB8F-4A24-8FD2-6AB5F731AE11}"/>
    <hyperlink ref="C137" r:id="rId493" xr:uid="{09DC4B48-01D4-4F96-AA54-45071D78CE88}"/>
    <hyperlink ref="B137" r:id="rId494" xr:uid="{944CF7DD-C482-4D13-95EC-3790A05709B2}"/>
    <hyperlink ref="B265" r:id="rId495" xr:uid="{D840DEAE-4748-451E-A005-2803E369A1FB}"/>
    <hyperlink ref="C261" r:id="rId496" xr:uid="{24BE6831-7215-4B0A-B87C-4A999D9309A1}"/>
    <hyperlink ref="B261" r:id="rId497" xr:uid="{9D5FE727-EA98-4666-B897-D6A93780A288}"/>
    <hyperlink ref="B224:B226" r:id="rId498" display="Zheng2022Shortterm" xr:uid="{6C6DF47C-BD0D-4183-8118-5CD1A11D5E93}"/>
    <hyperlink ref="C224:C226" r:id="rId499" display="Amaranthus tricolor" xr:uid="{A4627578-0E46-43CA-A153-1F2FCDC2C45D}"/>
    <hyperlink ref="B42" r:id="rId500" xr:uid="{72105DBC-EAF0-455E-BAD4-B8C9D8ADDEA9}"/>
    <hyperlink ref="B228:B231" r:id="rId501" display="Eyland2021impact" xr:uid="{38AD7DD1-E329-47BA-9C8C-532AF0F16608}"/>
    <hyperlink ref="C231" r:id="rId502" xr:uid="{76B20C9C-C18B-41D7-B008-A0356922C3B5}"/>
    <hyperlink ref="AE231" r:id="rId503" display="T" xr:uid="{FC8A21E9-56C8-48A5-9E27-246B8F0FF422}"/>
    <hyperlink ref="B231" r:id="rId504" xr:uid="{31B00DAD-6287-48DF-B992-E892561B0EB1}"/>
    <hyperlink ref="C233" r:id="rId505" xr:uid="{DA7F2623-815A-474C-92D5-52B4B6AC57A0}"/>
    <hyperlink ref="AE233" r:id="rId506" display="T" xr:uid="{EABB570E-54E4-4E33-B47E-8253593DA114}"/>
    <hyperlink ref="B233" r:id="rId507" xr:uid="{4800DF9A-8382-4EB1-ADC1-A7B8BCD483AC}"/>
    <hyperlink ref="C230" r:id="rId508" xr:uid="{4589CFBA-B034-4DAA-9E59-7E6B60B36D9D}"/>
    <hyperlink ref="AE230" r:id="rId509" display="T" xr:uid="{01D998B5-EE32-4740-933C-29340D6E7D28}"/>
    <hyperlink ref="B230" r:id="rId510" xr:uid="{2AFB5948-E654-4E3E-BCFD-71777815F8A8}"/>
    <hyperlink ref="C232" r:id="rId511" xr:uid="{65E94A3F-E82E-44DD-A047-5B9949B8CB62}"/>
    <hyperlink ref="AE232" r:id="rId512" display="T" xr:uid="{1066B518-EC87-496B-BA3D-D9E74F54E095}"/>
    <hyperlink ref="B232" r:id="rId513" xr:uid="{59F7499B-D64E-4CD2-97D7-519500BEBE80}"/>
    <hyperlink ref="B31" r:id="rId514" xr:uid="{322DA436-820D-449B-BBE3-8BE3667AABF7}"/>
    <hyperlink ref="B32" r:id="rId515" xr:uid="{97D0966D-C946-4B67-9316-11F22033C5BF}"/>
    <hyperlink ref="C30" r:id="rId516" xr:uid="{3E4A1EAA-4F00-415F-9FEB-7C19FDB87663}"/>
    <hyperlink ref="AE30" r:id="rId517" display="T" xr:uid="{C1E2957D-3FDD-4CA1-8B9C-7ED406080B41}"/>
    <hyperlink ref="B30" r:id="rId518" xr:uid="{19297C3B-7C41-4037-A0B5-6DBD5128062D}"/>
    <hyperlink ref="B151" r:id="rId519" xr:uid="{8DC2F101-4414-40C5-91DD-B93C47426BC0}"/>
    <hyperlink ref="B239" r:id="rId520" xr:uid="{87361EF9-1E9E-4B23-8156-48AAE356DC1A}"/>
    <hyperlink ref="C236" r:id="rId521" xr:uid="{5DCD56CA-5ABC-4D73-9948-A8FC5A1C70A2}"/>
    <hyperlink ref="AE236" r:id="rId522" display="T" xr:uid="{4922B22A-9652-4262-AE49-C8B464F334EA}"/>
    <hyperlink ref="B236" r:id="rId523" xr:uid="{D5464E5B-C0E2-42D3-802A-CED042290261}"/>
    <hyperlink ref="C237" r:id="rId524" xr:uid="{C0B0FE01-9CB3-4AD8-BBE3-C053501B81AF}"/>
    <hyperlink ref="AE237" r:id="rId525" display="T" xr:uid="{B0D24699-4985-45FE-BDC3-0B6DEE53C30F}"/>
    <hyperlink ref="B237" r:id="rId526" xr:uid="{D3F7C94F-AC1C-4EF9-9280-86ACDA9B4489}"/>
    <hyperlink ref="C238" r:id="rId527" xr:uid="{A2B2C570-26CF-4060-ADF0-83644D29D5FC}"/>
    <hyperlink ref="AE238" r:id="rId528" display="T" xr:uid="{93AEFD05-D07D-41B0-870F-34AC471E087D}"/>
    <hyperlink ref="B238" r:id="rId529" xr:uid="{BA97405D-C0B1-45AE-93C2-A12F53D7380F}"/>
    <hyperlink ref="B234" r:id="rId530" xr:uid="{CACD5D4A-52DF-4A72-9115-6F196531F8E2}"/>
    <hyperlink ref="C235" r:id="rId531" xr:uid="{F317E438-A73F-48BB-9E4C-5A2191AC3DE1}"/>
    <hyperlink ref="AE235" r:id="rId532" display="T" xr:uid="{027A675B-AA97-4CEE-967E-B72E34374C6E}"/>
    <hyperlink ref="B235" r:id="rId533" xr:uid="{1646DC01-E0AC-49BD-9330-8A7B2FCB5388}"/>
    <hyperlink ref="B148" r:id="rId534" xr:uid="{68330499-5302-4D4F-B71B-4E0C539FB741}"/>
    <hyperlink ref="B149" r:id="rId535" xr:uid="{7A9013C2-227F-497A-974B-E07AEADAAE50}"/>
    <hyperlink ref="B150" r:id="rId536" xr:uid="{367836FF-EAE2-48B3-963B-914F13EA2EC9}"/>
    <hyperlink ref="B75" r:id="rId537" xr:uid="{A70DB8FE-4E03-40C5-AFCF-0666FF01A3A1}"/>
    <hyperlink ref="C77" r:id="rId538" xr:uid="{F7A8EF02-AC95-441A-B490-6DBEAC0B5A3A}"/>
    <hyperlink ref="AE77" r:id="rId539" display="T" xr:uid="{A7D9C8BD-C1D7-4674-8342-9E173444BF7E}"/>
    <hyperlink ref="B77" r:id="rId540" xr:uid="{4556C5FF-A3DE-4D62-8A34-29525F3FD64E}"/>
    <hyperlink ref="C76" r:id="rId541" xr:uid="{FF9EEF49-EE6B-428E-8E9C-851D9A5CF341}"/>
    <hyperlink ref="AE76" r:id="rId542" display="T" xr:uid="{6BDC82C1-B64E-49CF-9946-73CFD42351D3}"/>
    <hyperlink ref="B76" r:id="rId543" xr:uid="{56DE9346-6B24-48B8-B6CC-E1D17CF802DE}"/>
    <hyperlink ref="B132" r:id="rId544" xr:uid="{2DC6654C-8397-44B4-9B67-3A8E8F07BEE7}"/>
    <hyperlink ref="B133" r:id="rId545" xr:uid="{B03D64B9-8B3C-4E84-B68D-567E031533A2}"/>
    <hyperlink ref="C133" r:id="rId546" xr:uid="{F11575FD-3B1D-4FD0-B71C-EFAE5B7B8578}"/>
    <hyperlink ref="C187" r:id="rId547" xr:uid="{BDF5DE23-BE1F-406A-9D07-9B180646E8AF}"/>
    <hyperlink ref="C186" r:id="rId548" xr:uid="{74877B23-7BE5-484B-95C1-2F3808AA1561}"/>
    <hyperlink ref="C185" r:id="rId549" display="Rosa hybrida" xr:uid="{4E848B3A-5576-4E45-8853-6D9E59FF5198}"/>
    <hyperlink ref="B185" r:id="rId550" xr:uid="{67451C4B-B8F0-437D-8A5A-E303C073247B}"/>
    <hyperlink ref="B186" r:id="rId551" xr:uid="{1FD2665B-D322-4FBB-BECC-FDBE2FD7C6EE}"/>
    <hyperlink ref="B187" r:id="rId552" xr:uid="{ACBA68DB-1B0B-4192-8D49-66E5D9CC056F}"/>
    <hyperlink ref="B146" r:id="rId553" xr:uid="{56CB0288-6FA2-4D38-8D32-8EE3475D8DBA}"/>
    <hyperlink ref="B147" r:id="rId554" xr:uid="{945EE730-1197-4D50-8C85-0ADE8C9117ED}"/>
    <hyperlink ref="B201" r:id="rId555" xr:uid="{6058A1C4-035A-4A85-B65B-9E6D131D9601}"/>
    <hyperlink ref="B198" r:id="rId556" xr:uid="{3F441726-CA4E-48E9-9741-557CC739664D}"/>
    <hyperlink ref="B200" r:id="rId557" xr:uid="{2B3C1929-CEAF-444C-AB51-512CDE4431A0}"/>
    <hyperlink ref="C199" r:id="rId558" xr:uid="{2B6D8A47-65BD-47D2-8803-78319E7B17B3}"/>
    <hyperlink ref="AE199" r:id="rId559" display="T" xr:uid="{B8AA3D5E-0747-45EE-8CB6-0413752A9017}"/>
    <hyperlink ref="B199" r:id="rId560" xr:uid="{4FCCA22D-2214-44BD-B4D9-0789578F4F59}"/>
    <hyperlink ref="B7" r:id="rId561" xr:uid="{C4BC9998-BA94-4C1F-8C1D-1404D501C0A9}"/>
    <hyperlink ref="B8" r:id="rId562" xr:uid="{02B38804-8E8F-4E69-ABBA-7E6BBA3E1C0B}"/>
    <hyperlink ref="B3" r:id="rId563" xr:uid="{188C9A11-1648-4DED-83EF-BF4122B75B6A}"/>
    <hyperlink ref="B4" r:id="rId564" xr:uid="{304FC5D9-2231-448C-9745-9DACBB01F2DD}"/>
    <hyperlink ref="AE154" r:id="rId565" display="T" xr:uid="{4E307BB8-EE9C-4B29-9874-18EC916A0D92}"/>
    <hyperlink ref="AE152" r:id="rId566" display="T" xr:uid="{6DFB2EAC-E922-4B82-A0D6-66BEC027F820}"/>
    <hyperlink ref="AE153" r:id="rId567" display="T" xr:uid="{1BDFD85C-6930-4DE6-B64E-3B83D1C01580}"/>
    <hyperlink ref="C5" r:id="rId568" xr:uid="{59AD5243-C22A-4D75-86E8-1756F610A49C}"/>
    <hyperlink ref="B5" r:id="rId569" xr:uid="{FEE1BE0C-3036-4A65-AE31-E9D745486556}"/>
    <hyperlink ref="B6" r:id="rId570" xr:uid="{B0D42CF0-6631-4CC1-BEF9-DE4AA1BCD23F}"/>
    <hyperlink ref="C3" r:id="rId571" xr:uid="{92C48776-9FA7-4E67-9B0E-54E8067154A4}"/>
    <hyperlink ref="C4" r:id="rId572" xr:uid="{52695FE0-2B26-4DEE-9453-3AE6B9261673}"/>
    <hyperlink ref="C6" r:id="rId573" xr:uid="{8C470408-43C2-43F1-BD9C-8C068940B623}"/>
    <hyperlink ref="B152" r:id="rId574" xr:uid="{D58E3EB3-1E82-41C5-AF17-618279BE434D}"/>
    <hyperlink ref="B154" r:id="rId575" xr:uid="{D711C5B7-4317-46C3-92B6-A41B1C47C578}"/>
    <hyperlink ref="B153" r:id="rId576" xr:uid="{5CC53F47-4FB7-4973-9096-7578A0CEF2C5}"/>
    <hyperlink ref="C274" r:id="rId577" xr:uid="{6EF66A07-2236-44F2-BFFB-D0A16B600314}"/>
    <hyperlink ref="AE274" r:id="rId578" display="T" xr:uid="{778D09FF-081C-49D6-B400-71ECD8399D97}"/>
    <hyperlink ref="B274" r:id="rId579" xr:uid="{37F6C8B0-9CE2-414A-8719-D2B6B467E7ED}"/>
    <hyperlink ref="C276" r:id="rId580" xr:uid="{0BB0D604-C6AC-4DF1-8008-35DB4F607549}"/>
    <hyperlink ref="AE276" r:id="rId581" xr:uid="{F84ADE87-35A4-471F-B110-83A1EEFE6709}"/>
    <hyperlink ref="B276" r:id="rId582" xr:uid="{323F3A4A-AEB8-4657-9D90-694341B9D16E}"/>
    <hyperlink ref="C272" r:id="rId583" xr:uid="{5DFB9CF8-B59A-4AA9-8482-914CFF013524}"/>
    <hyperlink ref="B272" r:id="rId584" xr:uid="{A8C13163-D345-4C6E-9119-97ABD4053BA0}"/>
    <hyperlink ref="C273" r:id="rId585" xr:uid="{AA457A62-33FF-4D83-9C91-0647FB1FCF58}"/>
    <hyperlink ref="B273" r:id="rId586" xr:uid="{E15EE53E-C6D1-4BDA-9B92-ECFC89130543}"/>
    <hyperlink ref="C275" r:id="rId587" xr:uid="{0879380A-E10E-4E86-A12A-0D152C0ED4C2}"/>
    <hyperlink ref="AE275" r:id="rId588" display="T" xr:uid="{7EEA6C4B-255E-434A-85A6-5D94245E805A}"/>
    <hyperlink ref="B275" r:id="rId589" xr:uid="{B639AD09-56C7-4561-897C-573D5A0246E7}"/>
    <hyperlink ref="C277" r:id="rId590" xr:uid="{044202EF-6984-4AD2-A970-E0DFC6FB3CBA}"/>
    <hyperlink ref="AE277" r:id="rId591" xr:uid="{D5A4E390-77B7-44E7-B38C-6DC2DD8D9FFB}"/>
    <hyperlink ref="B277" r:id="rId592" xr:uid="{68B5D407-3ADE-493B-84E7-1E6E6FB009A4}"/>
    <hyperlink ref="C286" r:id="rId593" xr:uid="{79BF805C-3B93-4B01-83AE-FFB124BB8F7A}"/>
    <hyperlink ref="AE286" r:id="rId594" display="T" xr:uid="{D2BA7C9E-9348-43FE-B1F8-6BBFF232A88E}"/>
    <hyperlink ref="B286" r:id="rId595" xr:uid="{735B688A-F690-48F3-B702-D9EC617A3DF7}"/>
    <hyperlink ref="C285" r:id="rId596" xr:uid="{243F59C2-1E6D-4C7A-A805-72BB6EEBE2D3}"/>
    <hyperlink ref="B285" r:id="rId597" xr:uid="{53D784B7-CF6D-4030-8318-E916A1B0B4A6}"/>
    <hyperlink ref="C278" r:id="rId598" xr:uid="{142CACE4-3735-4729-95F0-6A135766AD2F}"/>
    <hyperlink ref="B278" r:id="rId599" xr:uid="{607FE1FF-919A-469D-BC6B-AB2372D3D782}"/>
    <hyperlink ref="C279" r:id="rId600" xr:uid="{E720DD37-E66B-456A-8463-55712C5E03E9}"/>
    <hyperlink ref="B279" r:id="rId601" xr:uid="{3DA4869C-D6D1-417F-881A-63660D278C51}"/>
    <hyperlink ref="C280" r:id="rId602" xr:uid="{4194882C-334A-4937-9E54-59055B4F9D48}"/>
    <hyperlink ref="B280" r:id="rId603" xr:uid="{ED86E871-091C-4E30-8034-83029E7BD2F0}"/>
    <hyperlink ref="C283" r:id="rId604" xr:uid="{7CB9E5F3-A014-4D7E-AD00-9383C77A674E}"/>
    <hyperlink ref="B283" r:id="rId605" xr:uid="{40E65DF5-4C0B-427C-A009-5091DCB339FD}"/>
    <hyperlink ref="C284" r:id="rId606" xr:uid="{46D9AE62-D1EA-4759-8C0E-E68A7C455732}"/>
    <hyperlink ref="B284" r:id="rId607" xr:uid="{4EB3B4DD-73FE-41A9-960B-08AAEBF72C37}"/>
    <hyperlink ref="C281" r:id="rId608" xr:uid="{EEDC83F4-170B-4542-A38A-118F5C8B97C3}"/>
    <hyperlink ref="B281" r:id="rId609" xr:uid="{DC47C937-0F05-44A5-B4CC-225897261BB9}"/>
    <hyperlink ref="C282" r:id="rId610" xr:uid="{AE958818-E933-4DE0-982F-EAB3148DBE3E}"/>
    <hyperlink ref="B282" r:id="rId611" xr:uid="{38BBF7A9-6351-4E97-BD11-CEB0B403686B}"/>
    <hyperlink ref="C287" r:id="rId612" xr:uid="{F09965DF-499C-49A2-8F07-5E86186A7497}"/>
    <hyperlink ref="AE287" r:id="rId613" display="T" xr:uid="{B5CE1445-E326-4D9B-8BDF-3E9454564FFB}"/>
    <hyperlink ref="B287" r:id="rId614" xr:uid="{B99E3CA4-9354-4A3C-A548-936C211528D8}"/>
    <hyperlink ref="C288" r:id="rId615" xr:uid="{47098C9C-A6DD-4BBA-B06A-A68CD6FDB071}"/>
    <hyperlink ref="AE288" r:id="rId616" xr:uid="{A669B3AD-D9CD-42CC-B816-96195F7D451D}"/>
    <hyperlink ref="B288" r:id="rId617" xr:uid="{4D62BCCE-EBAB-4278-8129-96E106D5DC56}"/>
    <hyperlink ref="C289" r:id="rId618" xr:uid="{75A777AA-9D41-491A-AC58-E623BA22BC91}"/>
    <hyperlink ref="AE289" r:id="rId619" xr:uid="{00D09F3D-A8B7-4991-9395-018B7493A7E9}"/>
    <hyperlink ref="B289" r:id="rId620" xr:uid="{7180BBBA-29DD-4EC3-A6E1-8B2D627A715F}"/>
    <hyperlink ref="C290" r:id="rId621" xr:uid="{B3259C83-0103-4445-A835-1416A3ABBFD4}"/>
    <hyperlink ref="AE290" r:id="rId622" xr:uid="{282A5A63-7A15-4FEB-BE25-276A51A15DC0}"/>
    <hyperlink ref="B290" r:id="rId623" xr:uid="{7536CF0A-3CFC-4AAD-9F1A-A8ED6108BA81}"/>
    <hyperlink ref="C291" r:id="rId624" xr:uid="{EE8DF599-3600-48EC-92D0-9A9E252950B4}"/>
    <hyperlink ref="AE291" r:id="rId625" display="T" xr:uid="{FFC33F39-3CB4-4D22-98D5-181F40482EF4}"/>
    <hyperlink ref="B291" r:id="rId626" xr:uid="{8FED132B-DC70-485E-ABF8-4E2128E3054E}"/>
    <hyperlink ref="C292" r:id="rId627" xr:uid="{A94883A8-D26E-44FB-B7EF-4AA2E99279A8}"/>
    <hyperlink ref="AE292" r:id="rId628" display="T" xr:uid="{D77A1D0B-429F-4CBF-BE81-BF88102D0C47}"/>
    <hyperlink ref="B292" r:id="rId629" xr:uid="{FB954D09-0A04-4634-A7E2-14DE47A929D6}"/>
    <hyperlink ref="C293" r:id="rId630" xr:uid="{71776D3D-055E-4C1D-AEF1-6B5DB72E960D}"/>
    <hyperlink ref="AE293" r:id="rId631" display="T" xr:uid="{33EBA205-99E5-48CB-8CA0-AFE7B6D73434}"/>
    <hyperlink ref="B293" r:id="rId632" xr:uid="{A8007A0B-8E72-431D-B3E6-109DED39E639}"/>
    <hyperlink ref="C294" r:id="rId633" xr:uid="{7B887862-E31C-4436-9DFC-AE2F61B78E19}"/>
    <hyperlink ref="AE294" r:id="rId634" display="T" xr:uid="{71068324-FFD1-4A74-901F-2618E1A767AA}"/>
    <hyperlink ref="B294" r:id="rId635" xr:uid="{D7E9893A-7658-476C-B47E-EEF6AD9E815C}"/>
    <hyperlink ref="C295" r:id="rId636" xr:uid="{2AFD1054-0D2B-4597-85C3-DCC2334E9616}"/>
    <hyperlink ref="B295" r:id="rId637" xr:uid="{0F8F5019-EEF3-40A4-86DE-2C5195C100F0}"/>
    <hyperlink ref="C296" r:id="rId638" xr:uid="{D9612B79-8E3C-4C2C-988B-108BAC156324}"/>
    <hyperlink ref="B296" r:id="rId639" xr:uid="{765B5EB7-3D98-4BC7-B277-BA783C8D09B5}"/>
    <hyperlink ref="C297" r:id="rId640" xr:uid="{16482154-FD0B-4333-BBAD-C7C7595770B9}"/>
    <hyperlink ref="B297" r:id="rId641" xr:uid="{D8E6E111-1505-49FF-9C4A-98CE186E7B6A}"/>
    <hyperlink ref="C298" r:id="rId642" xr:uid="{1D04B8A2-95E5-4559-A156-E4395FC55C02}"/>
    <hyperlink ref="B298" r:id="rId643" xr:uid="{67B8BDF9-25F5-4D61-8601-97E78B1FBACE}"/>
    <hyperlink ref="C299" r:id="rId644" xr:uid="{DD80C4E4-82DF-4445-B036-732C6AE2FD8A}"/>
    <hyperlink ref="B299" r:id="rId645" xr:uid="{89B3B74C-7E4B-4F20-90B7-D22E4C1A99D8}"/>
    <hyperlink ref="B300" r:id="rId646" xr:uid="{4A8E0663-9176-451F-81C6-207411E659FF}"/>
    <hyperlink ref="C300" r:id="rId647" xr:uid="{05787608-ADA0-470D-9383-1FCA2EAF57A2}"/>
    <hyperlink ref="C302" r:id="rId648" xr:uid="{C45FA088-30A7-4A55-AFC8-A17961F486EC}"/>
    <hyperlink ref="B302" r:id="rId649" xr:uid="{22422DE3-4FAA-4BAE-9343-E5C5CCB1C241}"/>
    <hyperlink ref="AE302" r:id="rId650" display="T" xr:uid="{6F8CCCCC-F3D4-4C2C-8D5B-FB63D87B20AA}"/>
    <hyperlink ref="C301" r:id="rId651" xr:uid="{B5028E0C-1D96-41B3-A01C-70206D2EB1C6}"/>
    <hyperlink ref="B301" r:id="rId652" xr:uid="{5123CDC1-C3D1-4548-B888-01919EA56475}"/>
    <hyperlink ref="AE301" r:id="rId653" display="T" xr:uid="{09F38119-331C-48F7-B5DB-076F7163ACC5}"/>
    <hyperlink ref="C303" r:id="rId654" xr:uid="{BA42243F-EC6B-4163-8ADE-3FE2A6DFA70F}"/>
    <hyperlink ref="AE303" r:id="rId655" display="T" xr:uid="{5967D345-2EF3-43FF-B0DA-3425023EA2F9}"/>
    <hyperlink ref="B303" r:id="rId656" display="Wachendorf2017" xr:uid="{005B8E8D-2932-4A59-A1C4-01B1361E1AEC}"/>
    <hyperlink ref="C304" r:id="rId657" xr:uid="{984893B3-ACCC-4EEF-8CBE-1CD1DA2351F1}"/>
    <hyperlink ref="AE304" r:id="rId658" display="T" xr:uid="{ACCC73B1-4DAE-407B-AFBE-CDF220A3FD5C}"/>
    <hyperlink ref="B304" r:id="rId659" display="Wachendorf2017" xr:uid="{2905CE81-8745-4570-8EA8-8B3CC66E409C}"/>
    <hyperlink ref="C305" r:id="rId660" xr:uid="{530DF29E-22F8-4E1B-B355-69610E12AB95}"/>
    <hyperlink ref="AE305" r:id="rId661" display="T" xr:uid="{83415802-63E8-43F4-A4C2-81C7E95AEAEC}"/>
    <hyperlink ref="B305" r:id="rId662" display="Wachendorf2017" xr:uid="{A361C3B6-38BD-4695-B7B9-F9A8EEC69E40}"/>
    <hyperlink ref="C306" r:id="rId663" xr:uid="{EAB0C25E-07F9-41FF-A0A4-E46A0F891125}"/>
    <hyperlink ref="AE306" r:id="rId664" display="T" xr:uid="{52A6A3F1-0F6A-4597-9550-7B9DB5160187}"/>
    <hyperlink ref="B306" r:id="rId665" display="Wachendorf2017" xr:uid="{77A625DB-543C-4EDE-84ED-363F6A45F1DD}"/>
    <hyperlink ref="C307" r:id="rId666" xr:uid="{519D2262-0F0C-4878-B66B-E9FE0A6E09D4}"/>
    <hyperlink ref="AE307" r:id="rId667" display="T" xr:uid="{7DAF800A-7831-48F9-8D61-EA99E9968B0D}"/>
    <hyperlink ref="B307" r:id="rId668" display="Wachendorf2017" xr:uid="{7A998796-CDDC-4D14-B862-9DF76FE6CBB9}"/>
    <hyperlink ref="C308" r:id="rId669" xr:uid="{49697328-C049-4224-97E2-0DE17E0A4038}"/>
    <hyperlink ref="AE308" r:id="rId670" display="T" xr:uid="{F2EDA62F-3F62-4D78-A68E-ACB4C94DF01E}"/>
    <hyperlink ref="B308" r:id="rId671" display="Wachendorf2017" xr:uid="{15A8512B-961B-4987-AD40-F0A7D8628BDB}"/>
    <hyperlink ref="C309" r:id="rId672" xr:uid="{3D6AFEC9-EBA3-4CAC-87D4-958A1FDFCD4A}"/>
    <hyperlink ref="AE309" r:id="rId673" display="T" xr:uid="{E54326FD-E3C1-4C32-BFEE-0CAFC4FF8834}"/>
    <hyperlink ref="B309" r:id="rId674" display="Wachendorf2017" xr:uid="{F54521D2-D540-4B5A-93C5-7B72A4F4ACB4}"/>
    <hyperlink ref="C310" r:id="rId675" xr:uid="{B538C461-462A-40A1-AC80-685E9554B412}"/>
    <hyperlink ref="AE310" r:id="rId676" display="T" xr:uid="{0D5E9DF9-5F57-417E-B5AD-2B09FE259CF1}"/>
    <hyperlink ref="B310" r:id="rId677" display="Wachendorf2017" xr:uid="{52D02802-70A1-4ECC-B4C6-1F8A18A9C0AC}"/>
    <hyperlink ref="C311" r:id="rId678" xr:uid="{4B73A520-63E3-406B-ABB1-0DEC68CF6C3A}"/>
    <hyperlink ref="AE311" r:id="rId679" display="T" xr:uid="{BE548546-FEB8-49C5-8070-463ABE8E4BC9}"/>
    <hyperlink ref="B311" r:id="rId680" display="Wachendorf2017" xr:uid="{589B190E-2288-45B4-9493-57B77E39709E}"/>
    <hyperlink ref="C312" r:id="rId681" xr:uid="{36572EF8-37E6-4A9B-B066-3FB558916ADA}"/>
    <hyperlink ref="AE312" r:id="rId682" display="T" xr:uid="{080BA080-2C18-4308-92DA-E40BC5AF5BCB}"/>
    <hyperlink ref="B312" r:id="rId683" display="Wachendorf2017" xr:uid="{08BE670F-8B4E-4238-8B45-B56569DF7759}"/>
    <hyperlink ref="B313" r:id="rId684" xr:uid="{198BCA30-62D5-4D33-9048-853729E51C4B}"/>
    <hyperlink ref="C313" r:id="rId685" xr:uid="{EE34D840-425E-4FEA-A20D-95F872DDB914}"/>
    <hyperlink ref="C90" r:id="rId686" xr:uid="{69994EA8-CE69-410D-BDC7-CC613C9372EF}"/>
    <hyperlink ref="B314" r:id="rId687" xr:uid="{6A976D2C-A6FA-4E78-8441-515D7F674C58}"/>
    <hyperlink ref="C314" r:id="rId688" xr:uid="{1E2335FC-9EDE-4D63-8EF5-AD7FF52E095F}"/>
    <hyperlink ref="B315" r:id="rId689" xr:uid="{7E49D044-CE60-4115-8402-A9793D58C2E1}"/>
    <hyperlink ref="C315" r:id="rId690" xr:uid="{F09D7125-2571-4F0E-A207-80BDA8D2DB7C}"/>
    <hyperlink ref="B316" r:id="rId691" xr:uid="{5457C836-9ED2-4A55-82EB-8657434694F9}"/>
    <hyperlink ref="C316" r:id="rId692" xr:uid="{0C183F4D-4D19-4FE8-B37F-376080CEA3F1}"/>
    <hyperlink ref="B317" r:id="rId693" xr:uid="{3CEA1686-5A17-4B50-9C8E-C7BBDAF55278}"/>
    <hyperlink ref="C317" r:id="rId694" xr:uid="{6E8DCDF1-DF0A-4F90-BAE6-154A96CAB968}"/>
    <hyperlink ref="B318" r:id="rId695" xr:uid="{C2D09538-AF2D-4502-A7A1-FCF6888189D6}"/>
    <hyperlink ref="C318" r:id="rId696" xr:uid="{0EB33F47-43C4-4020-8FD0-889DA31F5F55}"/>
    <hyperlink ref="C321" r:id="rId697" xr:uid="{4C28652D-5797-4E49-AA11-230C2E473585}"/>
    <hyperlink ref="AE321" r:id="rId698" display="T" xr:uid="{E8413984-0E4C-4756-B073-B3D5B0346D66}"/>
    <hyperlink ref="B321" r:id="rId699" xr:uid="{BEDFF4F9-756E-490F-A50E-54939AF4357E}"/>
    <hyperlink ref="C322" r:id="rId700" xr:uid="{9066C1E1-BD61-49E8-B207-44D99265B5D3}"/>
    <hyperlink ref="AE322" r:id="rId701" display="T" xr:uid="{6451F5E5-5731-4B87-859A-C4DA85CA35DF}"/>
    <hyperlink ref="B322" r:id="rId702" xr:uid="{4B722BD1-07D9-4E8B-B5CA-2BC605E094DE}"/>
    <hyperlink ref="C319" r:id="rId703" xr:uid="{D4D3C022-8C61-4CF3-878C-9FC113454A5E}"/>
    <hyperlink ref="AE319" r:id="rId704" display="T" xr:uid="{C9E2146B-7282-44E7-9527-93751754C347}"/>
    <hyperlink ref="B319" r:id="rId705" xr:uid="{8CC01E4B-B30E-4772-B6A2-0267335C358C}"/>
    <hyperlink ref="C320" r:id="rId706" xr:uid="{4544C8F3-857D-44AC-80CC-32C837A7C9AC}"/>
    <hyperlink ref="AE320" r:id="rId707" display="T" xr:uid="{72757208-E554-4937-9CF3-1CC24197200B}"/>
    <hyperlink ref="B320" r:id="rId708" xr:uid="{9DD8EFA2-9506-479F-903E-E9E09C715AE2}"/>
  </hyperlinks>
  <pageMargins left="0.7" right="0.7" top="0.75" bottom="0.75" header="0.3" footer="0.3"/>
  <pageSetup orientation="portrait" horizontalDpi="1200" verticalDpi="1200" r:id="rId709"/>
  <drawing r:id="rId710"/>
  <legacyDrawing r:id="rId711"/>
  <oleObjects>
    <mc:AlternateContent xmlns:mc="http://schemas.openxmlformats.org/markup-compatibility/2006">
      <mc:Choice Requires="x14">
        <oleObject link="[1]!''''" oleUpdate="OLEUPDATE_ALWAYS" shapeId="24580">
          <objectPr defaultSize="0" dde="1" r:id="rId7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9525</xdr:colOff>
                <xdr:row>0</xdr:row>
                <xdr:rowOff>9525</xdr:rowOff>
              </to>
            </anchor>
          </objectPr>
        </oleObject>
      </mc:Choice>
      <mc:Fallback>
        <oleObject link="[1]!''''" oleUpdate="OLEUPDATE_ALWAYS" shapeId="2458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Hongyuan Zhang</dc:creator>
  <cp:lastModifiedBy>Hongyuan Zhang</cp:lastModifiedBy>
  <dcterms:created xsi:type="dcterms:W3CDTF">2015-06-05T18:17:20Z</dcterms:created>
  <dcterms:modified xsi:type="dcterms:W3CDTF">2025-02-16T17:39:49Z</dcterms:modified>
</cp:coreProperties>
</file>